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1600" windowHeight="10785" tabRatio="712"/>
  </bookViews>
  <sheets>
    <sheet name="Disclaimer" sheetId="51" r:id="rId1"/>
    <sheet name="W-2s" sheetId="1" r:id="rId2"/>
    <sheet name="1099-R" sheetId="30" r:id="rId3"/>
    <sheet name="SSA-1099" sheetId="40" r:id="rId4"/>
    <sheet name="1040" sheetId="2" r:id="rId5"/>
    <sheet name="Line 10" sheetId="12" r:id="rId6"/>
    <sheet name="Line 16" sheetId="13" r:id="rId7"/>
    <sheet name="Line 20" sheetId="14" r:id="rId8"/>
    <sheet name="Line 32" sheetId="15" r:id="rId9"/>
    <sheet name="Line 33" sheetId="63" r:id="rId10"/>
    <sheet name="Line 40" sheetId="65" r:id="rId11"/>
    <sheet name="Line 42" sheetId="64" r:id="rId12"/>
    <sheet name="Line 44" sheetId="28" r:id="rId13"/>
    <sheet name="Line 52" sheetId="46" r:id="rId14"/>
    <sheet name="Line 66" sheetId="60" r:id="rId15"/>
    <sheet name="Earned Income" sheetId="67" r:id="rId16"/>
    <sheet name="Sch. A" sheetId="3" r:id="rId17"/>
    <sheet name="Sch. B" sheetId="4" r:id="rId18"/>
    <sheet name="Sch. C" sheetId="5" r:id="rId19"/>
    <sheet name="Sch. D" sheetId="6" r:id="rId20"/>
    <sheet name="Sch. D WS" sheetId="37" r:id="rId21"/>
    <sheet name="Sch. E (1)" sheetId="47" r:id="rId22"/>
    <sheet name="Sch. E (2)" sheetId="48" r:id="rId23"/>
    <sheet name="Sch. F" sheetId="56" r:id="rId24"/>
    <sheet name="Sch. SE" sheetId="23" r:id="rId25"/>
    <sheet name="2210" sheetId="68" r:id="rId26"/>
    <sheet name="2441" sheetId="59" r:id="rId27"/>
    <sheet name="2555" sheetId="62" r:id="rId28"/>
    <sheet name="6251" sheetId="33" r:id="rId29"/>
    <sheet name="8949A" sheetId="43" r:id="rId30"/>
    <sheet name="8949B" sheetId="49" r:id="rId31"/>
    <sheet name="8949C" sheetId="50" r:id="rId32"/>
    <sheet name="8959" sheetId="52" r:id="rId33"/>
    <sheet name="8960" sheetId="53" r:id="rId34"/>
    <sheet name="8962" sheetId="58" r:id="rId35"/>
    <sheet name="EIC Table" sheetId="61" r:id="rId36"/>
    <sheet name="Tax Table" sheetId="36" r:id="rId37"/>
    <sheet name="Changes" sheetId="55" r:id="rId38"/>
  </sheets>
  <definedNames>
    <definedName name="Adj_Gross_Inc">'1040'!$AB$70</definedName>
    <definedName name="Alaska">'1040'!$AQ$6</definedName>
    <definedName name="AltMinTax">'1040'!$AB$82</definedName>
    <definedName name="AltMinTaxInc">'6251'!$M$42</definedName>
    <definedName name="AMT">'6251'!$M$63</definedName>
    <definedName name="AMTExemption">'6251'!$AC$182</definedName>
    <definedName name="AMTExemptionFlag">'6251'!$AG$49</definedName>
    <definedName name="BadBirthdate_Spouse">'1040'!$AS$57</definedName>
    <definedName name="BadBirthdate_Yours">'1040'!$AS$42</definedName>
    <definedName name="BeginningOfTaxYear">'1040'!$AL$2</definedName>
    <definedName name="Birthday_Needed">'1040'!$AE$72</definedName>
    <definedName name="Business_Profit">'Sch. C'!$T$58</definedName>
    <definedName name="Cap_Gain">'Sch. D'!$R$92</definedName>
    <definedName name="Care_Expenses">'1040'!$V$86</definedName>
    <definedName name="CGTW">'Line 44'!$C$6</definedName>
    <definedName name="CGTW_Line1">'Line 44'!$L$25</definedName>
    <definedName name="CGTW_Line7">'Line 44'!$L$37</definedName>
    <definedName name="CGTW_Tax">'Line 44'!$N$70</definedName>
    <definedName name="Child_Tax_Credit">'Line 52'!$P$119</definedName>
    <definedName name="Child_Tax_Credit_1040">'1040'!$V$89</definedName>
    <definedName name="ChildCareCredit">'2441'!$O$59</definedName>
    <definedName name="ChildUnder24">'6251'!$O$45</definedName>
    <definedName name="DaysInTaxYear">'1040'!$AM$3</definedName>
    <definedName name="Ded_4_Exmptn_Wrks">'Line 42'!$U$36</definedName>
    <definedName name="Deduct_For_Exempts">'1040'!$AK$79</definedName>
    <definedName name="Deduction">'1040'!$AM$79</definedName>
    <definedName name="Dependent_Care">'2441'!$O$101</definedName>
    <definedName name="DependentSPOUSE">'1040'!$AK$28</definedName>
    <definedName name="DependentYOU">'1040'!$AK$26</definedName>
    <definedName name="DFC">'Line 66'!$N$193</definedName>
    <definedName name="Dividend_Inc">'Sch. B'!$I$55</definedName>
    <definedName name="Dotted_Line">'1040'!$V$69</definedName>
    <definedName name="Dual_Status_Alien">'1040'!$Z$76</definedName>
    <definedName name="Earned_Income">'Earned Income'!$J$63</definedName>
    <definedName name="EarnedIncomeCredit">'Line 66'!$O$440</definedName>
    <definedName name="EarnedIncomeWSB">'Line 66'!$O$372</definedName>
    <definedName name="Education">'1040'!$V$87</definedName>
    <definedName name="EIC" localSheetId="25">'Line 66'!#REF!</definedName>
    <definedName name="EIC" localSheetId="27">'Line 66'!#REF!</definedName>
    <definedName name="EIC">'Line 66'!#REF!</definedName>
    <definedName name="EIC_Check">'Line 66'!$A$35</definedName>
    <definedName name="EIC_EarnedIncome">'Line 66'!$K$226</definedName>
    <definedName name="EIC_Line2_No">'Line 66'!$H$26</definedName>
    <definedName name="EIC_Step3_Line3_Yes">'Line 66'!$B$125</definedName>
    <definedName name="EIC_Step4_Line3_No">'Line 66'!$H$149</definedName>
    <definedName name="EIC_Step4_Line5_Yes">'Line 66'!$B$164</definedName>
    <definedName name="EIC_WSA_Part3">'Line 66'!$L$307</definedName>
    <definedName name="EIC_WSB_Part7">'Line 66'!$O$436</definedName>
    <definedName name="EICNumQualChild">'Line 66'!$B$101</definedName>
    <definedName name="EndOfTaxYear">'1040'!$AL$3</definedName>
    <definedName name="ExcessSSTax">'1040'!$V$110</definedName>
    <definedName name="ExemptionAllowance">'1040'!$AQ$82</definedName>
    <definedName name="F1040_Line10">'1040'!$AB$43</definedName>
    <definedName name="F1040_Line41">'1040'!$AB$78</definedName>
    <definedName name="F1040_Line47">'1040'!$AB$84</definedName>
    <definedName name="F6251_Needed">'6251'!$P$2</definedName>
    <definedName name="F6251_PIII">'6251'!$R$55</definedName>
    <definedName name="F8949ALBOXA">'8949A'!$C$78</definedName>
    <definedName name="F8949ALBOXB">'8949A'!$C$80</definedName>
    <definedName name="F8949ALBOXC">'8949A'!$C$82</definedName>
    <definedName name="F8949ALT">'8949A'!$A$116</definedName>
    <definedName name="F8949ALTD">'8949A'!$Q$116</definedName>
    <definedName name="F8949ALTE">'8949A'!$U$116</definedName>
    <definedName name="F8949ALTG">'8949A'!$AA$116</definedName>
    <definedName name="F8949ALTH">'8949A'!$AC$116</definedName>
    <definedName name="F8949ASBOXA">'8949A'!$C$25</definedName>
    <definedName name="F8949ASBOXB">'8949A'!$C$27</definedName>
    <definedName name="F8949ASBOXC">'8949A'!$C$29</definedName>
    <definedName name="F8949AST">'8949A'!$A$55</definedName>
    <definedName name="F8949ASTD">'8949A'!$Q$55</definedName>
    <definedName name="F8949ASTE">'8949A'!$U$55</definedName>
    <definedName name="F8949ASTG">'8949A'!$AA$55</definedName>
    <definedName name="F8949ASTH">'8949A'!$AC$55</definedName>
    <definedName name="F8949BLBOXA">'8949B'!$C$78</definedName>
    <definedName name="F8949BLBOXB">'8949B'!$C$80</definedName>
    <definedName name="F8949BLBOXC">'8949B'!$C$82</definedName>
    <definedName name="F8949BLT">'8949B'!$A$116</definedName>
    <definedName name="F8949BLTD">'8949B'!$Q$116</definedName>
    <definedName name="F8949BLTE">'8949B'!$U$116</definedName>
    <definedName name="F8949BLTG">'8949B'!$AA$116</definedName>
    <definedName name="F8949BLTH">'8949B'!$AC$116</definedName>
    <definedName name="F8949BSBOXA">'8949B'!$C$25</definedName>
    <definedName name="F8949BSBOXB">'8949B'!$C$27</definedName>
    <definedName name="F8949BSBOXC">'8949B'!$C$29</definedName>
    <definedName name="F8949BST">'8949B'!$A$55</definedName>
    <definedName name="F8949BSTD">'8949B'!$Q$55</definedName>
    <definedName name="F8949BSTE">'8949B'!$U$55</definedName>
    <definedName name="F8949BSTG">'8949B'!$AA$55</definedName>
    <definedName name="F8949BSTH">'8949B'!$AC$55</definedName>
    <definedName name="F8949CLBOXA">'8949C'!$C$78</definedName>
    <definedName name="F8949CLBOXB">'8949C'!$C$80</definedName>
    <definedName name="F8949CLBOXC">'8949C'!$C$82</definedName>
    <definedName name="F8949CLT">'8949C'!$A$116</definedName>
    <definedName name="F8949CLTD">'8949C'!$Q$116</definedName>
    <definedName name="F8949CLTE">'8949C'!$U$116</definedName>
    <definedName name="F8949CLTG">'8949C'!$AA$116</definedName>
    <definedName name="F8949CLTH">'8949C'!$AC$116</definedName>
    <definedName name="F8949CSBOXA">'8949C'!$C$25</definedName>
    <definedName name="F8949CSBOXB">'8949C'!$C$27</definedName>
    <definedName name="F8949CSBOXC">'8949C'!$C$29</definedName>
    <definedName name="F8949CST">'8949C'!$A$55</definedName>
    <definedName name="F8949CSTD">'8949C'!$Q$55</definedName>
    <definedName name="F8949CSTE">'8949C'!$U$55</definedName>
    <definedName name="F8949CSTG">'8949C'!$AA$55</definedName>
    <definedName name="F8949CSTH">'8949C'!$AC$55</definedName>
    <definedName name="F8959_Tax">'8959'!$M$49</definedName>
    <definedName name="F8959_WH">'8959'!$M$63</definedName>
    <definedName name="F8960_Tax">'8960'!$N$46</definedName>
    <definedName name="FarmProfitNet">'Sch. F'!$Y$54</definedName>
    <definedName name="FEI_Tax_Worksheet">'Line 44'!$AN$20</definedName>
    <definedName name="FEI_TW_Line2c">'Line 44'!$AN$28</definedName>
    <definedName name="FEI_TW_Line3">'Line 44'!$AN$30</definedName>
    <definedName name="File_Head">'1040'!$U$18</definedName>
    <definedName name="File_Marr_Joint">'1040'!$E$20</definedName>
    <definedName name="File_Marr_Sep">'1040'!$E$22</definedName>
    <definedName name="File_Qual_Widow">'1040'!$U$23</definedName>
    <definedName name="File_Single">'1040'!$E$18</definedName>
    <definedName name="FilingStatusError">'1040'!$AI$23</definedName>
    <definedName name="Foreign_Tax_Credit">'1040'!$V$85</definedName>
    <definedName name="ForeignEarnedIncome">'2555'!$AE$130</definedName>
    <definedName name="ForeignHousingDeduction">'2555'!$AE$198</definedName>
    <definedName name="ForeignHousingExclusion">'2555'!$AE$184</definedName>
    <definedName name="ForeignIncExclusion">'2555'!$AE$175</definedName>
    <definedName name="Form2555_Used">'2555'!$AE$164</definedName>
    <definedName name="Gambling_Loss">'Sch. A'!$N$60</definedName>
    <definedName name="Hawaii">'1040'!$AR$6</definedName>
    <definedName name="Interest_Inc">'Sch. B'!$I$32</definedName>
    <definedName name="IRA_Deduction">'Line 32'!$L$105</definedName>
    <definedName name="IRA_Fed_Tax_WH">'1099-R'!$D$48</definedName>
    <definedName name="IRA_Taxable">'1099-R'!$D$46</definedName>
    <definedName name="Item_Deduct_Wks_L9">'Sch. A'!$AG$104</definedName>
    <definedName name="ItemizeAnyway">'Sch. A'!$M$69</definedName>
    <definedName name="ItemizedDeduct">'1040'!$AS$76</definedName>
    <definedName name="LeapYear">'1040'!$AM$2</definedName>
    <definedName name="Line33_NOT">'Line 33'!$U$8</definedName>
    <definedName name="Lived_apart">'Line 32'!$W$23</definedName>
    <definedName name="LivedApart">'Line 20'!$O$7</definedName>
    <definedName name="LivedWithYou">'1040'!$AG$28</definedName>
    <definedName name="LocalTaxIRA">'1099-R'!$D$60</definedName>
    <definedName name="LocalTaxPA">'1099-R'!$E$60</definedName>
    <definedName name="LocalTaxW2">'W-2s'!$C$72</definedName>
    <definedName name="MaxSSTax">'W-2s'!$J$6</definedName>
    <definedName name="MaxSSTaxEarnings">'W-2s'!$K$3</definedName>
    <definedName name="MedCare_Tax_Withheld">'W-2s'!$C$57</definedName>
    <definedName name="MedCare_wages">'W-2s'!$C$56</definedName>
    <definedName name="Name_1st_Sp">'1040'!$B$9</definedName>
    <definedName name="Name_1st_Yours">'1040'!$B$7</definedName>
    <definedName name="Name_Last_Sp">'1040'!$J$9</definedName>
    <definedName name="Name_Last_Yours">'1040'!$J$7</definedName>
    <definedName name="Names">'Sch. A'!$B$14</definedName>
    <definedName name="NameSpouse">'1040'!$AM$7</definedName>
    <definedName name="NameYours">'1040'!$AL$7</definedName>
    <definedName name="NoColor">'1040'!$AJ$2</definedName>
    <definedName name="NoEICredit">'Line 66'!$A$1</definedName>
    <definedName name="NoOnLine66a">'Line 66'!$B$1</definedName>
    <definedName name="NOT_MFJ">'1040'!$AK$20</definedName>
    <definedName name="NoTaxCombatPay">'Line 66'!$N$203</definedName>
    <definedName name="NumFileStatusBoxes">'1040'!$AI$22</definedName>
    <definedName name="Over_65_or_Blind">'1040'!$Y$74</definedName>
    <definedName name="Overpaid">'1040'!$AB$114</definedName>
    <definedName name="PA_Fed_Tax_WH">'1099-R'!$E$48</definedName>
    <definedName name="Pension_taxable">'Line 16'!$L$58</definedName>
    <definedName name="Pension_total">'1040'!$AI$49</definedName>
    <definedName name="_xlnm.Print_Area" localSheetId="4">'1040'!$B$3:$AG$133</definedName>
    <definedName name="_xlnm.Print_Area" localSheetId="2">'1099-R'!$A$1:$O$62</definedName>
    <definedName name="_xlnm.Print_Area" localSheetId="25">'2210'!$B$6:$W$269</definedName>
    <definedName name="_xlnm.Print_Area" localSheetId="26">'2441'!$B$2:$O$156</definedName>
    <definedName name="_xlnm.Print_Area" localSheetId="27">'2555'!$B$2:$AJ$199</definedName>
    <definedName name="_xlnm.Print_Area" localSheetId="28">'6251'!$B$4:$M$127</definedName>
    <definedName name="_xlnm.Print_Area" localSheetId="29">'8949A'!$B$4:$AF$122</definedName>
    <definedName name="_xlnm.Print_Area" localSheetId="30">'8949B'!$B$4:$AF$122</definedName>
    <definedName name="_xlnm.Print_Area" localSheetId="31">'8949C'!$B$4:$AF$122</definedName>
    <definedName name="_xlnm.Print_Area" localSheetId="32">'8959'!$B$3:$M$64</definedName>
    <definedName name="_xlnm.Print_Area" localSheetId="33">'8960'!$B$3:$N$60</definedName>
    <definedName name="_xlnm.Print_Area" localSheetId="34">'8962'!$B$4:$AJ$128</definedName>
    <definedName name="_xlnm.Print_Area" localSheetId="15">'Earned Income'!$B$2:$K$70</definedName>
    <definedName name="_xlnm.Print_Area" localSheetId="5">'Line 10'!$B$22:$M$54</definedName>
    <definedName name="_xlnm.Print_Area" localSheetId="6">'Line 16'!$B$30:$M$87</definedName>
    <definedName name="_xlnm.Print_Area" localSheetId="7">'Line 20'!$B$2:$K$57</definedName>
    <definedName name="_xlnm.Print_Area" localSheetId="8">'Line 32'!$B$2:$T$106</definedName>
    <definedName name="_xlnm.Print_Area" localSheetId="10">'Line 40'!$B$2:$M$25</definedName>
    <definedName name="_xlnm.Print_Area" localSheetId="12">'Line 44'!$B$17:$O$72</definedName>
    <definedName name="_xlnm.Print_Area" localSheetId="13">'Line 52'!$B$1:$S$243</definedName>
    <definedName name="_xlnm.Print_Area" localSheetId="14">'Line 66'!$A$1:$Y$446</definedName>
    <definedName name="_xlnm.Print_Area" localSheetId="16">'Sch. A'!$B$9:$N$70</definedName>
    <definedName name="_xlnm.Print_Area" localSheetId="17">'Sch. B'!$B$2:$O$72</definedName>
    <definedName name="_xlnm.Print_Area" localSheetId="18">'Sch. C'!$B$4:$U$117</definedName>
    <definedName name="_xlnm.Print_Area" localSheetId="19">'Sch. D'!$B$2:$O$98</definedName>
    <definedName name="_xlnm.Print_Area" localSheetId="20">'Sch. D WS'!$B$2:$Q$144</definedName>
    <definedName name="_xlnm.Print_Area" localSheetId="21">'Sch. E (1)'!$B$2:$Q$56</definedName>
    <definedName name="_xlnm.Print_Area" localSheetId="22">'Sch. E (2)'!$B$2:$O$66</definedName>
    <definedName name="_xlnm.Print_Area" localSheetId="23">'Sch. F'!$B$3:$AB$120</definedName>
    <definedName name="_xlnm.Print_Area" localSheetId="24">'Sch. SE'!$B$10:$X$128</definedName>
    <definedName name="_xlnm.Print_Area" localSheetId="3">'SSA-1099'!$A$1:$J$33</definedName>
    <definedName name="_xlnm.Print_Area" localSheetId="36">'Tax Table'!$A$1:$F$2063</definedName>
    <definedName name="_xlnm.Print_Area" localSheetId="1">'W-2s'!$B$2:$H$72</definedName>
    <definedName name="_xlnm.Print_Titles" localSheetId="36">'Tax Table'!$1:$1</definedName>
    <definedName name="Pub_972">'Line 52'!$D$13</definedName>
    <definedName name="Qual_Child_Count">'1040'!$AA$37</definedName>
    <definedName name="Qualified_Dividends">'1040'!$V$42</definedName>
    <definedName name="ResEnergyCredits">'1040'!$V$90</definedName>
    <definedName name="Retirement_Savings">'1040'!$V$88</definedName>
    <definedName name="SchA_Filed">'Sch. A'!$P$9</definedName>
    <definedName name="SchC_StatutoryEmp">'Sch. C'!$Q$25</definedName>
    <definedName name="SchD_NotReqd">'1040'!$Y$46</definedName>
    <definedName name="SchDLine15">'Sch. D'!$N$50</definedName>
    <definedName name="SchDLine16">'Sch. D'!$N$58</definedName>
    <definedName name="SchDLine18">'Sch. D'!$N$72</definedName>
    <definedName name="SchDLine19">'Sch. D'!$N$75</definedName>
    <definedName name="SchDTW_Line1">'Sch. D WS'!$P$79</definedName>
    <definedName name="SchDTW_Line19">'Sch. D WS'!$N$101</definedName>
    <definedName name="SchDTW_Used">'Sch. D WS'!$R$68</definedName>
    <definedName name="SchE1_Line26">'Sch. E (1)'!$M$55</definedName>
    <definedName name="SchE2_Completed">'Sch. E (2)'!$M$57</definedName>
    <definedName name="SchE2_Line32">'Sch. E (2)'!$M$32</definedName>
    <definedName name="SchE2_Line37">'Sch. E (2)'!$M$47</definedName>
    <definedName name="SchE2_Line39">'Sch. E (2)'!$M$53</definedName>
    <definedName name="SchE2_Line40">'Sch. E (2)'!$M$55</definedName>
    <definedName name="SchE2_Line41">'Sch. E (2)'!$M$56</definedName>
    <definedName name="SCHEDULE_C">'Sch. C'!$B$4</definedName>
    <definedName name="SCHEDULE_D">'Sch. D'!$B$2</definedName>
    <definedName name="ScheduleF_PartIII">'Sch. F'!$Y$93</definedName>
    <definedName name="SD_Head">'1040'!$C$93</definedName>
    <definedName name="SD_MFJW">'1040'!$C$90</definedName>
    <definedName name="SD_Single">'1040'!$C$87</definedName>
    <definedName name="SE_Deduction" localSheetId="25">'2210'!$R$209</definedName>
    <definedName name="SE_Deduction">'Sch. SE'!$R$128</definedName>
    <definedName name="SE_Tax" localSheetId="25">'2210'!$J$209</definedName>
    <definedName name="SE_Tax">'Sch. SE'!$J$128</definedName>
    <definedName name="SectA_a3">'1040'!$AV$95</definedName>
    <definedName name="SectA_a4">'1040'!$AV$96</definedName>
    <definedName name="SectA_a5">'1040'!$AV$97</definedName>
    <definedName name="SectA_a6">'1040'!$AV$98</definedName>
    <definedName name="SectA_b4">'1040'!$AW$96</definedName>
    <definedName name="SectA_b5">'1040'!$AW$97</definedName>
    <definedName name="SectA_b6">'1040'!$AW$98</definedName>
    <definedName name="SectA_b7">'1040'!$AW$99</definedName>
    <definedName name="SectA_D1">'1040'!$AV$96</definedName>
    <definedName name="SectA_d4">'1040'!$AX$96</definedName>
    <definedName name="SectA_d5">'1040'!$AX$97</definedName>
    <definedName name="SectA_d6">'1040'!$AX$98</definedName>
    <definedName name="SectA_d7">'1040'!$AX$99</definedName>
    <definedName name="SectB_a2">'1040'!$AV$105</definedName>
    <definedName name="SectB_a3">'1040'!$AV$106</definedName>
    <definedName name="SectB_a4">'1040'!$AV$107</definedName>
    <definedName name="SectB_a5">'1040'!$AV$108</definedName>
    <definedName name="SectB_a6">'1040'!$AV$109</definedName>
    <definedName name="SectB_b3">'1040'!$AW$106</definedName>
    <definedName name="SectB_b4">'1040'!$AW$107</definedName>
    <definedName name="SectB_b5">'1040'!$AW$108</definedName>
    <definedName name="SectB_b6">'1040'!$AW$109</definedName>
    <definedName name="SectB_b7">'1040'!$AW$110</definedName>
    <definedName name="SectB_d3">'1040'!$AX$106</definedName>
    <definedName name="SectB_d4">'1040'!$AX$107</definedName>
    <definedName name="SectB_d5">'1040'!$AX$108</definedName>
    <definedName name="SectB_d6">'1040'!$AX$109</definedName>
    <definedName name="SectB_d7">'1040'!$AX$110</definedName>
    <definedName name="SectC_a2">'1040'!$AV$116</definedName>
    <definedName name="SectC_a3">'1040'!$AV$117</definedName>
    <definedName name="SectC_a4">'1040'!$AV$118</definedName>
    <definedName name="SectC_a5">'1040'!$AV$119</definedName>
    <definedName name="SectC_b3">'1040'!$AW$117</definedName>
    <definedName name="SectC_b4">'1040'!$AW$118</definedName>
    <definedName name="SectC_b5">'1040'!$AW$119</definedName>
    <definedName name="SectC_b6">'1040'!$AW$120</definedName>
    <definedName name="SectC_d3">'1040'!$AX$117</definedName>
    <definedName name="SectC_d4">'1040'!$AX$118</definedName>
    <definedName name="SectC_d5">'1040'!$AX$119</definedName>
    <definedName name="SectC_d6">'1040'!$AX$120</definedName>
    <definedName name="SectD_a2">'1040'!$AV$125</definedName>
    <definedName name="SectD_a3">'1040'!$AV$126</definedName>
    <definedName name="SectD_a4">'1040'!$AV$127</definedName>
    <definedName name="SectD_a5">'1040'!$AV$128</definedName>
    <definedName name="SectD_a6">'1040'!$AV$129</definedName>
    <definedName name="SectD_b3">'1040'!$AW$126</definedName>
    <definedName name="SectD_b4">'1040'!$AW$127</definedName>
    <definedName name="SectD_b5">'1040'!$AW$128</definedName>
    <definedName name="SectD_b6">'1040'!$AW$129</definedName>
    <definedName name="SectD_b7">'1040'!$AW$130</definedName>
    <definedName name="SectD_d3">'1040'!$AX$126</definedName>
    <definedName name="SectD_d4">'1040'!$AX$127</definedName>
    <definedName name="SectD_d5">'1040'!$AX$128</definedName>
    <definedName name="SectD_d6">'1040'!$AX$129</definedName>
    <definedName name="SectD_d7">'1040'!$AX$130</definedName>
    <definedName name="Skip2141">'Sch. D WS'!$S$102</definedName>
    <definedName name="Skip3141">'Sch. D WS'!$S$117</definedName>
    <definedName name="Skip3338">'Sch. D WS'!$S$120</definedName>
    <definedName name="Skip3941">'Sch. D WS'!$S$127</definedName>
    <definedName name="sp_blind">'1040'!$S$75</definedName>
    <definedName name="sp_over_64">'1040'!$H$75</definedName>
    <definedName name="SpaceUsed_1040">'1040'!$AI$15</definedName>
    <definedName name="SpaceUsed_8949A">'8949A'!$AH$29</definedName>
    <definedName name="SpaceUsed_8949A_LT">'8949A'!$AH$82</definedName>
    <definedName name="SpaceUsed_8949A_ST">'8949A'!$AH$29</definedName>
    <definedName name="SpaceUsed_8949B_LT">'8949B'!$AH$82</definedName>
    <definedName name="SpaceUsed_8949B_ST">'8949B'!$AH$29</definedName>
    <definedName name="SpaceUsed_8949C_LT">'8949C'!$AH$82</definedName>
    <definedName name="SpaceUsed_8949C_ST">'8949C'!$AH$29</definedName>
    <definedName name="Spouse">'1040'!$E$28</definedName>
    <definedName name="SpouseAge">'1040'!$AR$60</definedName>
    <definedName name="SpouseAgeDecimal">'1040'!$AR$59</definedName>
    <definedName name="SpouseBirthDate">'1040'!$AR$55</definedName>
    <definedName name="SpouseBirthDay">'1040'!$AN$13</definedName>
    <definedName name="SpouseBirthMonth">'1040'!$AM$13</definedName>
    <definedName name="SpouseBirthYear">'1040'!$AO$13</definedName>
    <definedName name="SpouseIs70Half">'1040'!$AV$58</definedName>
    <definedName name="SS_Spouse">'1040'!$Y$9</definedName>
    <definedName name="SS_Yours">'1040'!$Y$7</definedName>
    <definedName name="Standard">'1040'!$AR$78</definedName>
    <definedName name="state">'1040'!$O$38</definedName>
    <definedName name="State_Local_Tax_Refund">'Line 10'!$L$53</definedName>
    <definedName name="StateTaxIRA">'1099-R'!$D$57</definedName>
    <definedName name="StateTaxPA">'1099-R'!$E$57</definedName>
    <definedName name="StateTaxW2">'W-2s'!$C$70</definedName>
    <definedName name="Std_Ded_Wrks_For_Dep">'Line 40'!$L$21</definedName>
    <definedName name="StdDeduct">'1040'!$AR$76</definedName>
    <definedName name="StuLoanIntDeduct">'1040'!$V$66</definedName>
    <definedName name="Tax">'1040'!$AB$81</definedName>
    <definedName name="Tax_FEI_TW">'Line 44'!$AN$43</definedName>
    <definedName name="Tax_SS_Benefits">'Line 20'!$J$52</definedName>
    <definedName name="Taxable_Inc">'1040'!$AB$80</definedName>
    <definedName name="TaxableInterest">'1040'!$AB$39</definedName>
    <definedName name="TaxDay">'Line 32'!$X$96</definedName>
    <definedName name="TaxPenalty">'1040'!$V$120</definedName>
    <definedName name="TaxYear">'1040'!$Q$3</definedName>
    <definedName name="TaxYear2">'1040'!$Q$3</definedName>
    <definedName name="Tot_credits">'1040'!$AB$92</definedName>
    <definedName name="Tot_Exemptions">'1040'!$AG$37</definedName>
    <definedName name="Tot_Item_Deduct">'Sch. A'!$N$66</definedName>
    <definedName name="Tot_Payments">'1040'!$AB$113</definedName>
    <definedName name="Tot_Tax">'1040'!$AB$101</definedName>
    <definedName name="Total_Income">'1040'!$AB$55</definedName>
    <definedName name="W2_Other">'W-2s'!$C$68</definedName>
    <definedName name="W2_SS_Tax_Excess">'W-2s'!$H$55</definedName>
    <definedName name="W2_SS_Tax_Withheld">'W-2s'!$C$55</definedName>
    <definedName name="W2_SS_Wages">'W-2s'!$C$54</definedName>
    <definedName name="W2_Tax_Withheld">'W-2s'!$C$53</definedName>
    <definedName name="W2_Wages">'W-2s'!$C$52</definedName>
    <definedName name="Wages">'1040'!$AB$38</definedName>
    <definedName name="you_blind">'1040'!$S$74</definedName>
    <definedName name="you_over_64">'1040'!$H$74</definedName>
    <definedName name="You_Owe">'1040'!$AB$119</definedName>
    <definedName name="YouR70Half">'1040'!$AV$43</definedName>
    <definedName name="YourAge">'1040'!$AR$45</definedName>
    <definedName name="YourAgeDecimal">'1040'!$AR$44</definedName>
    <definedName name="YourBirthDate">'1040'!$AR$40</definedName>
    <definedName name="YourBirthDay">'1040'!$AN$11</definedName>
    <definedName name="YourBirthMonth">'1040'!$AM$11</definedName>
    <definedName name="YourBirthYear">'1040'!$AO$11</definedName>
    <definedName name="Yourself">'1040'!$E$26</definedName>
  </definedNames>
  <calcPr calcId="145621"/>
</workbook>
</file>

<file path=xl/calcChain.xml><?xml version="1.0" encoding="utf-8"?>
<calcChain xmlns="http://schemas.openxmlformats.org/spreadsheetml/2006/main">
  <c r="V167" i="68" l="1"/>
  <c r="T167" i="68"/>
  <c r="R167" i="68"/>
  <c r="P167" i="68"/>
  <c r="P166" i="68"/>
  <c r="R55" i="33" l="1"/>
  <c r="M75" i="33" l="1"/>
  <c r="M77" i="33"/>
  <c r="D28" i="37"/>
  <c r="C6" i="37"/>
  <c r="V44" i="23" l="1"/>
  <c r="V87" i="23" s="1"/>
  <c r="E44" i="23"/>
  <c r="Z52" i="23" s="1"/>
  <c r="Z51" i="23"/>
  <c r="Z53" i="23"/>
  <c r="Z54" i="23"/>
  <c r="Z83" i="23" l="1"/>
  <c r="Z84" i="23"/>
  <c r="Z85" i="23"/>
  <c r="Z86" i="23"/>
  <c r="V55" i="23" l="1"/>
  <c r="Z101" i="68" l="1"/>
  <c r="M58" i="33"/>
  <c r="R56" i="33"/>
  <c r="L25" i="28" l="1"/>
  <c r="O48" i="2" l="1"/>
  <c r="S100" i="68" l="1"/>
  <c r="U102" i="68" s="1"/>
  <c r="AC116" i="43" l="1"/>
  <c r="Q55" i="43"/>
  <c r="N40" i="6"/>
  <c r="K40" i="6"/>
  <c r="J40" i="6"/>
  <c r="H40" i="6"/>
  <c r="N38" i="6"/>
  <c r="K38" i="6"/>
  <c r="J38" i="6"/>
  <c r="H38" i="6"/>
  <c r="N36" i="6"/>
  <c r="K36" i="6"/>
  <c r="J36" i="6"/>
  <c r="H36" i="6"/>
  <c r="N34" i="6"/>
  <c r="N20" i="6"/>
  <c r="K20" i="6"/>
  <c r="J20" i="6"/>
  <c r="H20" i="6"/>
  <c r="N18" i="6"/>
  <c r="K18" i="6"/>
  <c r="J18" i="6"/>
  <c r="H18" i="6"/>
  <c r="N16" i="6"/>
  <c r="K16" i="6"/>
  <c r="J16" i="6"/>
  <c r="H16" i="6"/>
  <c r="N14" i="6"/>
  <c r="AW56" i="2" l="1"/>
  <c r="AW41" i="2"/>
  <c r="K62" i="59" l="1"/>
  <c r="K26" i="59"/>
  <c r="AP136" i="68" l="1"/>
  <c r="AN136" i="68"/>
  <c r="AP137" i="68"/>
  <c r="AN137" i="68"/>
  <c r="AL137" i="68"/>
  <c r="AJ137" i="68"/>
  <c r="W283" i="68"/>
  <c r="W284" i="68"/>
  <c r="W286" i="68"/>
  <c r="W279" i="68"/>
  <c r="W280" i="68"/>
  <c r="W281" i="68"/>
  <c r="W301" i="68"/>
  <c r="W302" i="68"/>
  <c r="W303" i="68"/>
  <c r="W304" i="68"/>
  <c r="W305" i="68"/>
  <c r="W306" i="68"/>
  <c r="W307" i="68"/>
  <c r="W308" i="68"/>
  <c r="W309" i="68"/>
  <c r="W310" i="68"/>
  <c r="W311" i="68"/>
  <c r="W312" i="68"/>
  <c r="W313" i="68"/>
  <c r="W314" i="68"/>
  <c r="W315" i="68"/>
  <c r="W316" i="68"/>
  <c r="W317" i="68"/>
  <c r="W318" i="68"/>
  <c r="W319" i="68"/>
  <c r="W320" i="68"/>
  <c r="W321" i="68"/>
  <c r="W322" i="68"/>
  <c r="W323" i="68"/>
  <c r="W324" i="68"/>
  <c r="W325" i="68"/>
  <c r="W326" i="68"/>
  <c r="W327" i="68"/>
  <c r="W328" i="68"/>
  <c r="W329" i="68"/>
  <c r="W330" i="68"/>
  <c r="W331" i="68"/>
  <c r="W332" i="68"/>
  <c r="W278" i="68"/>
  <c r="W288" i="68" l="1"/>
  <c r="W287" i="68"/>
  <c r="AP122" i="68"/>
  <c r="AN122" i="68"/>
  <c r="AP123" i="68"/>
  <c r="AN123" i="68"/>
  <c r="AL123" i="68"/>
  <c r="AJ123" i="68"/>
  <c r="B214" i="68" l="1"/>
  <c r="Y327" i="68"/>
  <c r="Y328" i="68"/>
  <c r="Y329" i="68"/>
  <c r="Y330" i="68"/>
  <c r="Y331" i="68"/>
  <c r="Y332" i="68"/>
  <c r="Y279" i="68"/>
  <c r="AC62" i="68"/>
  <c r="W290" i="68" l="1"/>
  <c r="AC61" i="68"/>
  <c r="Y75" i="68"/>
  <c r="Y74" i="68"/>
  <c r="Y73" i="68"/>
  <c r="Y72" i="68"/>
  <c r="Y71" i="68"/>
  <c r="AB68" i="68"/>
  <c r="AG67" i="68"/>
  <c r="W291" i="68" l="1"/>
  <c r="Y280" i="68"/>
  <c r="Y78" i="68"/>
  <c r="AC66" i="68" s="1"/>
  <c r="U278" i="68"/>
  <c r="AP117" i="68"/>
  <c r="AN117" i="68"/>
  <c r="AL116" i="68"/>
  <c r="AL117" i="68"/>
  <c r="AJ116" i="68"/>
  <c r="AJ117" i="68"/>
  <c r="AC32" i="68"/>
  <c r="AL136" i="68" l="1"/>
  <c r="AL122" i="68"/>
  <c r="AJ136" i="68"/>
  <c r="AJ122" i="68"/>
  <c r="W292" i="68"/>
  <c r="U279" i="68"/>
  <c r="U280" i="68" s="1"/>
  <c r="U281" i="68" s="1"/>
  <c r="Y281" i="68"/>
  <c r="AC78" i="68"/>
  <c r="AB65" i="68"/>
  <c r="Z74" i="68"/>
  <c r="Z73" i="68"/>
  <c r="Z72" i="68"/>
  <c r="Z71" i="68"/>
  <c r="S272" i="68"/>
  <c r="W293" i="68" l="1"/>
  <c r="Y282" i="68"/>
  <c r="U282" i="68"/>
  <c r="S274" i="68"/>
  <c r="W294" i="68" l="1"/>
  <c r="Y283" i="68"/>
  <c r="U283" i="68"/>
  <c r="O279" i="68"/>
  <c r="O280" i="68"/>
  <c r="O281" i="68"/>
  <c r="O282" i="68"/>
  <c r="O283" i="68"/>
  <c r="O284" i="68"/>
  <c r="O285" i="68"/>
  <c r="O286" i="68"/>
  <c r="O287" i="68"/>
  <c r="O288" i="68"/>
  <c r="O289" i="68"/>
  <c r="O290" i="68"/>
  <c r="O291" i="68"/>
  <c r="O292" i="68"/>
  <c r="O293" i="68"/>
  <c r="O294" i="68"/>
  <c r="O295" i="68"/>
  <c r="O296" i="68"/>
  <c r="O297" i="68"/>
  <c r="O298" i="68"/>
  <c r="O299" i="68"/>
  <c r="O300" i="68"/>
  <c r="O301" i="68"/>
  <c r="O302" i="68"/>
  <c r="O303" i="68"/>
  <c r="O304" i="68"/>
  <c r="O305" i="68"/>
  <c r="O306" i="68"/>
  <c r="O307" i="68"/>
  <c r="O308" i="68"/>
  <c r="O309" i="68"/>
  <c r="O310" i="68"/>
  <c r="O311" i="68"/>
  <c r="O312" i="68"/>
  <c r="O313" i="68"/>
  <c r="O314" i="68"/>
  <c r="O315" i="68"/>
  <c r="O316" i="68"/>
  <c r="O317" i="68"/>
  <c r="O318" i="68"/>
  <c r="O319" i="68"/>
  <c r="O320" i="68"/>
  <c r="O321" i="68"/>
  <c r="O322" i="68"/>
  <c r="O323" i="68"/>
  <c r="O324" i="68"/>
  <c r="O325" i="68"/>
  <c r="O326" i="68"/>
  <c r="O327" i="68"/>
  <c r="O328" i="68"/>
  <c r="O329" i="68"/>
  <c r="O330" i="68"/>
  <c r="O331" i="68"/>
  <c r="O332" i="68"/>
  <c r="O278" i="68"/>
  <c r="V216" i="68"/>
  <c r="V255" i="68" s="1"/>
  <c r="BH278" i="68" s="1"/>
  <c r="T216" i="68"/>
  <c r="T235" i="68" s="1"/>
  <c r="K256" i="68"/>
  <c r="K255" i="68"/>
  <c r="K245" i="68"/>
  <c r="K235" i="68"/>
  <c r="K236" i="68"/>
  <c r="T245" i="68" s="1"/>
  <c r="K225" i="68"/>
  <c r="K226" i="68"/>
  <c r="R235" i="68" s="1"/>
  <c r="BB278" i="68" s="1"/>
  <c r="K246" i="68"/>
  <c r="T255" i="68" s="1"/>
  <c r="BG278" i="68" s="1"/>
  <c r="BE278" i="68" l="1"/>
  <c r="BF278" i="68"/>
  <c r="Y284" i="68"/>
  <c r="U284" i="68"/>
  <c r="F244" i="68"/>
  <c r="F254" i="68"/>
  <c r="F234" i="68"/>
  <c r="F224" i="68"/>
  <c r="G229" i="68"/>
  <c r="P245" i="68"/>
  <c r="R245" i="68"/>
  <c r="BC278" i="68" s="1"/>
  <c r="P255" i="68"/>
  <c r="R255" i="68"/>
  <c r="BD278" i="68" s="1"/>
  <c r="P235" i="68"/>
  <c r="AC175" i="68"/>
  <c r="AC195" i="68"/>
  <c r="AC230" i="68"/>
  <c r="AC231" i="68"/>
  <c r="AC243" i="68"/>
  <c r="P216" i="68"/>
  <c r="R216" i="68"/>
  <c r="R225" i="68" s="1"/>
  <c r="BA278" i="68" s="1"/>
  <c r="AZ280" i="68" l="1"/>
  <c r="AZ284" i="68"/>
  <c r="AZ288" i="68"/>
  <c r="AZ292" i="68"/>
  <c r="AZ296" i="68"/>
  <c r="AZ300" i="68"/>
  <c r="AZ304" i="68"/>
  <c r="AZ308" i="68"/>
  <c r="AZ312" i="68"/>
  <c r="AZ316" i="68"/>
  <c r="AZ320" i="68"/>
  <c r="AZ324" i="68"/>
  <c r="AZ328" i="68"/>
  <c r="AZ332" i="68"/>
  <c r="AZ278" i="68"/>
  <c r="AZ303" i="68"/>
  <c r="AZ323" i="68"/>
  <c r="AZ281" i="68"/>
  <c r="AZ285" i="68"/>
  <c r="AZ289" i="68"/>
  <c r="AZ293" i="68"/>
  <c r="AZ297" i="68"/>
  <c r="AZ301" i="68"/>
  <c r="AZ305" i="68"/>
  <c r="AZ309" i="68"/>
  <c r="AZ313" i="68"/>
  <c r="AZ317" i="68"/>
  <c r="AZ321" i="68"/>
  <c r="AZ325" i="68"/>
  <c r="AZ329" i="68"/>
  <c r="AZ279" i="68"/>
  <c r="AZ311" i="68"/>
  <c r="AZ327" i="68"/>
  <c r="AZ282" i="68"/>
  <c r="AZ286" i="68"/>
  <c r="AZ290" i="68"/>
  <c r="AZ294" i="68"/>
  <c r="AZ298" i="68"/>
  <c r="AZ302" i="68"/>
  <c r="AZ306" i="68"/>
  <c r="AZ310" i="68"/>
  <c r="AZ314" i="68"/>
  <c r="AZ318" i="68"/>
  <c r="AZ322" i="68"/>
  <c r="AZ326" i="68"/>
  <c r="AZ330" i="68"/>
  <c r="AZ283" i="68"/>
  <c r="AZ287" i="68"/>
  <c r="AZ291" i="68"/>
  <c r="AZ295" i="68"/>
  <c r="AZ299" i="68"/>
  <c r="AZ307" i="68"/>
  <c r="AZ315" i="68"/>
  <c r="AZ319" i="68"/>
  <c r="AZ331" i="68"/>
  <c r="AX280" i="68"/>
  <c r="AX284" i="68"/>
  <c r="AX288" i="68"/>
  <c r="AX292" i="68"/>
  <c r="AX296" i="68"/>
  <c r="AX300" i="68"/>
  <c r="AX304" i="68"/>
  <c r="AX308" i="68"/>
  <c r="AX312" i="68"/>
  <c r="AX316" i="68"/>
  <c r="AX320" i="68"/>
  <c r="AX324" i="68"/>
  <c r="AX328" i="68"/>
  <c r="AX332" i="68"/>
  <c r="AX287" i="68"/>
  <c r="AX299" i="68"/>
  <c r="AX311" i="68"/>
  <c r="AX323" i="68"/>
  <c r="AX281" i="68"/>
  <c r="AX285" i="68"/>
  <c r="AX289" i="68"/>
  <c r="AX293" i="68"/>
  <c r="AX297" i="68"/>
  <c r="AX301" i="68"/>
  <c r="AX305" i="68"/>
  <c r="AX309" i="68"/>
  <c r="AX313" i="68"/>
  <c r="AX317" i="68"/>
  <c r="AX321" i="68"/>
  <c r="AX325" i="68"/>
  <c r="AX329" i="68"/>
  <c r="AX279" i="68"/>
  <c r="AX283" i="68"/>
  <c r="AX295" i="68"/>
  <c r="AX307" i="68"/>
  <c r="AX319" i="68"/>
  <c r="AX331" i="68"/>
  <c r="AX282" i="68"/>
  <c r="AX286" i="68"/>
  <c r="AX290" i="68"/>
  <c r="AX294" i="68"/>
  <c r="AX298" i="68"/>
  <c r="AX302" i="68"/>
  <c r="AX306" i="68"/>
  <c r="AX310" i="68"/>
  <c r="AX314" i="68"/>
  <c r="AX318" i="68"/>
  <c r="AX322" i="68"/>
  <c r="AX326" i="68"/>
  <c r="AX330" i="68"/>
  <c r="AX278" i="68"/>
  <c r="AX291" i="68"/>
  <c r="AX303" i="68"/>
  <c r="AX315" i="68"/>
  <c r="AX327" i="68"/>
  <c r="AY282" i="68"/>
  <c r="AY286" i="68"/>
  <c r="AY290" i="68"/>
  <c r="AY294" i="68"/>
  <c r="AY298" i="68"/>
  <c r="AY302" i="68"/>
  <c r="AY306" i="68"/>
  <c r="AY310" i="68"/>
  <c r="AY314" i="68"/>
  <c r="AY318" i="68"/>
  <c r="AY322" i="68"/>
  <c r="AY326" i="68"/>
  <c r="AY330" i="68"/>
  <c r="AY278" i="68"/>
  <c r="AY281" i="68"/>
  <c r="AY293" i="68"/>
  <c r="AY305" i="68"/>
  <c r="AY317" i="68"/>
  <c r="AY329" i="68"/>
  <c r="AY283" i="68"/>
  <c r="AY287" i="68"/>
  <c r="AY291" i="68"/>
  <c r="AY295" i="68"/>
  <c r="AY299" i="68"/>
  <c r="AY303" i="68"/>
  <c r="AY307" i="68"/>
  <c r="AY311" i="68"/>
  <c r="AY315" i="68"/>
  <c r="AY319" i="68"/>
  <c r="AY323" i="68"/>
  <c r="AY327" i="68"/>
  <c r="AY331" i="68"/>
  <c r="AY289" i="68"/>
  <c r="AY301" i="68"/>
  <c r="AY313" i="68"/>
  <c r="AY325" i="68"/>
  <c r="AY280" i="68"/>
  <c r="AY284" i="68"/>
  <c r="AY288" i="68"/>
  <c r="AY292" i="68"/>
  <c r="AY296" i="68"/>
  <c r="AY300" i="68"/>
  <c r="AY304" i="68"/>
  <c r="AY308" i="68"/>
  <c r="AY312" i="68"/>
  <c r="AY316" i="68"/>
  <c r="AY320" i="68"/>
  <c r="AY324" i="68"/>
  <c r="AY328" i="68"/>
  <c r="AY332" i="68"/>
  <c r="AY285" i="68"/>
  <c r="AY297" i="68"/>
  <c r="AY309" i="68"/>
  <c r="AY321" i="68"/>
  <c r="AY279" i="68"/>
  <c r="W296" i="68"/>
  <c r="Y285" i="68"/>
  <c r="U285" i="68"/>
  <c r="AG66" i="68"/>
  <c r="AG64" i="68"/>
  <c r="AG74" i="68"/>
  <c r="AG73" i="68"/>
  <c r="AG72" i="68"/>
  <c r="AG70" i="68"/>
  <c r="AG69" i="68"/>
  <c r="AG68" i="68"/>
  <c r="E65" i="68"/>
  <c r="Z186" i="68"/>
  <c r="Z187" i="68"/>
  <c r="Z188" i="68"/>
  <c r="Z189" i="68"/>
  <c r="Z190" i="68"/>
  <c r="Z191" i="68"/>
  <c r="Z192" i="68"/>
  <c r="Z193" i="68"/>
  <c r="Z194" i="68"/>
  <c r="Z195" i="68"/>
  <c r="Z196" i="68"/>
  <c r="Z197" i="68"/>
  <c r="Z198" i="68"/>
  <c r="AB46" i="68"/>
  <c r="B63" i="68"/>
  <c r="B61" i="68"/>
  <c r="H80" i="68" s="1"/>
  <c r="B59" i="68"/>
  <c r="B57" i="68"/>
  <c r="AG65" i="68"/>
  <c r="AG63" i="68"/>
  <c r="AG51" i="68"/>
  <c r="X42" i="30"/>
  <c r="X40" i="30"/>
  <c r="X39" i="30"/>
  <c r="X38" i="30"/>
  <c r="X37" i="30"/>
  <c r="X36" i="30"/>
  <c r="X35" i="30"/>
  <c r="X34" i="30"/>
  <c r="X33" i="30"/>
  <c r="X32" i="30"/>
  <c r="X30" i="30"/>
  <c r="X29" i="30"/>
  <c r="X28" i="30"/>
  <c r="X27" i="30"/>
  <c r="X26" i="30"/>
  <c r="X25" i="30"/>
  <c r="X21" i="30"/>
  <c r="X19" i="30"/>
  <c r="X18" i="30"/>
  <c r="X17" i="30"/>
  <c r="X16" i="30"/>
  <c r="X15" i="30"/>
  <c r="X14" i="30"/>
  <c r="X13" i="30"/>
  <c r="X12" i="30"/>
  <c r="X11" i="30"/>
  <c r="X9" i="30"/>
  <c r="X8" i="30"/>
  <c r="X7" i="30"/>
  <c r="X6" i="30"/>
  <c r="X5" i="30"/>
  <c r="X4" i="30"/>
  <c r="W42" i="30"/>
  <c r="W40" i="30"/>
  <c r="W39" i="30"/>
  <c r="W38" i="30"/>
  <c r="W37" i="30"/>
  <c r="W36" i="30"/>
  <c r="W35" i="30"/>
  <c r="W34" i="30"/>
  <c r="W33" i="30"/>
  <c r="W32" i="30"/>
  <c r="W30" i="30"/>
  <c r="W29" i="30"/>
  <c r="W28" i="30"/>
  <c r="W27" i="30"/>
  <c r="W26" i="30"/>
  <c r="W25" i="30"/>
  <c r="W21" i="30"/>
  <c r="W19" i="30"/>
  <c r="W18" i="30"/>
  <c r="W17" i="30"/>
  <c r="W16" i="30"/>
  <c r="W15" i="30"/>
  <c r="W14" i="30"/>
  <c r="W13" i="30"/>
  <c r="W12" i="30"/>
  <c r="W11" i="30"/>
  <c r="W9" i="30"/>
  <c r="W8" i="30"/>
  <c r="W7" i="30"/>
  <c r="W6" i="30"/>
  <c r="W5" i="30"/>
  <c r="W4" i="30"/>
  <c r="W297" i="68" l="1"/>
  <c r="V188" i="68"/>
  <c r="T188" i="68"/>
  <c r="R188" i="68"/>
  <c r="V183" i="68"/>
  <c r="T183" i="68"/>
  <c r="R183" i="68"/>
  <c r="P183" i="68"/>
  <c r="V203" i="68"/>
  <c r="V205" i="68" s="1"/>
  <c r="V208" i="68" s="1"/>
  <c r="T203" i="68"/>
  <c r="T205" i="68" s="1"/>
  <c r="T208" i="68" s="1"/>
  <c r="R203" i="68"/>
  <c r="R205" i="68" s="1"/>
  <c r="R208" i="68" s="1"/>
  <c r="P203" i="68"/>
  <c r="V207" i="68"/>
  <c r="T207" i="68"/>
  <c r="R207" i="68"/>
  <c r="P207" i="68"/>
  <c r="P205" i="68"/>
  <c r="P208" i="68" s="1"/>
  <c r="Y286" i="68"/>
  <c r="U286" i="68"/>
  <c r="P158" i="68"/>
  <c r="R158" i="68"/>
  <c r="T158" i="68"/>
  <c r="V158" i="68"/>
  <c r="K153" i="68"/>
  <c r="M19" i="23"/>
  <c r="W298" i="68" l="1"/>
  <c r="Y287" i="68"/>
  <c r="U287" i="68"/>
  <c r="P176" i="68"/>
  <c r="T176" i="68"/>
  <c r="R176" i="68"/>
  <c r="G239" i="68"/>
  <c r="G259" i="68"/>
  <c r="W299" i="68" l="1"/>
  <c r="W300" i="68"/>
  <c r="V176" i="68"/>
  <c r="Y288" i="68"/>
  <c r="U288" i="68"/>
  <c r="D190" i="68"/>
  <c r="Y289" i="68" l="1"/>
  <c r="U289" i="68"/>
  <c r="AP165" i="68"/>
  <c r="AN165" i="68"/>
  <c r="AL165" i="68"/>
  <c r="AJ165" i="68"/>
  <c r="AP156" i="68"/>
  <c r="AN156" i="68"/>
  <c r="AL156" i="68"/>
  <c r="AJ156" i="68"/>
  <c r="AO212" i="68"/>
  <c r="AM212" i="68"/>
  <c r="AK212" i="68"/>
  <c r="AI212" i="68"/>
  <c r="AO154" i="68"/>
  <c r="AM154" i="68"/>
  <c r="AK154" i="68"/>
  <c r="AI154" i="68"/>
  <c r="Y290" i="68" l="1"/>
  <c r="U290" i="68"/>
  <c r="AN167" i="68"/>
  <c r="AP167" i="68"/>
  <c r="AJ167" i="68"/>
  <c r="AL167" i="68"/>
  <c r="AL163" i="68"/>
  <c r="AL169" i="68" s="1"/>
  <c r="AN163" i="68"/>
  <c r="AN169" i="68" s="1"/>
  <c r="AP163" i="68"/>
  <c r="AP169" i="68" s="1"/>
  <c r="AJ163" i="68"/>
  <c r="AJ169" i="68" s="1"/>
  <c r="AJ217" i="68"/>
  <c r="Y291" i="68" l="1"/>
  <c r="U291" i="68"/>
  <c r="AJ170" i="68"/>
  <c r="AJ185" i="68"/>
  <c r="AJ173" i="68"/>
  <c r="AJ175" i="68" s="1"/>
  <c r="AJ177" i="68"/>
  <c r="AN185" i="68"/>
  <c r="AN173" i="68"/>
  <c r="AN175" i="68" s="1"/>
  <c r="AN177" i="68"/>
  <c r="AN170" i="68"/>
  <c r="AP177" i="68"/>
  <c r="AP170" i="68"/>
  <c r="AP185" i="68"/>
  <c r="AP173" i="68"/>
  <c r="AP175" i="68" s="1"/>
  <c r="AL185" i="68"/>
  <c r="AL173" i="68"/>
  <c r="AL175" i="68" s="1"/>
  <c r="AL177" i="68"/>
  <c r="AL170" i="68"/>
  <c r="AJ239" i="68"/>
  <c r="AJ232" i="68"/>
  <c r="V152" i="68"/>
  <c r="T152" i="68"/>
  <c r="R152" i="68"/>
  <c r="P152" i="68"/>
  <c r="Y292" i="68" l="1"/>
  <c r="U292" i="68"/>
  <c r="AJ188" i="68"/>
  <c r="AJ190" i="68" s="1"/>
  <c r="P163" i="68" s="1"/>
  <c r="P168" i="68" s="1"/>
  <c r="P169" i="68" s="1"/>
  <c r="AP188" i="68"/>
  <c r="AP190" i="68" s="1"/>
  <c r="V163" i="68" s="1"/>
  <c r="V168" i="68" s="1"/>
  <c r="V169" i="68" s="1"/>
  <c r="AL188" i="68"/>
  <c r="AL190" i="68" s="1"/>
  <c r="R163" i="68" s="1"/>
  <c r="R168" i="68" s="1"/>
  <c r="R169" i="68" s="1"/>
  <c r="AN188" i="68"/>
  <c r="AN190" i="68" s="1"/>
  <c r="T163" i="68" s="1"/>
  <c r="T168" i="68" s="1"/>
  <c r="T169" i="68" s="1"/>
  <c r="AJ226" i="68"/>
  <c r="AJ228" i="68" s="1"/>
  <c r="AP226" i="68"/>
  <c r="AN226" i="68"/>
  <c r="AL226" i="68"/>
  <c r="AY193" i="68"/>
  <c r="AY192" i="68"/>
  <c r="BF190" i="68"/>
  <c r="BE190" i="68"/>
  <c r="BD190" i="68"/>
  <c r="BC190" i="68"/>
  <c r="AY185" i="68"/>
  <c r="AY184" i="68"/>
  <c r="BF182" i="68"/>
  <c r="BE182" i="68"/>
  <c r="BD182" i="68"/>
  <c r="BC182" i="68"/>
  <c r="AY177" i="68"/>
  <c r="AY176" i="68"/>
  <c r="BF174" i="68"/>
  <c r="BE174" i="68"/>
  <c r="BD174" i="68"/>
  <c r="BC174" i="68"/>
  <c r="AY169" i="68"/>
  <c r="AY168" i="68"/>
  <c r="BF166" i="68"/>
  <c r="BE166" i="68"/>
  <c r="BD166" i="68"/>
  <c r="BC166" i="68"/>
  <c r="D170" i="68"/>
  <c r="AL217" i="68"/>
  <c r="D163" i="68"/>
  <c r="AL228" i="68" l="1"/>
  <c r="AL235" i="68" s="1"/>
  <c r="Y293" i="68"/>
  <c r="U293" i="68"/>
  <c r="AP197" i="68"/>
  <c r="AP201" i="68" s="1"/>
  <c r="AL195" i="68"/>
  <c r="AJ191" i="68"/>
  <c r="AJ197" i="68"/>
  <c r="AJ201" i="68" s="1"/>
  <c r="AJ195" i="68"/>
  <c r="AP191" i="68"/>
  <c r="AP195" i="68"/>
  <c r="AL191" i="68"/>
  <c r="AL197" i="68"/>
  <c r="AL201" i="68" s="1"/>
  <c r="AN197" i="68"/>
  <c r="AN201" i="68" s="1"/>
  <c r="AN195" i="68"/>
  <c r="AN191" i="68"/>
  <c r="AL218" i="68"/>
  <c r="R173" i="68" s="1"/>
  <c r="R174" i="68" s="1"/>
  <c r="R175" i="68" s="1"/>
  <c r="R180" i="68" s="1"/>
  <c r="AN217" i="68"/>
  <c r="AN228" i="68" s="1"/>
  <c r="AP217" i="68"/>
  <c r="AP228" i="68" s="1"/>
  <c r="R20" i="4"/>
  <c r="R17" i="4"/>
  <c r="R15" i="4"/>
  <c r="R35" i="4"/>
  <c r="R36" i="4"/>
  <c r="R37" i="4"/>
  <c r="R38" i="4"/>
  <c r="R39" i="4"/>
  <c r="R40" i="4"/>
  <c r="R41" i="4"/>
  <c r="R42" i="4"/>
  <c r="R43" i="4"/>
  <c r="R44" i="4"/>
  <c r="R45" i="4"/>
  <c r="R46" i="4"/>
  <c r="R47" i="4"/>
  <c r="R48" i="4"/>
  <c r="R49" i="4"/>
  <c r="R50" i="4"/>
  <c r="R51" i="4"/>
  <c r="R52" i="4"/>
  <c r="R53" i="4"/>
  <c r="R34" i="4"/>
  <c r="R14" i="4"/>
  <c r="R16" i="4"/>
  <c r="R18" i="4"/>
  <c r="R19" i="4"/>
  <c r="R21" i="4"/>
  <c r="R22" i="4"/>
  <c r="R23" i="4"/>
  <c r="R24" i="4"/>
  <c r="R25" i="4"/>
  <c r="R26" i="4"/>
  <c r="R27" i="4"/>
  <c r="R13" i="4"/>
  <c r="Y294" i="68" l="1"/>
  <c r="U294" i="68"/>
  <c r="AL241" i="68"/>
  <c r="AL236" i="68"/>
  <c r="AP235" i="68"/>
  <c r="AP218" i="68"/>
  <c r="V173" i="68" s="1"/>
  <c r="V174" i="68" s="1"/>
  <c r="V175" i="68" s="1"/>
  <c r="V180" i="68" s="1"/>
  <c r="AN235" i="68"/>
  <c r="AN218" i="68"/>
  <c r="T173" i="68" s="1"/>
  <c r="T174" i="68" s="1"/>
  <c r="T175" i="68" s="1"/>
  <c r="T180" i="68" s="1"/>
  <c r="R55" i="4"/>
  <c r="R28" i="4"/>
  <c r="AM40" i="2"/>
  <c r="Y295" i="68" l="1"/>
  <c r="U295" i="68"/>
  <c r="I54" i="4"/>
  <c r="AP236" i="68"/>
  <c r="AP241" i="68"/>
  <c r="AN241" i="68"/>
  <c r="AN236" i="68"/>
  <c r="AL244" i="68"/>
  <c r="I10" i="4"/>
  <c r="I12" i="4"/>
  <c r="I11" i="4"/>
  <c r="T114" i="68"/>
  <c r="T115" i="68" s="1"/>
  <c r="Y296" i="68" l="1"/>
  <c r="U296" i="68"/>
  <c r="P225" i="68"/>
  <c r="AP244" i="68"/>
  <c r="AN244" i="68"/>
  <c r="W73" i="68"/>
  <c r="W80" i="68"/>
  <c r="S44" i="68"/>
  <c r="J40" i="68"/>
  <c r="C14" i="68"/>
  <c r="AW282" i="68" l="1"/>
  <c r="AW286" i="68"/>
  <c r="AW290" i="68"/>
  <c r="AW294" i="68"/>
  <c r="AW298" i="68"/>
  <c r="AW302" i="68"/>
  <c r="AW306" i="68"/>
  <c r="AW310" i="68"/>
  <c r="AW314" i="68"/>
  <c r="AW318" i="68"/>
  <c r="AW322" i="68"/>
  <c r="AW326" i="68"/>
  <c r="AW330" i="68"/>
  <c r="AW311" i="68"/>
  <c r="AW319" i="68"/>
  <c r="AW327" i="68"/>
  <c r="AW331" i="68"/>
  <c r="AW285" i="68"/>
  <c r="AW297" i="68"/>
  <c r="AW309" i="68"/>
  <c r="AW317" i="68"/>
  <c r="AW279" i="68"/>
  <c r="AW278" i="68"/>
  <c r="AW283" i="68"/>
  <c r="AW287" i="68"/>
  <c r="AW291" i="68"/>
  <c r="AW295" i="68"/>
  <c r="AW299" i="68"/>
  <c r="AW303" i="68"/>
  <c r="AW307" i="68"/>
  <c r="AW315" i="68"/>
  <c r="AW323" i="68"/>
  <c r="AW289" i="68"/>
  <c r="AW301" i="68"/>
  <c r="AW313" i="68"/>
  <c r="AW325" i="68"/>
  <c r="AW280" i="68"/>
  <c r="AW284" i="68"/>
  <c r="AW288" i="68"/>
  <c r="AW292" i="68"/>
  <c r="AW296" i="68"/>
  <c r="AW300" i="68"/>
  <c r="AW304" i="68"/>
  <c r="AW308" i="68"/>
  <c r="AW312" i="68"/>
  <c r="AW316" i="68"/>
  <c r="AW320" i="68"/>
  <c r="AW324" i="68"/>
  <c r="AW328" i="68"/>
  <c r="AW332" i="68"/>
  <c r="AW281" i="68"/>
  <c r="AW293" i="68"/>
  <c r="AW305" i="68"/>
  <c r="AW321" i="68"/>
  <c r="AW329" i="68"/>
  <c r="P124" i="68"/>
  <c r="R124" i="68" s="1"/>
  <c r="T124" i="68" s="1"/>
  <c r="V124" i="68" s="1"/>
  <c r="Y297" i="68"/>
  <c r="U297" i="68"/>
  <c r="D42" i="68"/>
  <c r="Y298" i="68" l="1"/>
  <c r="U298" i="68"/>
  <c r="Z202" i="68"/>
  <c r="Z199" i="68"/>
  <c r="Z185" i="68"/>
  <c r="Z184" i="68"/>
  <c r="Z183" i="68"/>
  <c r="Z182" i="68"/>
  <c r="Z179" i="68"/>
  <c r="Y299" i="68" l="1"/>
  <c r="U299" i="68"/>
  <c r="Z173" i="68"/>
  <c r="Z167" i="68"/>
  <c r="Z161" i="68"/>
  <c r="Z162" i="68"/>
  <c r="Z158" i="68"/>
  <c r="Z157" i="68"/>
  <c r="Z156" i="68"/>
  <c r="Y300" i="68" l="1"/>
  <c r="U300" i="68"/>
  <c r="U301" i="68" s="1"/>
  <c r="U302" i="68" s="1"/>
  <c r="U303" i="68" s="1"/>
  <c r="U304" i="68" s="1"/>
  <c r="U305" i="68" s="1"/>
  <c r="U306" i="68" s="1"/>
  <c r="U307" i="68" s="1"/>
  <c r="U308" i="68" s="1"/>
  <c r="U309" i="68" s="1"/>
  <c r="U310" i="68" s="1"/>
  <c r="U311" i="68" s="1"/>
  <c r="U312" i="68" s="1"/>
  <c r="U313" i="68" s="1"/>
  <c r="U314" i="68" s="1"/>
  <c r="U315" i="68" s="1"/>
  <c r="U316" i="68" s="1"/>
  <c r="U317" i="68" s="1"/>
  <c r="U318" i="68" s="1"/>
  <c r="U319" i="68" s="1"/>
  <c r="U320" i="68" s="1"/>
  <c r="U321" i="68" s="1"/>
  <c r="U322" i="68" s="1"/>
  <c r="U323" i="68" s="1"/>
  <c r="U324" i="68" s="1"/>
  <c r="U325" i="68" s="1"/>
  <c r="U326" i="68" s="1"/>
  <c r="U327" i="68" s="1"/>
  <c r="U328" i="68" s="1"/>
  <c r="U329" i="68" s="1"/>
  <c r="U330" i="68" s="1"/>
  <c r="U331" i="68" s="1"/>
  <c r="U332" i="68" s="1"/>
  <c r="W209" i="68"/>
  <c r="D117" i="68"/>
  <c r="C149" i="68"/>
  <c r="W148" i="68"/>
  <c r="V114" i="68"/>
  <c r="V115" i="68" s="1"/>
  <c r="R114" i="68"/>
  <c r="R115" i="68" s="1"/>
  <c r="P114" i="68"/>
  <c r="P115" i="68" s="1"/>
  <c r="C110" i="68"/>
  <c r="D98" i="68"/>
  <c r="U100" i="68"/>
  <c r="K100" i="68" s="1"/>
  <c r="U103" i="68"/>
  <c r="O104" i="68" s="1"/>
  <c r="W109" i="68"/>
  <c r="C68" i="68"/>
  <c r="C9" i="68"/>
  <c r="W67" i="68"/>
  <c r="S11" i="68"/>
  <c r="B15" i="23"/>
  <c r="U14" i="23"/>
  <c r="Z180" i="68"/>
  <c r="T7" i="68"/>
  <c r="Y301" i="68" l="1"/>
  <c r="I104" i="68"/>
  <c r="J101" i="68"/>
  <c r="U101" i="68"/>
  <c r="Y302" i="68" l="1"/>
  <c r="Y303" i="68" l="1"/>
  <c r="Y304" i="68" l="1"/>
  <c r="F37" i="13"/>
  <c r="Y305" i="68" l="1"/>
  <c r="C21" i="13"/>
  <c r="Y306" i="68" l="1"/>
  <c r="AE166" i="62"/>
  <c r="Y307" i="68" l="1"/>
  <c r="C8" i="1"/>
  <c r="C33" i="1"/>
  <c r="B50" i="1" s="1"/>
  <c r="E8" i="1"/>
  <c r="Q20" i="15"/>
  <c r="B25" i="1" l="1"/>
  <c r="Y308" i="68"/>
  <c r="Y309" i="68" l="1"/>
  <c r="V20" i="13"/>
  <c r="Y310" i="68" l="1"/>
  <c r="Y312" i="68"/>
  <c r="B5" i="3"/>
  <c r="AG18" i="3"/>
  <c r="V9" i="3"/>
  <c r="V13" i="3"/>
  <c r="V12" i="3"/>
  <c r="Y311" i="68" l="1"/>
  <c r="Y313" i="68"/>
  <c r="V14" i="13"/>
  <c r="C63" i="13"/>
  <c r="C15" i="13"/>
  <c r="C17" i="13"/>
  <c r="Y314" i="68" l="1"/>
  <c r="P11" i="13"/>
  <c r="P12" i="13"/>
  <c r="C61" i="13"/>
  <c r="J87" i="13"/>
  <c r="L78" i="13"/>
  <c r="O20" i="13"/>
  <c r="M20" i="13"/>
  <c r="V17" i="13"/>
  <c r="R27" i="13" s="1"/>
  <c r="K49" i="13"/>
  <c r="Y315" i="68" l="1"/>
  <c r="P30" i="13"/>
  <c r="R46" i="12"/>
  <c r="R45" i="12"/>
  <c r="Y316" i="68" l="1"/>
  <c r="O24" i="46"/>
  <c r="Y317" i="68" l="1"/>
  <c r="AI43" i="2"/>
  <c r="Y318" i="68" l="1"/>
  <c r="AI40" i="2"/>
  <c r="AI41" i="2"/>
  <c r="AI42" i="2"/>
  <c r="V49" i="23"/>
  <c r="V80" i="23"/>
  <c r="Y319" i="68" l="1"/>
  <c r="AR50" i="2"/>
  <c r="O75" i="2" s="1"/>
  <c r="Y320" i="68" l="1"/>
  <c r="N74" i="2"/>
  <c r="AI20" i="2"/>
  <c r="Y321" i="68" l="1"/>
  <c r="AQ14" i="2"/>
  <c r="AQ12" i="2"/>
  <c r="Y322" i="68" l="1"/>
  <c r="AQ13" i="2"/>
  <c r="AQ11" i="2"/>
  <c r="AQ57" i="2"/>
  <c r="AR57" i="2" s="1"/>
  <c r="AQ42" i="2"/>
  <c r="AR42" i="2" s="1"/>
  <c r="AR60" i="2"/>
  <c r="AX57" i="2"/>
  <c r="AX58" i="2" s="1"/>
  <c r="AQ56" i="2"/>
  <c r="AV46" i="2"/>
  <c r="AR45" i="2"/>
  <c r="AX42" i="2"/>
  <c r="AX43" i="2" s="1"/>
  <c r="AQ41" i="2"/>
  <c r="AL13" i="2"/>
  <c r="AL28" i="2"/>
  <c r="Y323" i="68" l="1"/>
  <c r="AS42" i="2"/>
  <c r="AR40" i="2"/>
  <c r="AS57" i="2"/>
  <c r="AR55" i="2"/>
  <c r="AK9" i="2"/>
  <c r="Y324" i="68" l="1"/>
  <c r="Q18" i="15"/>
  <c r="H75" i="2"/>
  <c r="H74" i="2"/>
  <c r="AT42" i="2"/>
  <c r="AR11" i="2" s="1"/>
  <c r="AM12" i="2" s="1"/>
  <c r="AV43" i="2"/>
  <c r="L19" i="15" s="1"/>
  <c r="AV58" i="2"/>
  <c r="Y325" i="68" l="1"/>
  <c r="Y326" i="68"/>
  <c r="Y278" i="68" s="1"/>
  <c r="T273" i="68" s="1"/>
  <c r="R20" i="15"/>
  <c r="AR43" i="2"/>
  <c r="V61" i="3"/>
  <c r="D111" i="23" l="1"/>
  <c r="D108" i="23"/>
  <c r="J107" i="23"/>
  <c r="D96" i="23"/>
  <c r="D89" i="23"/>
  <c r="D67" i="23"/>
  <c r="D57" i="23"/>
  <c r="C97" i="15" l="1"/>
  <c r="K217" i="60" l="1"/>
  <c r="K208" i="60"/>
  <c r="K203" i="60"/>
  <c r="K193" i="60"/>
  <c r="K187" i="60"/>
  <c r="J40" i="67"/>
  <c r="S47" i="12" l="1"/>
  <c r="W143" i="33" l="1"/>
  <c r="E66" i="46" l="1"/>
  <c r="E445" i="60" l="1"/>
  <c r="E60" i="28"/>
  <c r="E57" i="28"/>
  <c r="D69" i="15"/>
  <c r="D68" i="15"/>
  <c r="D72" i="15"/>
  <c r="D66" i="15"/>
  <c r="D51" i="14"/>
  <c r="D49" i="14"/>
  <c r="E35" i="14"/>
  <c r="W146" i="33" l="1"/>
  <c r="W145" i="33"/>
  <c r="W142" i="33"/>
  <c r="W108" i="33"/>
  <c r="W105" i="33"/>
  <c r="W104" i="33"/>
  <c r="W103" i="33"/>
  <c r="W98" i="33"/>
  <c r="W97" i="33"/>
  <c r="V93" i="33"/>
  <c r="V92" i="33"/>
  <c r="AB148" i="33"/>
  <c r="V148" i="33"/>
  <c r="AB147" i="33"/>
  <c r="V145" i="33"/>
  <c r="AB140" i="33"/>
  <c r="AC137" i="33"/>
  <c r="AC136" i="33"/>
  <c r="V135" i="33"/>
  <c r="AB134" i="33"/>
  <c r="V134" i="33"/>
  <c r="AB133" i="33"/>
  <c r="Z132" i="33"/>
  <c r="Z130" i="33"/>
  <c r="V129" i="33"/>
  <c r="AB128" i="33"/>
  <c r="V128" i="33"/>
  <c r="W121" i="33"/>
  <c r="AB119" i="33"/>
  <c r="AB117" i="33"/>
  <c r="AB116" i="33"/>
  <c r="AB115" i="33"/>
  <c r="AB113" i="33"/>
  <c r="AB108" i="33"/>
  <c r="Z107" i="33"/>
  <c r="Z105" i="33"/>
  <c r="Z101" i="33"/>
  <c r="AB99" i="33"/>
  <c r="AA86" i="33"/>
  <c r="AA83" i="33"/>
  <c r="Y83" i="33"/>
  <c r="AA80" i="33"/>
  <c r="Y79" i="33"/>
  <c r="AA77" i="33"/>
  <c r="Y77" i="33"/>
  <c r="AA87" i="33" l="1"/>
  <c r="Q45" i="33" s="1"/>
  <c r="W114" i="33" l="1"/>
  <c r="P45" i="33"/>
  <c r="P8" i="37" l="1"/>
  <c r="V7" i="37" s="1"/>
  <c r="S10" i="37"/>
  <c r="S12" i="37"/>
  <c r="S13" i="37"/>
  <c r="S11" i="37"/>
  <c r="U7" i="37"/>
  <c r="U9" i="37"/>
  <c r="U10" i="37"/>
  <c r="U6" i="37"/>
  <c r="V8" i="37"/>
  <c r="V6" i="37"/>
  <c r="P27" i="37"/>
  <c r="P21" i="37"/>
  <c r="C11" i="37"/>
  <c r="S7" i="37"/>
  <c r="S8" i="37"/>
  <c r="S9" i="37"/>
  <c r="S6" i="37"/>
  <c r="D8" i="37"/>
  <c r="D7" i="37"/>
  <c r="D32" i="37"/>
  <c r="D29" i="37"/>
  <c r="D27" i="37"/>
  <c r="D25" i="37"/>
  <c r="D23" i="37"/>
  <c r="D22" i="37"/>
  <c r="D21" i="37"/>
  <c r="D18" i="37"/>
  <c r="D16" i="37"/>
  <c r="D131" i="37"/>
  <c r="D127" i="37"/>
  <c r="D120" i="37"/>
  <c r="D116" i="37"/>
  <c r="U8" i="37" l="1"/>
  <c r="V5" i="37" s="1"/>
  <c r="V9" i="37" s="1"/>
  <c r="P22" i="37" s="1"/>
  <c r="P28" i="37"/>
  <c r="N29" i="37"/>
  <c r="N23" i="37"/>
  <c r="N27" i="37" l="1"/>
  <c r="N21" i="37"/>
  <c r="P17" i="37"/>
  <c r="P18" i="37"/>
  <c r="P19" i="37" s="1"/>
  <c r="N20" i="37" s="1"/>
  <c r="P24" i="37" l="1"/>
  <c r="P26" i="37" s="1"/>
  <c r="N26" i="6" s="1"/>
  <c r="N30" i="37"/>
  <c r="P31" i="37" s="1"/>
  <c r="P33" i="37" s="1"/>
  <c r="N48" i="6" s="1"/>
  <c r="N18" i="37"/>
  <c r="R47" i="6" l="1"/>
  <c r="R46" i="6"/>
  <c r="R45" i="6"/>
  <c r="R25" i="6"/>
  <c r="R24" i="6"/>
  <c r="R23" i="6"/>
  <c r="V50" i="3" l="1"/>
  <c r="V102" i="3"/>
  <c r="V88" i="3"/>
  <c r="V26" i="3"/>
  <c r="D58" i="3"/>
  <c r="D18" i="3"/>
  <c r="C46" i="52"/>
  <c r="C55" i="52"/>
  <c r="C35" i="52"/>
  <c r="C22" i="52"/>
  <c r="M125" i="33"/>
  <c r="C121" i="33"/>
  <c r="C117" i="33"/>
  <c r="C113" i="33"/>
  <c r="C15" i="33"/>
  <c r="W152" i="62" l="1"/>
  <c r="AE153" i="62" s="1"/>
  <c r="AL2" i="2"/>
  <c r="B121" i="23" l="1"/>
  <c r="V58" i="3" l="1"/>
  <c r="AM99" i="2" l="1"/>
  <c r="AG93" i="3"/>
  <c r="AG92" i="3"/>
  <c r="AG91" i="3"/>
  <c r="M20" i="64"/>
  <c r="M18" i="64"/>
  <c r="M17" i="64"/>
  <c r="U19" i="64"/>
  <c r="M19" i="64" s="1"/>
  <c r="AG94" i="3" l="1"/>
  <c r="AL3" i="2"/>
  <c r="AM3" i="2" l="1"/>
  <c r="E170" i="62" s="1"/>
  <c r="AV44" i="2"/>
  <c r="AV59" i="2"/>
  <c r="AR44" i="2"/>
  <c r="AM172" i="62"/>
  <c r="S18" i="64"/>
  <c r="AM2" i="2" l="1"/>
  <c r="W168" i="62"/>
  <c r="D153" i="62"/>
  <c r="AM71" i="2"/>
  <c r="AI74" i="2" l="1"/>
  <c r="AN68" i="2"/>
  <c r="U45" i="28"/>
  <c r="U44" i="28"/>
  <c r="AB42" i="28"/>
  <c r="AA42" i="28"/>
  <c r="Z42" i="28"/>
  <c r="Y42" i="28"/>
  <c r="T39" i="28"/>
  <c r="U37" i="28"/>
  <c r="U36" i="28"/>
  <c r="AB34" i="28"/>
  <c r="AA34" i="28"/>
  <c r="Z34" i="28"/>
  <c r="Y34" i="28"/>
  <c r="T31" i="28"/>
  <c r="R8" i="28"/>
  <c r="C8" i="28" s="1"/>
  <c r="R7" i="28"/>
  <c r="C7" i="28" s="1"/>
  <c r="M12" i="64"/>
  <c r="N7" i="64"/>
  <c r="H79" i="2"/>
  <c r="M9" i="63" l="1"/>
  <c r="D20" i="65"/>
  <c r="D19" i="65"/>
  <c r="H17" i="65"/>
  <c r="D14" i="65"/>
  <c r="K13" i="65"/>
  <c r="D13" i="65"/>
  <c r="D12" i="65"/>
  <c r="K9" i="65"/>
  <c r="E9" i="65"/>
  <c r="E8" i="65"/>
  <c r="F7" i="65"/>
  <c r="K4" i="65"/>
  <c r="D33" i="64"/>
  <c r="C33" i="64"/>
  <c r="B33" i="64"/>
  <c r="D32" i="64"/>
  <c r="C32" i="64"/>
  <c r="B32" i="64"/>
  <c r="D31" i="64"/>
  <c r="C31" i="64"/>
  <c r="B31" i="64"/>
  <c r="S30" i="64"/>
  <c r="M30" i="64" s="1"/>
  <c r="D30" i="64"/>
  <c r="C30" i="64"/>
  <c r="B30" i="64"/>
  <c r="D29" i="64"/>
  <c r="C29" i="64"/>
  <c r="B29" i="64"/>
  <c r="C28" i="64"/>
  <c r="B28" i="64"/>
  <c r="R27" i="64"/>
  <c r="S25" i="64"/>
  <c r="M25" i="64"/>
  <c r="R24" i="64"/>
  <c r="M24" i="64"/>
  <c r="M23" i="64"/>
  <c r="D23" i="64"/>
  <c r="C23" i="64"/>
  <c r="B23" i="64"/>
  <c r="S22" i="64"/>
  <c r="D22" i="64"/>
  <c r="C22" i="64"/>
  <c r="B22" i="64"/>
  <c r="D21" i="64"/>
  <c r="C21" i="64"/>
  <c r="B21" i="64"/>
  <c r="D20" i="64"/>
  <c r="C20" i="64"/>
  <c r="B20" i="64"/>
  <c r="C19" i="64"/>
  <c r="B19" i="64"/>
  <c r="R18" i="64"/>
  <c r="R14" i="64"/>
  <c r="D13" i="64"/>
  <c r="C13" i="64"/>
  <c r="B13" i="64"/>
  <c r="T12" i="64"/>
  <c r="D12" i="64"/>
  <c r="C12" i="64"/>
  <c r="B12" i="64"/>
  <c r="D11" i="64"/>
  <c r="C11" i="64"/>
  <c r="B11" i="64"/>
  <c r="D10" i="64"/>
  <c r="C10" i="64"/>
  <c r="B10" i="64"/>
  <c r="D9" i="64"/>
  <c r="C9" i="64"/>
  <c r="B9" i="64"/>
  <c r="C8" i="64"/>
  <c r="B8" i="64"/>
  <c r="D2" i="64"/>
  <c r="C2" i="64"/>
  <c r="B2" i="64"/>
  <c r="D1" i="64"/>
  <c r="C1" i="64"/>
  <c r="B1" i="64"/>
  <c r="C37" i="63"/>
  <c r="A36" i="63"/>
  <c r="A37" i="63" s="1"/>
  <c r="T35" i="63"/>
  <c r="T31" i="63"/>
  <c r="T29" i="63"/>
  <c r="M28" i="63"/>
  <c r="R26" i="63"/>
  <c r="M21" i="63"/>
  <c r="R20" i="63"/>
  <c r="M20" i="63"/>
  <c r="R17" i="63"/>
  <c r="R15" i="63"/>
  <c r="R12" i="63"/>
  <c r="T11" i="63"/>
  <c r="T10" i="63"/>
  <c r="M10" i="63"/>
  <c r="P7" i="63"/>
  <c r="J4" i="65" l="1"/>
  <c r="L13" i="65"/>
  <c r="M27" i="48" l="1"/>
  <c r="J28" i="48"/>
  <c r="G28" i="48"/>
  <c r="E27" i="48"/>
  <c r="D28" i="48"/>
  <c r="M53" i="48"/>
  <c r="V42" i="30" l="1"/>
  <c r="V40" i="30"/>
  <c r="V39" i="30"/>
  <c r="V38" i="30"/>
  <c r="V37" i="30"/>
  <c r="V36" i="30"/>
  <c r="V35" i="30"/>
  <c r="V34" i="30"/>
  <c r="V33" i="30"/>
  <c r="V32" i="30"/>
  <c r="V30" i="30"/>
  <c r="V29" i="30"/>
  <c r="V28" i="30"/>
  <c r="V27" i="30"/>
  <c r="V26" i="30"/>
  <c r="V25" i="30"/>
  <c r="V21" i="30"/>
  <c r="V19" i="30"/>
  <c r="V18" i="30"/>
  <c r="V17" i="30"/>
  <c r="V16" i="30"/>
  <c r="V15" i="30"/>
  <c r="V14" i="30"/>
  <c r="V13" i="30"/>
  <c r="V12" i="30"/>
  <c r="V11" i="30"/>
  <c r="V9" i="30"/>
  <c r="V8" i="30"/>
  <c r="V7" i="30"/>
  <c r="V6" i="30"/>
  <c r="V5" i="30"/>
  <c r="V4" i="30"/>
  <c r="U42" i="30"/>
  <c r="U40" i="30"/>
  <c r="U39" i="30"/>
  <c r="U38" i="30"/>
  <c r="U37" i="30"/>
  <c r="U36" i="30"/>
  <c r="U35" i="30"/>
  <c r="U34" i="30"/>
  <c r="U33" i="30"/>
  <c r="U32" i="30"/>
  <c r="U30" i="30"/>
  <c r="U29" i="30"/>
  <c r="U28" i="30"/>
  <c r="U27" i="30"/>
  <c r="U26" i="30"/>
  <c r="U25" i="30"/>
  <c r="U21" i="30"/>
  <c r="U19" i="30"/>
  <c r="U18" i="30"/>
  <c r="U17" i="30"/>
  <c r="U16" i="30"/>
  <c r="U15" i="30"/>
  <c r="U14" i="30"/>
  <c r="U13" i="30"/>
  <c r="U12" i="30"/>
  <c r="U11" i="30"/>
  <c r="U9" i="30"/>
  <c r="U8" i="30"/>
  <c r="U7" i="30"/>
  <c r="U6" i="30"/>
  <c r="U5" i="30"/>
  <c r="U4" i="30"/>
  <c r="T42" i="30"/>
  <c r="T40" i="30"/>
  <c r="T39" i="30"/>
  <c r="T38" i="30"/>
  <c r="T37" i="30"/>
  <c r="T36" i="30"/>
  <c r="T35" i="30"/>
  <c r="T34" i="30"/>
  <c r="T33" i="30"/>
  <c r="T32" i="30"/>
  <c r="T30" i="30"/>
  <c r="T29" i="30"/>
  <c r="T28" i="30"/>
  <c r="T27" i="30"/>
  <c r="T26" i="30"/>
  <c r="T25" i="30"/>
  <c r="T21" i="30"/>
  <c r="T19" i="30"/>
  <c r="T18" i="30"/>
  <c r="T17" i="30"/>
  <c r="T16" i="30"/>
  <c r="T15" i="30"/>
  <c r="T14" i="30"/>
  <c r="T13" i="30"/>
  <c r="T12" i="30"/>
  <c r="T11" i="30"/>
  <c r="T9" i="30"/>
  <c r="T8" i="30"/>
  <c r="T7" i="30"/>
  <c r="T6" i="30"/>
  <c r="T5" i="30"/>
  <c r="T4" i="30"/>
  <c r="AK25" i="47" l="1"/>
  <c r="AI25" i="47"/>
  <c r="AJ25" i="47"/>
  <c r="D27" i="47" l="1"/>
  <c r="N46" i="3" l="1"/>
  <c r="X48" i="3"/>
  <c r="W56" i="3"/>
  <c r="W55" i="3"/>
  <c r="W54" i="3"/>
  <c r="W53" i="3"/>
  <c r="E61" i="30" l="1"/>
  <c r="E58" i="30"/>
  <c r="E51" i="30"/>
  <c r="X85" i="62" l="1"/>
  <c r="X86" i="62"/>
  <c r="X87" i="62"/>
  <c r="X84" i="62"/>
  <c r="J59" i="62"/>
  <c r="J60" i="62"/>
  <c r="J61" i="62"/>
  <c r="J58" i="62"/>
  <c r="AA59" i="62"/>
  <c r="AA60" i="62"/>
  <c r="AA61" i="62"/>
  <c r="AA58" i="62"/>
  <c r="V123" i="23" l="1"/>
  <c r="AS72" i="2"/>
  <c r="S66" i="15" l="1"/>
  <c r="S65" i="15"/>
  <c r="V30" i="3"/>
  <c r="AR3" i="2" l="1"/>
  <c r="AQ3" i="2"/>
  <c r="AR4" i="2"/>
  <c r="Y10" i="58"/>
  <c r="L66" i="2" l="1"/>
  <c r="AE150" i="62" l="1"/>
  <c r="D141" i="62"/>
  <c r="P34" i="33"/>
  <c r="P35" i="33"/>
  <c r="P33" i="33"/>
  <c r="P38" i="33"/>
  <c r="AH158" i="62" l="1"/>
  <c r="AE160" i="62"/>
  <c r="AH171" i="62"/>
  <c r="AE173" i="62" l="1"/>
  <c r="Y47" i="53"/>
  <c r="B109" i="37"/>
  <c r="B108" i="37"/>
  <c r="B110" i="37"/>
  <c r="B111" i="37"/>
  <c r="B97" i="37"/>
  <c r="B96" i="37"/>
  <c r="B95" i="37"/>
  <c r="R41" i="12" l="1"/>
  <c r="A26" i="60" l="1"/>
  <c r="B26" i="60" s="1"/>
  <c r="O362" i="60" l="1"/>
  <c r="K336" i="60"/>
  <c r="D19" i="60"/>
  <c r="D16" i="60"/>
  <c r="D13" i="60"/>
  <c r="D10" i="60"/>
  <c r="D293" i="60"/>
  <c r="D290" i="60"/>
  <c r="D247" i="60"/>
  <c r="D244" i="60"/>
  <c r="D241" i="60"/>
  <c r="D238" i="60"/>
  <c r="D419" i="60"/>
  <c r="D422" i="60"/>
  <c r="D386" i="60"/>
  <c r="D383" i="60"/>
  <c r="D380" i="60"/>
  <c r="D377" i="60"/>
  <c r="H106" i="60"/>
  <c r="H116" i="60" s="1"/>
  <c r="B106" i="60"/>
  <c r="J80" i="60"/>
  <c r="D16" i="14" l="1"/>
  <c r="B14" i="12"/>
  <c r="X94" i="15"/>
  <c r="Y94" i="15" s="1"/>
  <c r="X96" i="15" s="1"/>
  <c r="C96" i="15" s="1"/>
  <c r="O66" i="48"/>
  <c r="AR96" i="2" l="1"/>
  <c r="AR97" i="2"/>
  <c r="AR98" i="2"/>
  <c r="R5" i="2"/>
  <c r="D194" i="62" l="1"/>
  <c r="D192" i="62"/>
  <c r="R191" i="62"/>
  <c r="D96" i="62"/>
  <c r="B98" i="62"/>
  <c r="E169" i="62"/>
  <c r="E171" i="62"/>
  <c r="AJ199" i="62"/>
  <c r="D151" i="62"/>
  <c r="B132" i="62"/>
  <c r="AE122" i="62"/>
  <c r="AE126" i="62" s="1"/>
  <c r="AJ131" i="62"/>
  <c r="U129" i="62"/>
  <c r="B92" i="62"/>
  <c r="B73" i="62"/>
  <c r="AJ72" i="62"/>
  <c r="Y9" i="62"/>
  <c r="AC3" i="62"/>
  <c r="AE155" i="62" l="1"/>
  <c r="AE130" i="62"/>
  <c r="G252" i="60"/>
  <c r="G233" i="60"/>
  <c r="AE137" i="62" l="1"/>
  <c r="AE174" i="62" s="1"/>
  <c r="B35" i="60"/>
  <c r="B229" i="60"/>
  <c r="K210" i="60"/>
  <c r="D169" i="60"/>
  <c r="A161" i="60"/>
  <c r="D160" i="60"/>
  <c r="A160" i="60"/>
  <c r="A159" i="60"/>
  <c r="D158" i="60"/>
  <c r="AE175" i="62" l="1"/>
  <c r="D153" i="60"/>
  <c r="D145" i="60"/>
  <c r="D140" i="60"/>
  <c r="D139" i="60"/>
  <c r="D137" i="60"/>
  <c r="A122" i="60"/>
  <c r="A123" i="60"/>
  <c r="D121" i="60"/>
  <c r="A120" i="60"/>
  <c r="A121" i="60"/>
  <c r="D119" i="60"/>
  <c r="D114" i="60"/>
  <c r="D111" i="60"/>
  <c r="D99" i="60"/>
  <c r="D94" i="60"/>
  <c r="D92" i="60"/>
  <c r="E49" i="60"/>
  <c r="D7" i="60"/>
  <c r="N11" i="60"/>
  <c r="B316" i="60"/>
  <c r="D132" i="60"/>
  <c r="D109" i="60"/>
  <c r="D71" i="60"/>
  <c r="D66" i="60"/>
  <c r="D57" i="60"/>
  <c r="D37" i="60"/>
  <c r="N20" i="60"/>
  <c r="N17" i="60"/>
  <c r="N14" i="60"/>
  <c r="O370" i="60" l="1"/>
  <c r="O333" i="60"/>
  <c r="AE188" i="62"/>
  <c r="AE179" i="62"/>
  <c r="Y44" i="53"/>
  <c r="B379" i="60"/>
  <c r="A119" i="60"/>
  <c r="A114" i="60"/>
  <c r="B116" i="60"/>
  <c r="AP72" i="58"/>
  <c r="AE184" i="62" l="1"/>
  <c r="AE189" i="62"/>
  <c r="AE190" i="62" s="1"/>
  <c r="AE198" i="62" s="1"/>
  <c r="H125" i="60"/>
  <c r="A125" i="60"/>
  <c r="B125" i="60"/>
  <c r="H130" i="60"/>
  <c r="B78" i="58"/>
  <c r="AJ27" i="58"/>
  <c r="AJ15" i="58"/>
  <c r="AM15" i="58" s="1"/>
  <c r="S104" i="2" l="1"/>
  <c r="AB54" i="2"/>
  <c r="O54" i="2"/>
  <c r="AE164" i="62"/>
  <c r="AT34" i="58"/>
  <c r="BF36" i="58"/>
  <c r="BG43" i="58" s="1"/>
  <c r="N40" i="46"/>
  <c r="H155" i="60"/>
  <c r="B155" i="60"/>
  <c r="A162" i="60" s="1"/>
  <c r="C19" i="5"/>
  <c r="M89" i="33" l="1"/>
  <c r="R4" i="46"/>
  <c r="B172" i="60"/>
  <c r="H172" i="60" l="1"/>
  <c r="AJ44" i="47"/>
  <c r="AL44" i="47"/>
  <c r="AN44" i="47"/>
  <c r="AJ45" i="47"/>
  <c r="Y21" i="56"/>
  <c r="N57" i="37" l="1"/>
  <c r="P59" i="2" l="1"/>
  <c r="B120" i="23" l="1"/>
  <c r="B115" i="23"/>
  <c r="V97" i="2" l="1"/>
  <c r="O33" i="59" l="1"/>
  <c r="AL69" i="58" l="1"/>
  <c r="A90" i="59" l="1"/>
  <c r="A89" i="59"/>
  <c r="A91" i="59" l="1"/>
  <c r="O80" i="59"/>
  <c r="N90" i="59" l="1"/>
  <c r="P32" i="59"/>
  <c r="P31" i="59"/>
  <c r="M35" i="59" l="1"/>
  <c r="C35" i="59"/>
  <c r="C113" i="59" l="1"/>
  <c r="N101" i="59"/>
  <c r="N96" i="59"/>
  <c r="I92" i="59"/>
  <c r="L91" i="59" l="1"/>
  <c r="L87" i="59"/>
  <c r="C70" i="59"/>
  <c r="N71" i="59"/>
  <c r="C68" i="59"/>
  <c r="N69" i="59"/>
  <c r="P155" i="59" l="1"/>
  <c r="P154" i="59"/>
  <c r="P153" i="59"/>
  <c r="P152" i="59"/>
  <c r="P151" i="59"/>
  <c r="P150" i="59"/>
  <c r="P149" i="59"/>
  <c r="P148" i="59"/>
  <c r="B144" i="59"/>
  <c r="B125" i="59"/>
  <c r="O120" i="59"/>
  <c r="O116" i="59"/>
  <c r="O114" i="59"/>
  <c r="N113" i="59"/>
  <c r="F112" i="59"/>
  <c r="N111" i="59"/>
  <c r="C111" i="59"/>
  <c r="N109" i="59"/>
  <c r="F109" i="59"/>
  <c r="C108" i="59"/>
  <c r="N107" i="59"/>
  <c r="N106" i="59"/>
  <c r="C106" i="59"/>
  <c r="N93" i="59"/>
  <c r="L85" i="59"/>
  <c r="L81" i="59"/>
  <c r="L75" i="59"/>
  <c r="L74" i="59"/>
  <c r="L73" i="59"/>
  <c r="C73" i="59"/>
  <c r="N70" i="59"/>
  <c r="N67" i="59"/>
  <c r="J63" i="59"/>
  <c r="B61" i="59"/>
  <c r="O60" i="59"/>
  <c r="N59" i="59"/>
  <c r="P55" i="59"/>
  <c r="N55" i="59"/>
  <c r="C54" i="59"/>
  <c r="K52" i="59"/>
  <c r="N49" i="59"/>
  <c r="F47" i="59"/>
  <c r="F48" i="59" s="1"/>
  <c r="G46" i="59"/>
  <c r="G45" i="59"/>
  <c r="L40" i="59"/>
  <c r="N39" i="59"/>
  <c r="N38" i="59"/>
  <c r="N36" i="59"/>
  <c r="N35" i="59"/>
  <c r="C34" i="59"/>
  <c r="J33" i="59"/>
  <c r="C33" i="59"/>
  <c r="O29" i="59"/>
  <c r="B13" i="59"/>
  <c r="N8" i="59"/>
  <c r="O3" i="59"/>
  <c r="O146" i="59" s="1"/>
  <c r="P34" i="59" l="1"/>
  <c r="G47" i="59"/>
  <c r="G48" i="59"/>
  <c r="F49" i="59"/>
  <c r="AR5" i="2"/>
  <c r="AR6" i="2" s="1"/>
  <c r="AQ5" i="2"/>
  <c r="O34" i="59" l="1"/>
  <c r="G49" i="59"/>
  <c r="F50" i="59"/>
  <c r="F51" i="59" l="1"/>
  <c r="G50" i="59"/>
  <c r="AQ4" i="2"/>
  <c r="AQ6" i="2" s="1"/>
  <c r="AT30" i="58"/>
  <c r="B2" i="58" l="1"/>
  <c r="AM2" i="58" s="1"/>
  <c r="L2" i="58"/>
  <c r="AN2" i="58" s="1"/>
  <c r="V2" i="58"/>
  <c r="AO2" i="58" s="1"/>
  <c r="AE20" i="58"/>
  <c r="F52" i="59"/>
  <c r="G51" i="59"/>
  <c r="AJ128" i="58"/>
  <c r="AE68" i="58"/>
  <c r="AJ77" i="58"/>
  <c r="J45" i="59" l="1"/>
  <c r="G52" i="59"/>
  <c r="AL2" i="58"/>
  <c r="L9" i="53"/>
  <c r="AC5" i="58"/>
  <c r="Z43" i="58" l="1"/>
  <c r="Z40" i="58"/>
  <c r="W25" i="58"/>
  <c r="J46" i="59"/>
  <c r="K45" i="59"/>
  <c r="S25" i="58"/>
  <c r="O25" i="58"/>
  <c r="R2" i="58"/>
  <c r="AN71" i="2"/>
  <c r="K46" i="59" l="1"/>
  <c r="J47" i="59"/>
  <c r="AL22" i="47"/>
  <c r="AL21" i="47"/>
  <c r="AK22" i="47"/>
  <c r="AK21" i="47"/>
  <c r="AJ22" i="47"/>
  <c r="AJ21" i="47"/>
  <c r="M27" i="47"/>
  <c r="AN20" i="47" s="1"/>
  <c r="K27" i="47"/>
  <c r="AN19" i="47" s="1"/>
  <c r="I27" i="47"/>
  <c r="AN18" i="47" s="1"/>
  <c r="AN21" i="47" l="1"/>
  <c r="E21" i="47" s="1"/>
  <c r="AM21" i="47"/>
  <c r="K46" i="47" s="1"/>
  <c r="K47" i="59"/>
  <c r="J48" i="59"/>
  <c r="AM22" i="47"/>
  <c r="K47" i="47" s="1"/>
  <c r="D103" i="33"/>
  <c r="D102" i="33"/>
  <c r="D101" i="33"/>
  <c r="D100" i="33"/>
  <c r="K48" i="59" l="1"/>
  <c r="J49" i="59"/>
  <c r="X46" i="2"/>
  <c r="AI46" i="2" l="1"/>
  <c r="AI45" i="2"/>
  <c r="AI44" i="2"/>
  <c r="J50" i="59"/>
  <c r="K49" i="59"/>
  <c r="AK46" i="2"/>
  <c r="J51" i="59" l="1"/>
  <c r="K50" i="59"/>
  <c r="V96" i="23"/>
  <c r="J52" i="59" l="1"/>
  <c r="K51" i="59"/>
  <c r="C58" i="53"/>
  <c r="C45" i="53"/>
  <c r="K21" i="53"/>
  <c r="AG59" i="33" l="1"/>
  <c r="V57" i="33"/>
  <c r="AC32" i="33"/>
  <c r="V34" i="33"/>
  <c r="V33" i="33"/>
  <c r="V32" i="33"/>
  <c r="V45" i="33"/>
  <c r="V44" i="33"/>
  <c r="V43" i="33"/>
  <c r="W61" i="33"/>
  <c r="V53" i="33"/>
  <c r="V16" i="33"/>
  <c r="B110" i="33"/>
  <c r="M45" i="37"/>
  <c r="W16" i="15"/>
  <c r="L49" i="15"/>
  <c r="L37" i="12"/>
  <c r="P27" i="12"/>
  <c r="C19" i="12"/>
  <c r="C20" i="12"/>
  <c r="C18" i="12"/>
  <c r="B17" i="12"/>
  <c r="B16" i="12"/>
  <c r="L26" i="15" l="1"/>
  <c r="Q26" i="15"/>
  <c r="S118" i="2"/>
  <c r="C96" i="2"/>
  <c r="L109" i="33" l="1"/>
  <c r="C14" i="56" l="1"/>
  <c r="O72" i="4" l="1"/>
  <c r="T88" i="56" l="1"/>
  <c r="Y81" i="56"/>
  <c r="Y53" i="56"/>
  <c r="B32" i="56"/>
  <c r="B31" i="56"/>
  <c r="B30" i="56"/>
  <c r="C56" i="56" l="1"/>
  <c r="C29" i="56"/>
  <c r="C28" i="56"/>
  <c r="C15" i="56"/>
  <c r="AB120" i="56"/>
  <c r="Y92" i="56"/>
  <c r="Y93" i="56" s="1"/>
  <c r="Z69" i="56"/>
  <c r="B61" i="56"/>
  <c r="AB60" i="56"/>
  <c r="I48" i="56"/>
  <c r="I47" i="56"/>
  <c r="I45" i="56"/>
  <c r="I44" i="56"/>
  <c r="I43" i="56"/>
  <c r="I41" i="56"/>
  <c r="I36" i="56"/>
  <c r="V29" i="56"/>
  <c r="B27" i="56"/>
  <c r="B22" i="56"/>
  <c r="Y94" i="56" l="1"/>
  <c r="Z67" i="56"/>
  <c r="AB61" i="56"/>
  <c r="I46" i="56"/>
  <c r="I39" i="56"/>
  <c r="I38" i="56"/>
  <c r="X4" i="56"/>
  <c r="Y33" i="56" l="1"/>
  <c r="Y54" i="56" s="1"/>
  <c r="AB68" i="2"/>
  <c r="AB67" i="2"/>
  <c r="AB51" i="2" l="1"/>
  <c r="J56" i="67" s="1"/>
  <c r="S65" i="2"/>
  <c r="L27" i="12" l="1"/>
  <c r="U64" i="28" l="1"/>
  <c r="U63" i="28"/>
  <c r="AB61" i="28"/>
  <c r="AA61" i="28"/>
  <c r="Z61" i="28"/>
  <c r="Y61" i="28"/>
  <c r="U55" i="28"/>
  <c r="U54" i="28"/>
  <c r="AB52" i="28"/>
  <c r="AA52" i="28"/>
  <c r="Z52" i="28"/>
  <c r="Y52" i="28"/>
  <c r="X144" i="37"/>
  <c r="X143" i="37"/>
  <c r="AE141" i="37"/>
  <c r="AD141" i="37"/>
  <c r="AC141" i="37"/>
  <c r="AB141" i="37"/>
  <c r="X134" i="37"/>
  <c r="X133" i="37"/>
  <c r="AE131" i="37"/>
  <c r="AD131" i="37"/>
  <c r="AC131" i="37"/>
  <c r="AB131" i="37"/>
  <c r="AR79" i="2" l="1"/>
  <c r="AX75" i="2"/>
  <c r="AW75" i="2"/>
  <c r="AV75" i="2"/>
  <c r="AU75" i="2"/>
  <c r="AI15" i="2" l="1"/>
  <c r="AH82" i="50" l="1"/>
  <c r="AH29" i="50"/>
  <c r="AH82" i="49"/>
  <c r="AH29" i="49"/>
  <c r="AH82" i="43"/>
  <c r="AH29" i="43"/>
  <c r="M43" i="52" l="1"/>
  <c r="M20" i="52"/>
  <c r="K20" i="52" s="1"/>
  <c r="M31" i="52"/>
  <c r="N43" i="53"/>
  <c r="L56" i="53" l="1"/>
  <c r="N57" i="53" s="1"/>
  <c r="N59" i="53" s="1"/>
  <c r="L42" i="53"/>
  <c r="K43" i="52"/>
  <c r="M44" i="52" s="1"/>
  <c r="M46" i="52" s="1"/>
  <c r="K31" i="52"/>
  <c r="AA48" i="53"/>
  <c r="K53" i="53" l="1"/>
  <c r="K48" i="53"/>
  <c r="M46" i="53"/>
  <c r="M44" i="53"/>
  <c r="K43" i="53"/>
  <c r="K42" i="53"/>
  <c r="K41" i="53"/>
  <c r="M39" i="53"/>
  <c r="M36" i="53"/>
  <c r="M35" i="53"/>
  <c r="K31" i="53"/>
  <c r="M29" i="53"/>
  <c r="M28" i="53"/>
  <c r="M27" i="53"/>
  <c r="K25" i="53"/>
  <c r="K23" i="53"/>
  <c r="K19" i="53"/>
  <c r="M15" i="53"/>
  <c r="M14" i="53"/>
  <c r="M13" i="53"/>
  <c r="N60" i="53"/>
  <c r="M59" i="53"/>
  <c r="M57" i="53"/>
  <c r="K17" i="53"/>
  <c r="M4" i="53"/>
  <c r="L63" i="52" l="1"/>
  <c r="L60" i="52"/>
  <c r="L58" i="52"/>
  <c r="J56" i="52"/>
  <c r="J54" i="52"/>
  <c r="J53" i="52"/>
  <c r="L49" i="52"/>
  <c r="L46" i="52"/>
  <c r="L44" i="52"/>
  <c r="J43" i="52"/>
  <c r="J39" i="52"/>
  <c r="L36" i="52"/>
  <c r="L34" i="52"/>
  <c r="J33" i="52"/>
  <c r="J32" i="52"/>
  <c r="J31" i="52"/>
  <c r="J27" i="52"/>
  <c r="L23" i="52"/>
  <c r="L21" i="52"/>
  <c r="J20" i="52"/>
  <c r="J16" i="52"/>
  <c r="J15" i="52"/>
  <c r="J14" i="52"/>
  <c r="J13" i="52"/>
  <c r="M64" i="52"/>
  <c r="K9" i="52"/>
  <c r="L4" i="52"/>
  <c r="L95" i="37" l="1"/>
  <c r="M119" i="37"/>
  <c r="K117" i="37"/>
  <c r="O116" i="37"/>
  <c r="M115" i="37"/>
  <c r="K114" i="37"/>
  <c r="K113" i="37"/>
  <c r="K112" i="37"/>
  <c r="U14" i="6"/>
  <c r="T14" i="6"/>
  <c r="U34" i="6"/>
  <c r="T34" i="6"/>
  <c r="L109" i="37"/>
  <c r="E109" i="37"/>
  <c r="E108" i="37"/>
  <c r="E111" i="37"/>
  <c r="K110" i="37"/>
  <c r="E110" i="37"/>
  <c r="AQ83" i="2" l="1"/>
  <c r="B35" i="43" l="1"/>
  <c r="L8" i="47"/>
  <c r="I28" i="4" l="1"/>
  <c r="E183" i="46" l="1"/>
  <c r="P81" i="46"/>
  <c r="B136" i="46"/>
  <c r="N53" i="28"/>
  <c r="N42" i="28"/>
  <c r="K59" i="28"/>
  <c r="K58" i="28"/>
  <c r="K56" i="28"/>
  <c r="K55" i="28"/>
  <c r="K54" i="28"/>
  <c r="K53" i="28"/>
  <c r="E50" i="28"/>
  <c r="E49" i="28"/>
  <c r="E39" i="28"/>
  <c r="E52" i="28"/>
  <c r="E51" i="28"/>
  <c r="B15" i="12"/>
  <c r="B13" i="12"/>
  <c r="B12" i="12"/>
  <c r="B11" i="12"/>
  <c r="B10" i="12"/>
  <c r="B9" i="12"/>
  <c r="B7" i="12"/>
  <c r="B6" i="12"/>
  <c r="B4" i="12"/>
  <c r="B3" i="12"/>
  <c r="D99" i="23" l="1"/>
  <c r="H48" i="33"/>
  <c r="H47" i="33"/>
  <c r="H46" i="33"/>
  <c r="J27" i="48" l="1"/>
  <c r="G27" i="48"/>
  <c r="D27" i="48"/>
  <c r="M123" i="33" l="1"/>
  <c r="M53" i="33" l="1"/>
  <c r="M52" i="33"/>
  <c r="P32" i="33"/>
  <c r="P30" i="33"/>
  <c r="P29" i="33"/>
  <c r="P27" i="33"/>
  <c r="C44" i="33"/>
  <c r="C42" i="33"/>
  <c r="C19" i="33"/>
  <c r="V92" i="3"/>
  <c r="D63" i="3" l="1"/>
  <c r="AV73" i="2" l="1"/>
  <c r="AT127" i="2"/>
  <c r="AT130" i="2"/>
  <c r="AT129" i="2"/>
  <c r="AT128" i="2"/>
  <c r="AT126" i="2"/>
  <c r="AS130" i="2"/>
  <c r="AR130" i="2"/>
  <c r="AT120" i="2"/>
  <c r="AT119" i="2"/>
  <c r="AT118" i="2"/>
  <c r="AT117" i="2"/>
  <c r="AT106" i="2"/>
  <c r="AT107" i="2"/>
  <c r="AT108" i="2"/>
  <c r="AT109" i="2"/>
  <c r="AT110" i="2"/>
  <c r="AS110" i="2"/>
  <c r="AR110" i="2"/>
  <c r="AT98" i="2"/>
  <c r="AT99" i="2"/>
  <c r="AT97" i="2"/>
  <c r="AT96" i="2"/>
  <c r="AS99" i="2"/>
  <c r="AR99" i="2"/>
  <c r="V93" i="3" l="1"/>
  <c r="S50" i="37"/>
  <c r="U117" i="5"/>
  <c r="I4" i="4" l="1"/>
  <c r="J35" i="49" l="1"/>
  <c r="AS35" i="49" s="1"/>
  <c r="AA68" i="37"/>
  <c r="X68" i="37"/>
  <c r="B7" i="23" l="1"/>
  <c r="B5" i="23"/>
  <c r="P18" i="13"/>
  <c r="S120" i="37" l="1"/>
  <c r="AA88" i="43" l="1"/>
  <c r="Y88" i="43"/>
  <c r="U88" i="43"/>
  <c r="Q88" i="43"/>
  <c r="M88" i="43"/>
  <c r="J88" i="43"/>
  <c r="AS40" i="6"/>
  <c r="AR40" i="6"/>
  <c r="AQ40" i="6"/>
  <c r="AS38" i="6"/>
  <c r="AS36" i="6"/>
  <c r="AR36" i="6"/>
  <c r="AQ36" i="6"/>
  <c r="AS20" i="6"/>
  <c r="AR20" i="6"/>
  <c r="AS18" i="6"/>
  <c r="AR18" i="6"/>
  <c r="AQ18" i="6"/>
  <c r="AS16" i="6"/>
  <c r="AQ16" i="6"/>
  <c r="AB40" i="6"/>
  <c r="AB38" i="6"/>
  <c r="AB36" i="6"/>
  <c r="AA40" i="6"/>
  <c r="AA36" i="6"/>
  <c r="Z40" i="6"/>
  <c r="Z36" i="6"/>
  <c r="AB20" i="6"/>
  <c r="AA20" i="6"/>
  <c r="AB18" i="6"/>
  <c r="AA18" i="6"/>
  <c r="Z18" i="6"/>
  <c r="AB16" i="6"/>
  <c r="Z16" i="6"/>
  <c r="AE16" i="6"/>
  <c r="AG16" i="6"/>
  <c r="AY88" i="43" l="1"/>
  <c r="AW88" i="43"/>
  <c r="AX88" i="43"/>
  <c r="AG88" i="43"/>
  <c r="AT88" i="43"/>
  <c r="AU88" i="43"/>
  <c r="AS88" i="43"/>
  <c r="AC18" i="6"/>
  <c r="N39" i="6"/>
  <c r="AC36" i="6"/>
  <c r="N17" i="6"/>
  <c r="AC40" i="6"/>
  <c r="N35" i="6"/>
  <c r="BC88" i="43" l="1"/>
  <c r="BB88" i="43"/>
  <c r="BA88" i="43"/>
  <c r="AN40" i="6" l="1"/>
  <c r="AM40" i="6"/>
  <c r="AJ40" i="6"/>
  <c r="AI40" i="6"/>
  <c r="AF40" i="6"/>
  <c r="AE40" i="6"/>
  <c r="AO38" i="6"/>
  <c r="AK38" i="6"/>
  <c r="AG38" i="6"/>
  <c r="AO36" i="6"/>
  <c r="AN36" i="6"/>
  <c r="AK36" i="6"/>
  <c r="AJ36" i="6"/>
  <c r="AG36" i="6"/>
  <c r="AF36" i="6"/>
  <c r="AO18" i="6"/>
  <c r="AO16" i="6"/>
  <c r="AN20" i="6"/>
  <c r="AM18" i="6"/>
  <c r="AK18" i="6"/>
  <c r="AK16" i="6"/>
  <c r="AJ20" i="6"/>
  <c r="AI18" i="6"/>
  <c r="AG18" i="6"/>
  <c r="AF20" i="6"/>
  <c r="AE18" i="6"/>
  <c r="Q35" i="43"/>
  <c r="B82" i="50"/>
  <c r="B80" i="50"/>
  <c r="B78" i="50"/>
  <c r="B82" i="49"/>
  <c r="B80" i="49"/>
  <c r="B78" i="49"/>
  <c r="B82" i="43"/>
  <c r="B80" i="43"/>
  <c r="B78" i="43"/>
  <c r="B29" i="43"/>
  <c r="B27" i="43"/>
  <c r="B25" i="43"/>
  <c r="B29" i="49"/>
  <c r="B27" i="49"/>
  <c r="B25" i="49"/>
  <c r="B29" i="50"/>
  <c r="B27" i="50"/>
  <c r="B25" i="50"/>
  <c r="A82" i="50" l="1"/>
  <c r="A29" i="50"/>
  <c r="A82" i="49"/>
  <c r="A29" i="49"/>
  <c r="A82" i="43"/>
  <c r="A29" i="43"/>
  <c r="A31" i="43" s="1"/>
  <c r="Y35" i="43"/>
  <c r="AA35" i="43"/>
  <c r="A31" i="50" l="1"/>
  <c r="R29" i="50"/>
  <c r="A31" i="49"/>
  <c r="R82" i="49" s="1"/>
  <c r="R82" i="50"/>
  <c r="R29" i="43"/>
  <c r="D93" i="46"/>
  <c r="D104" i="46"/>
  <c r="M227" i="46"/>
  <c r="K227" i="46"/>
  <c r="M228" i="46"/>
  <c r="K228" i="46"/>
  <c r="E109" i="46"/>
  <c r="E107" i="46"/>
  <c r="D103" i="46"/>
  <c r="S10" i="46"/>
  <c r="P194" i="46"/>
  <c r="D34" i="46"/>
  <c r="K30" i="46"/>
  <c r="R29" i="49" l="1"/>
  <c r="R82" i="43"/>
  <c r="C47" i="3"/>
  <c r="K49" i="47" l="1"/>
  <c r="K48" i="47"/>
  <c r="D29" i="15" l="1"/>
  <c r="C30" i="12" l="1"/>
  <c r="E17" i="47" l="1"/>
  <c r="I4" i="47"/>
  <c r="AF122" i="50" l="1"/>
  <c r="AA115" i="50"/>
  <c r="Y115" i="50"/>
  <c r="U115" i="50"/>
  <c r="Q115" i="50"/>
  <c r="M115" i="50"/>
  <c r="J115" i="50"/>
  <c r="B115" i="50"/>
  <c r="AA114" i="50"/>
  <c r="Y114" i="50"/>
  <c r="U114" i="50"/>
  <c r="Q114" i="50"/>
  <c r="M114" i="50"/>
  <c r="J114" i="50"/>
  <c r="B114" i="50"/>
  <c r="AA113" i="50"/>
  <c r="Y113" i="50"/>
  <c r="U113" i="50"/>
  <c r="Q113" i="50"/>
  <c r="M113" i="50"/>
  <c r="J113" i="50"/>
  <c r="B113" i="50"/>
  <c r="AA112" i="50"/>
  <c r="Y112" i="50"/>
  <c r="U112" i="50"/>
  <c r="Q112" i="50"/>
  <c r="M112" i="50"/>
  <c r="J112" i="50"/>
  <c r="B112" i="50"/>
  <c r="AA111" i="50"/>
  <c r="Y111" i="50"/>
  <c r="U111" i="50"/>
  <c r="Q111" i="50"/>
  <c r="M111" i="50"/>
  <c r="J111" i="50"/>
  <c r="B111" i="50"/>
  <c r="AA110" i="50"/>
  <c r="Y110" i="50"/>
  <c r="U110" i="50"/>
  <c r="Q110" i="50"/>
  <c r="M110" i="50"/>
  <c r="J110" i="50"/>
  <c r="B110" i="50"/>
  <c r="AA109" i="50"/>
  <c r="Y109" i="50"/>
  <c r="U109" i="50"/>
  <c r="Q109" i="50"/>
  <c r="M109" i="50"/>
  <c r="J109" i="50"/>
  <c r="B109" i="50"/>
  <c r="AA108" i="50"/>
  <c r="Y108" i="50"/>
  <c r="U108" i="50"/>
  <c r="Q108" i="50"/>
  <c r="M108" i="50"/>
  <c r="J108" i="50"/>
  <c r="B108" i="50"/>
  <c r="AA107" i="50"/>
  <c r="Y107" i="50"/>
  <c r="U107" i="50"/>
  <c r="Q107" i="50"/>
  <c r="M107" i="50"/>
  <c r="J107" i="50"/>
  <c r="B107" i="50"/>
  <c r="AA106" i="50"/>
  <c r="Y106" i="50"/>
  <c r="U106" i="50"/>
  <c r="Q106" i="50"/>
  <c r="M106" i="50"/>
  <c r="J106" i="50"/>
  <c r="B106" i="50"/>
  <c r="AA105" i="50"/>
  <c r="Y105" i="50"/>
  <c r="U105" i="50"/>
  <c r="Q105" i="50"/>
  <c r="M105" i="50"/>
  <c r="J105" i="50"/>
  <c r="B105" i="50"/>
  <c r="AA104" i="50"/>
  <c r="Y104" i="50"/>
  <c r="U104" i="50"/>
  <c r="Q104" i="50"/>
  <c r="M104" i="50"/>
  <c r="J104" i="50"/>
  <c r="B104" i="50"/>
  <c r="AA103" i="50"/>
  <c r="Y103" i="50"/>
  <c r="U103" i="50"/>
  <c r="Q103" i="50"/>
  <c r="M103" i="50"/>
  <c r="J103" i="50"/>
  <c r="B103" i="50"/>
  <c r="AA102" i="50"/>
  <c r="Y102" i="50"/>
  <c r="U102" i="50"/>
  <c r="Q102" i="50"/>
  <c r="M102" i="50"/>
  <c r="J102" i="50"/>
  <c r="B102" i="50"/>
  <c r="AA101" i="50"/>
  <c r="Y101" i="50"/>
  <c r="U101" i="50"/>
  <c r="Q101" i="50"/>
  <c r="M101" i="50"/>
  <c r="J101" i="50"/>
  <c r="B101" i="50"/>
  <c r="AA100" i="50"/>
  <c r="Y100" i="50"/>
  <c r="U100" i="50"/>
  <c r="Q100" i="50"/>
  <c r="M100" i="50"/>
  <c r="J100" i="50"/>
  <c r="B100" i="50"/>
  <c r="AA99" i="50"/>
  <c r="Y99" i="50"/>
  <c r="U99" i="50"/>
  <c r="Q99" i="50"/>
  <c r="M99" i="50"/>
  <c r="J99" i="50"/>
  <c r="B99" i="50"/>
  <c r="AA98" i="50"/>
  <c r="Y98" i="50"/>
  <c r="U98" i="50"/>
  <c r="Q98" i="50"/>
  <c r="M98" i="50"/>
  <c r="J98" i="50"/>
  <c r="B98" i="50"/>
  <c r="AA97" i="50"/>
  <c r="Y97" i="50"/>
  <c r="U97" i="50"/>
  <c r="Q97" i="50"/>
  <c r="M97" i="50"/>
  <c r="J97" i="50"/>
  <c r="B97" i="50"/>
  <c r="AA96" i="50"/>
  <c r="Y96" i="50"/>
  <c r="U96" i="50"/>
  <c r="Q96" i="50"/>
  <c r="M96" i="50"/>
  <c r="J96" i="50"/>
  <c r="B96" i="50"/>
  <c r="AA95" i="50"/>
  <c r="Y95" i="50"/>
  <c r="U95" i="50"/>
  <c r="Q95" i="50"/>
  <c r="M95" i="50"/>
  <c r="J95" i="50"/>
  <c r="B95" i="50"/>
  <c r="AA94" i="50"/>
  <c r="Y94" i="50"/>
  <c r="U94" i="50"/>
  <c r="Q94" i="50"/>
  <c r="M94" i="50"/>
  <c r="J94" i="50"/>
  <c r="B94" i="50"/>
  <c r="AA93" i="50"/>
  <c r="Y93" i="50"/>
  <c r="U93" i="50"/>
  <c r="Q93" i="50"/>
  <c r="M93" i="50"/>
  <c r="J93" i="50"/>
  <c r="B93" i="50"/>
  <c r="AA92" i="50"/>
  <c r="Y92" i="50"/>
  <c r="U92" i="50"/>
  <c r="Q92" i="50"/>
  <c r="M92" i="50"/>
  <c r="J92" i="50"/>
  <c r="B92" i="50"/>
  <c r="AA91" i="50"/>
  <c r="Y91" i="50"/>
  <c r="U91" i="50"/>
  <c r="Q91" i="50"/>
  <c r="M91" i="50"/>
  <c r="J91" i="50"/>
  <c r="B91" i="50"/>
  <c r="AA90" i="50"/>
  <c r="Y90" i="50"/>
  <c r="U90" i="50"/>
  <c r="Q90" i="50"/>
  <c r="M90" i="50"/>
  <c r="J90" i="50"/>
  <c r="B90" i="50"/>
  <c r="AA89" i="50"/>
  <c r="Y89" i="50"/>
  <c r="U89" i="50"/>
  <c r="Q89" i="50"/>
  <c r="M89" i="50"/>
  <c r="J89" i="50"/>
  <c r="B89" i="50"/>
  <c r="AA88" i="50"/>
  <c r="Y88" i="50"/>
  <c r="U88" i="50"/>
  <c r="Q88" i="50"/>
  <c r="M88" i="50"/>
  <c r="J88" i="50"/>
  <c r="B88" i="50"/>
  <c r="V64" i="50"/>
  <c r="B62" i="50"/>
  <c r="AF61" i="50"/>
  <c r="AA54" i="50"/>
  <c r="Y54" i="50"/>
  <c r="U54" i="50"/>
  <c r="Q54" i="50"/>
  <c r="M54" i="50"/>
  <c r="J54" i="50"/>
  <c r="B54" i="50"/>
  <c r="AA53" i="50"/>
  <c r="Y53" i="50"/>
  <c r="U53" i="50"/>
  <c r="Q53" i="50"/>
  <c r="M53" i="50"/>
  <c r="J53" i="50"/>
  <c r="B53" i="50"/>
  <c r="AA52" i="50"/>
  <c r="Y52" i="50"/>
  <c r="U52" i="50"/>
  <c r="Q52" i="50"/>
  <c r="M52" i="50"/>
  <c r="J52" i="50"/>
  <c r="B52" i="50"/>
  <c r="AA51" i="50"/>
  <c r="Y51" i="50"/>
  <c r="U51" i="50"/>
  <c r="Q51" i="50"/>
  <c r="M51" i="50"/>
  <c r="J51" i="50"/>
  <c r="B51" i="50"/>
  <c r="AA50" i="50"/>
  <c r="Y50" i="50"/>
  <c r="U50" i="50"/>
  <c r="Q50" i="50"/>
  <c r="M50" i="50"/>
  <c r="J50" i="50"/>
  <c r="B50" i="50"/>
  <c r="AA49" i="50"/>
  <c r="Y49" i="50"/>
  <c r="U49" i="50"/>
  <c r="Q49" i="50"/>
  <c r="M49" i="50"/>
  <c r="J49" i="50"/>
  <c r="B49" i="50"/>
  <c r="AA48" i="50"/>
  <c r="Y48" i="50"/>
  <c r="U48" i="50"/>
  <c r="Q48" i="50"/>
  <c r="M48" i="50"/>
  <c r="J48" i="50"/>
  <c r="B48" i="50"/>
  <c r="AA47" i="50"/>
  <c r="Y47" i="50"/>
  <c r="U47" i="50"/>
  <c r="Q47" i="50"/>
  <c r="M47" i="50"/>
  <c r="J47" i="50"/>
  <c r="B47" i="50"/>
  <c r="AA46" i="50"/>
  <c r="Y46" i="50"/>
  <c r="U46" i="50"/>
  <c r="Q46" i="50"/>
  <c r="M46" i="50"/>
  <c r="J46" i="50"/>
  <c r="B46" i="50"/>
  <c r="AA45" i="50"/>
  <c r="Y45" i="50"/>
  <c r="U45" i="50"/>
  <c r="Q45" i="50"/>
  <c r="M45" i="50"/>
  <c r="J45" i="50"/>
  <c r="B45" i="50"/>
  <c r="AA44" i="50"/>
  <c r="Y44" i="50"/>
  <c r="U44" i="50"/>
  <c r="Q44" i="50"/>
  <c r="M44" i="50"/>
  <c r="J44" i="50"/>
  <c r="B44" i="50"/>
  <c r="AA43" i="50"/>
  <c r="Y43" i="50"/>
  <c r="U43" i="50"/>
  <c r="Q43" i="50"/>
  <c r="M43" i="50"/>
  <c r="J43" i="50"/>
  <c r="B43" i="50"/>
  <c r="AA42" i="50"/>
  <c r="Y42" i="50"/>
  <c r="U42" i="50"/>
  <c r="Q42" i="50"/>
  <c r="M42" i="50"/>
  <c r="J42" i="50"/>
  <c r="B42" i="50"/>
  <c r="AA41" i="50"/>
  <c r="Y41" i="50"/>
  <c r="U41" i="50"/>
  <c r="Q41" i="50"/>
  <c r="M41" i="50"/>
  <c r="J41" i="50"/>
  <c r="B41" i="50"/>
  <c r="AA40" i="50"/>
  <c r="Y40" i="50"/>
  <c r="U40" i="50"/>
  <c r="Q40" i="50"/>
  <c r="M40" i="50"/>
  <c r="J40" i="50"/>
  <c r="B40" i="50"/>
  <c r="AA39" i="50"/>
  <c r="Y39" i="50"/>
  <c r="U39" i="50"/>
  <c r="Q39" i="50"/>
  <c r="M39" i="50"/>
  <c r="J39" i="50"/>
  <c r="B39" i="50"/>
  <c r="AA38" i="50"/>
  <c r="Y38" i="50"/>
  <c r="U38" i="50"/>
  <c r="Q38" i="50"/>
  <c r="M38" i="50"/>
  <c r="J38" i="50"/>
  <c r="B38" i="50"/>
  <c r="AA37" i="50"/>
  <c r="Y37" i="50"/>
  <c r="U37" i="50"/>
  <c r="Q37" i="50"/>
  <c r="M37" i="50"/>
  <c r="J37" i="50"/>
  <c r="B37" i="50"/>
  <c r="AA36" i="50"/>
  <c r="Y36" i="50"/>
  <c r="U36" i="50"/>
  <c r="Q36" i="50"/>
  <c r="M36" i="50"/>
  <c r="J36" i="50"/>
  <c r="B36" i="50"/>
  <c r="AA35" i="50"/>
  <c r="Y35" i="50"/>
  <c r="U35" i="50"/>
  <c r="Q35" i="50"/>
  <c r="M35" i="50"/>
  <c r="J35" i="50"/>
  <c r="B35" i="50"/>
  <c r="V11" i="50"/>
  <c r="AB5" i="50"/>
  <c r="AF122" i="49"/>
  <c r="AA115" i="49"/>
  <c r="Y115" i="49"/>
  <c r="U115" i="49"/>
  <c r="Q115" i="49"/>
  <c r="M115" i="49"/>
  <c r="J115" i="49"/>
  <c r="B115" i="49"/>
  <c r="AA114" i="49"/>
  <c r="Y114" i="49"/>
  <c r="U114" i="49"/>
  <c r="Q114" i="49"/>
  <c r="M114" i="49"/>
  <c r="J114" i="49"/>
  <c r="B114" i="49"/>
  <c r="AA113" i="49"/>
  <c r="Y113" i="49"/>
  <c r="U113" i="49"/>
  <c r="Q113" i="49"/>
  <c r="M113" i="49"/>
  <c r="J113" i="49"/>
  <c r="B113" i="49"/>
  <c r="AA112" i="49"/>
  <c r="Y112" i="49"/>
  <c r="U112" i="49"/>
  <c r="Q112" i="49"/>
  <c r="M112" i="49"/>
  <c r="J112" i="49"/>
  <c r="B112" i="49"/>
  <c r="AA111" i="49"/>
  <c r="Y111" i="49"/>
  <c r="U111" i="49"/>
  <c r="Q111" i="49"/>
  <c r="M111" i="49"/>
  <c r="J111" i="49"/>
  <c r="B111" i="49"/>
  <c r="AA110" i="49"/>
  <c r="Y110" i="49"/>
  <c r="U110" i="49"/>
  <c r="Q110" i="49"/>
  <c r="M110" i="49"/>
  <c r="J110" i="49"/>
  <c r="B110" i="49"/>
  <c r="AA109" i="49"/>
  <c r="Y109" i="49"/>
  <c r="U109" i="49"/>
  <c r="Q109" i="49"/>
  <c r="M109" i="49"/>
  <c r="J109" i="49"/>
  <c r="B109" i="49"/>
  <c r="AA108" i="49"/>
  <c r="Y108" i="49"/>
  <c r="U108" i="49"/>
  <c r="Q108" i="49"/>
  <c r="M108" i="49"/>
  <c r="J108" i="49"/>
  <c r="B108" i="49"/>
  <c r="AA107" i="49"/>
  <c r="Y107" i="49"/>
  <c r="U107" i="49"/>
  <c r="Q107" i="49"/>
  <c r="M107" i="49"/>
  <c r="J107" i="49"/>
  <c r="B107" i="49"/>
  <c r="AA106" i="49"/>
  <c r="Y106" i="49"/>
  <c r="U106" i="49"/>
  <c r="Q106" i="49"/>
  <c r="M106" i="49"/>
  <c r="J106" i="49"/>
  <c r="B106" i="49"/>
  <c r="AA105" i="49"/>
  <c r="Y105" i="49"/>
  <c r="U105" i="49"/>
  <c r="Q105" i="49"/>
  <c r="M105" i="49"/>
  <c r="J105" i="49"/>
  <c r="B105" i="49"/>
  <c r="AA104" i="49"/>
  <c r="Y104" i="49"/>
  <c r="U104" i="49"/>
  <c r="Q104" i="49"/>
  <c r="M104" i="49"/>
  <c r="J104" i="49"/>
  <c r="B104" i="49"/>
  <c r="AA103" i="49"/>
  <c r="Y103" i="49"/>
  <c r="U103" i="49"/>
  <c r="Q103" i="49"/>
  <c r="M103" i="49"/>
  <c r="J103" i="49"/>
  <c r="B103" i="49"/>
  <c r="AA102" i="49"/>
  <c r="Y102" i="49"/>
  <c r="U102" i="49"/>
  <c r="Q102" i="49"/>
  <c r="M102" i="49"/>
  <c r="J102" i="49"/>
  <c r="B102" i="49"/>
  <c r="AA101" i="49"/>
  <c r="Y101" i="49"/>
  <c r="U101" i="49"/>
  <c r="Q101" i="49"/>
  <c r="M101" i="49"/>
  <c r="J101" i="49"/>
  <c r="B101" i="49"/>
  <c r="AA100" i="49"/>
  <c r="Y100" i="49"/>
  <c r="U100" i="49"/>
  <c r="Q100" i="49"/>
  <c r="M100" i="49"/>
  <c r="J100" i="49"/>
  <c r="B100" i="49"/>
  <c r="AA99" i="49"/>
  <c r="Y99" i="49"/>
  <c r="U99" i="49"/>
  <c r="Q99" i="49"/>
  <c r="M99" i="49"/>
  <c r="J99" i="49"/>
  <c r="B99" i="49"/>
  <c r="AA98" i="49"/>
  <c r="Y98" i="49"/>
  <c r="U98" i="49"/>
  <c r="Q98" i="49"/>
  <c r="M98" i="49"/>
  <c r="J98" i="49"/>
  <c r="B98" i="49"/>
  <c r="AA97" i="49"/>
  <c r="Y97" i="49"/>
  <c r="U97" i="49"/>
  <c r="Q97" i="49"/>
  <c r="M97" i="49"/>
  <c r="J97" i="49"/>
  <c r="B97" i="49"/>
  <c r="AA96" i="49"/>
  <c r="Y96" i="49"/>
  <c r="U96" i="49"/>
  <c r="Q96" i="49"/>
  <c r="M96" i="49"/>
  <c r="J96" i="49"/>
  <c r="B96" i="49"/>
  <c r="AA95" i="49"/>
  <c r="Y95" i="49"/>
  <c r="U95" i="49"/>
  <c r="Q95" i="49"/>
  <c r="M95" i="49"/>
  <c r="J95" i="49"/>
  <c r="B95" i="49"/>
  <c r="AA94" i="49"/>
  <c r="Y94" i="49"/>
  <c r="U94" i="49"/>
  <c r="Q94" i="49"/>
  <c r="M94" i="49"/>
  <c r="J94" i="49"/>
  <c r="B94" i="49"/>
  <c r="AA93" i="49"/>
  <c r="Y93" i="49"/>
  <c r="U93" i="49"/>
  <c r="Q93" i="49"/>
  <c r="M93" i="49"/>
  <c r="J93" i="49"/>
  <c r="B93" i="49"/>
  <c r="AA92" i="49"/>
  <c r="Y92" i="49"/>
  <c r="U92" i="49"/>
  <c r="Q92" i="49"/>
  <c r="M92" i="49"/>
  <c r="J92" i="49"/>
  <c r="B92" i="49"/>
  <c r="AA91" i="49"/>
  <c r="Y91" i="49"/>
  <c r="U91" i="49"/>
  <c r="Q91" i="49"/>
  <c r="M91" i="49"/>
  <c r="J91" i="49"/>
  <c r="B91" i="49"/>
  <c r="AA90" i="49"/>
  <c r="Y90" i="49"/>
  <c r="U90" i="49"/>
  <c r="Q90" i="49"/>
  <c r="M90" i="49"/>
  <c r="J90" i="49"/>
  <c r="B90" i="49"/>
  <c r="AA89" i="49"/>
  <c r="Y89" i="49"/>
  <c r="U89" i="49"/>
  <c r="Q89" i="49"/>
  <c r="M89" i="49"/>
  <c r="J89" i="49"/>
  <c r="B89" i="49"/>
  <c r="AA88" i="49"/>
  <c r="Y88" i="49"/>
  <c r="U88" i="49"/>
  <c r="Q88" i="49"/>
  <c r="M88" i="49"/>
  <c r="J88" i="49"/>
  <c r="B88" i="49"/>
  <c r="V64" i="49"/>
  <c r="B62" i="49"/>
  <c r="AF61" i="49"/>
  <c r="AA54" i="49"/>
  <c r="Y54" i="49"/>
  <c r="U54" i="49"/>
  <c r="Q54" i="49"/>
  <c r="M54" i="49"/>
  <c r="J54" i="49"/>
  <c r="B54" i="49"/>
  <c r="AA53" i="49"/>
  <c r="Y53" i="49"/>
  <c r="U53" i="49"/>
  <c r="Q53" i="49"/>
  <c r="M53" i="49"/>
  <c r="J53" i="49"/>
  <c r="B53" i="49"/>
  <c r="AA52" i="49"/>
  <c r="Y52" i="49"/>
  <c r="U52" i="49"/>
  <c r="Q52" i="49"/>
  <c r="M52" i="49"/>
  <c r="J52" i="49"/>
  <c r="B52" i="49"/>
  <c r="AA51" i="49"/>
  <c r="Y51" i="49"/>
  <c r="U51" i="49"/>
  <c r="Q51" i="49"/>
  <c r="M51" i="49"/>
  <c r="J51" i="49"/>
  <c r="B51" i="49"/>
  <c r="AA50" i="49"/>
  <c r="Y50" i="49"/>
  <c r="U50" i="49"/>
  <c r="Q50" i="49"/>
  <c r="M50" i="49"/>
  <c r="J50" i="49"/>
  <c r="B50" i="49"/>
  <c r="AA49" i="49"/>
  <c r="Y49" i="49"/>
  <c r="U49" i="49"/>
  <c r="Q49" i="49"/>
  <c r="M49" i="49"/>
  <c r="J49" i="49"/>
  <c r="B49" i="49"/>
  <c r="AA48" i="49"/>
  <c r="Y48" i="49"/>
  <c r="U48" i="49"/>
  <c r="Q48" i="49"/>
  <c r="M48" i="49"/>
  <c r="J48" i="49"/>
  <c r="B48" i="49"/>
  <c r="AA47" i="49"/>
  <c r="Y47" i="49"/>
  <c r="U47" i="49"/>
  <c r="Q47" i="49"/>
  <c r="M47" i="49"/>
  <c r="J47" i="49"/>
  <c r="B47" i="49"/>
  <c r="AA46" i="49"/>
  <c r="Y46" i="49"/>
  <c r="U46" i="49"/>
  <c r="Q46" i="49"/>
  <c r="M46" i="49"/>
  <c r="J46" i="49"/>
  <c r="B46" i="49"/>
  <c r="AA45" i="49"/>
  <c r="Y45" i="49"/>
  <c r="U45" i="49"/>
  <c r="Q45" i="49"/>
  <c r="M45" i="49"/>
  <c r="J45" i="49"/>
  <c r="B45" i="49"/>
  <c r="AA44" i="49"/>
  <c r="Y44" i="49"/>
  <c r="U44" i="49"/>
  <c r="Q44" i="49"/>
  <c r="M44" i="49"/>
  <c r="J44" i="49"/>
  <c r="B44" i="49"/>
  <c r="AA43" i="49"/>
  <c r="Y43" i="49"/>
  <c r="U43" i="49"/>
  <c r="Q43" i="49"/>
  <c r="M43" i="49"/>
  <c r="J43" i="49"/>
  <c r="B43" i="49"/>
  <c r="AA42" i="49"/>
  <c r="Y42" i="49"/>
  <c r="U42" i="49"/>
  <c r="Q42" i="49"/>
  <c r="M42" i="49"/>
  <c r="J42" i="49"/>
  <c r="B42" i="49"/>
  <c r="AA41" i="49"/>
  <c r="Y41" i="49"/>
  <c r="U41" i="49"/>
  <c r="Q41" i="49"/>
  <c r="M41" i="49"/>
  <c r="J41" i="49"/>
  <c r="B41" i="49"/>
  <c r="AA40" i="49"/>
  <c r="Y40" i="49"/>
  <c r="U40" i="49"/>
  <c r="Q40" i="49"/>
  <c r="M40" i="49"/>
  <c r="J40" i="49"/>
  <c r="B40" i="49"/>
  <c r="AA39" i="49"/>
  <c r="Y39" i="49"/>
  <c r="U39" i="49"/>
  <c r="Q39" i="49"/>
  <c r="M39" i="49"/>
  <c r="J39" i="49"/>
  <c r="B39" i="49"/>
  <c r="AA38" i="49"/>
  <c r="Y38" i="49"/>
  <c r="U38" i="49"/>
  <c r="Q38" i="49"/>
  <c r="M38" i="49"/>
  <c r="J38" i="49"/>
  <c r="B38" i="49"/>
  <c r="AA37" i="49"/>
  <c r="Y37" i="49"/>
  <c r="U37" i="49"/>
  <c r="Q37" i="49"/>
  <c r="M37" i="49"/>
  <c r="J37" i="49"/>
  <c r="B37" i="49"/>
  <c r="AA36" i="49"/>
  <c r="Y36" i="49"/>
  <c r="U36" i="49"/>
  <c r="Q36" i="49"/>
  <c r="M36" i="49"/>
  <c r="J36" i="49"/>
  <c r="B36" i="49"/>
  <c r="AA35" i="49"/>
  <c r="Y35" i="49"/>
  <c r="U35" i="49"/>
  <c r="Q35" i="49"/>
  <c r="M35" i="49"/>
  <c r="AG35" i="49" s="1"/>
  <c r="B35" i="49"/>
  <c r="V11" i="49"/>
  <c r="AB5" i="49"/>
  <c r="M35" i="43"/>
  <c r="J35" i="43"/>
  <c r="J89" i="43"/>
  <c r="J90" i="43"/>
  <c r="J91" i="43"/>
  <c r="J92" i="43"/>
  <c r="J93" i="43"/>
  <c r="J94" i="43"/>
  <c r="J95" i="43"/>
  <c r="J96" i="43"/>
  <c r="J97" i="43"/>
  <c r="J98" i="43"/>
  <c r="J99" i="43"/>
  <c r="J100" i="43"/>
  <c r="J101" i="43"/>
  <c r="J102" i="43"/>
  <c r="J103" i="43"/>
  <c r="J104" i="43"/>
  <c r="J105" i="43"/>
  <c r="J106" i="43"/>
  <c r="J107" i="43"/>
  <c r="J108" i="43"/>
  <c r="J109" i="43"/>
  <c r="J110" i="43"/>
  <c r="J111" i="43"/>
  <c r="J112" i="43"/>
  <c r="J113" i="43"/>
  <c r="J114" i="43"/>
  <c r="J115" i="43"/>
  <c r="AA115" i="43"/>
  <c r="Y115" i="43"/>
  <c r="U115" i="43"/>
  <c r="Q115" i="43"/>
  <c r="M115" i="43"/>
  <c r="B115" i="43"/>
  <c r="AA114" i="43"/>
  <c r="Y114" i="43"/>
  <c r="U114" i="43"/>
  <c r="Q114" i="43"/>
  <c r="M114" i="43"/>
  <c r="B114" i="43"/>
  <c r="AA113" i="43"/>
  <c r="Y113" i="43"/>
  <c r="U113" i="43"/>
  <c r="Q113" i="43"/>
  <c r="M113" i="43"/>
  <c r="B113" i="43"/>
  <c r="AA112" i="43"/>
  <c r="Y112" i="43"/>
  <c r="U112" i="43"/>
  <c r="Q112" i="43"/>
  <c r="M112" i="43"/>
  <c r="B112" i="43"/>
  <c r="AA111" i="43"/>
  <c r="Y111" i="43"/>
  <c r="U111" i="43"/>
  <c r="Q111" i="43"/>
  <c r="M111" i="43"/>
  <c r="B111" i="43"/>
  <c r="AA110" i="43"/>
  <c r="Y110" i="43"/>
  <c r="U110" i="43"/>
  <c r="Q110" i="43"/>
  <c r="M110" i="43"/>
  <c r="B110" i="43"/>
  <c r="AA109" i="43"/>
  <c r="Y109" i="43"/>
  <c r="U109" i="43"/>
  <c r="Q109" i="43"/>
  <c r="M109" i="43"/>
  <c r="B109" i="43"/>
  <c r="AA108" i="43"/>
  <c r="Y108" i="43"/>
  <c r="U108" i="43"/>
  <c r="Q108" i="43"/>
  <c r="M108" i="43"/>
  <c r="B108" i="43"/>
  <c r="AA107" i="43"/>
  <c r="Y107" i="43"/>
  <c r="U107" i="43"/>
  <c r="Q107" i="43"/>
  <c r="M107" i="43"/>
  <c r="B107" i="43"/>
  <c r="AA106" i="43"/>
  <c r="Y106" i="43"/>
  <c r="U106" i="43"/>
  <c r="Q106" i="43"/>
  <c r="M106" i="43"/>
  <c r="B106" i="43"/>
  <c r="AA105" i="43"/>
  <c r="Y105" i="43"/>
  <c r="U105" i="43"/>
  <c r="Q105" i="43"/>
  <c r="M105" i="43"/>
  <c r="B105" i="43"/>
  <c r="AA104" i="43"/>
  <c r="Y104" i="43"/>
  <c r="U104" i="43"/>
  <c r="Q104" i="43"/>
  <c r="M104" i="43"/>
  <c r="B104" i="43"/>
  <c r="AA103" i="43"/>
  <c r="Y103" i="43"/>
  <c r="U103" i="43"/>
  <c r="Q103" i="43"/>
  <c r="M103" i="43"/>
  <c r="B103" i="43"/>
  <c r="AA102" i="43"/>
  <c r="Y102" i="43"/>
  <c r="U102" i="43"/>
  <c r="Q102" i="43"/>
  <c r="M102" i="43"/>
  <c r="B102" i="43"/>
  <c r="AA101" i="43"/>
  <c r="Y101" i="43"/>
  <c r="U101" i="43"/>
  <c r="Q101" i="43"/>
  <c r="M101" i="43"/>
  <c r="B101" i="43"/>
  <c r="AA100" i="43"/>
  <c r="Y100" i="43"/>
  <c r="U100" i="43"/>
  <c r="Q100" i="43"/>
  <c r="M100" i="43"/>
  <c r="B100" i="43"/>
  <c r="AA99" i="43"/>
  <c r="Y99" i="43"/>
  <c r="U99" i="43"/>
  <c r="Q99" i="43"/>
  <c r="M99" i="43"/>
  <c r="B99" i="43"/>
  <c r="AA98" i="43"/>
  <c r="Y98" i="43"/>
  <c r="U98" i="43"/>
  <c r="Q98" i="43"/>
  <c r="M98" i="43"/>
  <c r="B98" i="43"/>
  <c r="AA97" i="43"/>
  <c r="Y97" i="43"/>
  <c r="U97" i="43"/>
  <c r="Q97" i="43"/>
  <c r="M97" i="43"/>
  <c r="B97" i="43"/>
  <c r="AA96" i="43"/>
  <c r="Y96" i="43"/>
  <c r="U96" i="43"/>
  <c r="Q96" i="43"/>
  <c r="M96" i="43"/>
  <c r="B96" i="43"/>
  <c r="AA95" i="43"/>
  <c r="Y95" i="43"/>
  <c r="U95" i="43"/>
  <c r="Q95" i="43"/>
  <c r="M95" i="43"/>
  <c r="B95" i="43"/>
  <c r="AA94" i="43"/>
  <c r="Y94" i="43"/>
  <c r="U94" i="43"/>
  <c r="Q94" i="43"/>
  <c r="M94" i="43"/>
  <c r="B94" i="43"/>
  <c r="AA93" i="43"/>
  <c r="Y93" i="43"/>
  <c r="U93" i="43"/>
  <c r="Q93" i="43"/>
  <c r="M93" i="43"/>
  <c r="B93" i="43"/>
  <c r="AA92" i="43"/>
  <c r="Y92" i="43"/>
  <c r="U92" i="43"/>
  <c r="Q92" i="43"/>
  <c r="M92" i="43"/>
  <c r="B92" i="43"/>
  <c r="AA91" i="43"/>
  <c r="Y91" i="43"/>
  <c r="U91" i="43"/>
  <c r="Q91" i="43"/>
  <c r="M91" i="43"/>
  <c r="B91" i="43"/>
  <c r="AA90" i="43"/>
  <c r="Y90" i="43"/>
  <c r="U90" i="43"/>
  <c r="Q90" i="43"/>
  <c r="M90" i="43"/>
  <c r="B90" i="43"/>
  <c r="AA89" i="43"/>
  <c r="Y89" i="43"/>
  <c r="U89" i="43"/>
  <c r="Q89" i="43"/>
  <c r="M89" i="43"/>
  <c r="B89" i="43"/>
  <c r="AI88" i="43"/>
  <c r="B88" i="43"/>
  <c r="M41" i="43"/>
  <c r="J41" i="43"/>
  <c r="AA54" i="43"/>
  <c r="Y54" i="43"/>
  <c r="U54" i="43"/>
  <c r="Q54" i="43"/>
  <c r="M54" i="43"/>
  <c r="J54" i="43"/>
  <c r="B54" i="43"/>
  <c r="AA53" i="43"/>
  <c r="Y53" i="43"/>
  <c r="U53" i="43"/>
  <c r="Q53" i="43"/>
  <c r="M53" i="43"/>
  <c r="J53" i="43"/>
  <c r="B53" i="43"/>
  <c r="AA52" i="43"/>
  <c r="Y52" i="43"/>
  <c r="U52" i="43"/>
  <c r="Q52" i="43"/>
  <c r="M52" i="43"/>
  <c r="J52" i="43"/>
  <c r="B52" i="43"/>
  <c r="AA51" i="43"/>
  <c r="Y51" i="43"/>
  <c r="U51" i="43"/>
  <c r="Q51" i="43"/>
  <c r="M51" i="43"/>
  <c r="J51" i="43"/>
  <c r="B51" i="43"/>
  <c r="AA50" i="43"/>
  <c r="Y50" i="43"/>
  <c r="U50" i="43"/>
  <c r="Q50" i="43"/>
  <c r="M50" i="43"/>
  <c r="J50" i="43"/>
  <c r="B50" i="43"/>
  <c r="AA49" i="43"/>
  <c r="Y49" i="43"/>
  <c r="U49" i="43"/>
  <c r="Q49" i="43"/>
  <c r="M49" i="43"/>
  <c r="J49" i="43"/>
  <c r="B49" i="43"/>
  <c r="AA48" i="43"/>
  <c r="Y48" i="43"/>
  <c r="U48" i="43"/>
  <c r="Q48" i="43"/>
  <c r="M48" i="43"/>
  <c r="J48" i="43"/>
  <c r="B48" i="43"/>
  <c r="AA47" i="43"/>
  <c r="Y47" i="43"/>
  <c r="U47" i="43"/>
  <c r="Q47" i="43"/>
  <c r="M47" i="43"/>
  <c r="J47" i="43"/>
  <c r="B47" i="43"/>
  <c r="AA46" i="43"/>
  <c r="Y46" i="43"/>
  <c r="U46" i="43"/>
  <c r="Q46" i="43"/>
  <c r="M46" i="43"/>
  <c r="J46" i="43"/>
  <c r="B46" i="43"/>
  <c r="AA45" i="43"/>
  <c r="Y45" i="43"/>
  <c r="U45" i="43"/>
  <c r="Q45" i="43"/>
  <c r="M45" i="43"/>
  <c r="J45" i="43"/>
  <c r="B45" i="43"/>
  <c r="AA44" i="43"/>
  <c r="Y44" i="43"/>
  <c r="U44" i="43"/>
  <c r="Q44" i="43"/>
  <c r="M44" i="43"/>
  <c r="J44" i="43"/>
  <c r="B44" i="43"/>
  <c r="AA43" i="43"/>
  <c r="Y43" i="43"/>
  <c r="U43" i="43"/>
  <c r="Q43" i="43"/>
  <c r="M43" i="43"/>
  <c r="J43" i="43"/>
  <c r="B43" i="43"/>
  <c r="AA42" i="43"/>
  <c r="Y42" i="43"/>
  <c r="U42" i="43"/>
  <c r="Q42" i="43"/>
  <c r="M42" i="43"/>
  <c r="J42" i="43"/>
  <c r="B42" i="43"/>
  <c r="AA41" i="43"/>
  <c r="Y41" i="43"/>
  <c r="U41" i="43"/>
  <c r="Q41" i="43"/>
  <c r="B41" i="43"/>
  <c r="AA40" i="43"/>
  <c r="Y40" i="43"/>
  <c r="U40" i="43"/>
  <c r="Q40" i="43"/>
  <c r="M40" i="43"/>
  <c r="J40" i="43"/>
  <c r="B40" i="43"/>
  <c r="AA39" i="43"/>
  <c r="Y39" i="43"/>
  <c r="U39" i="43"/>
  <c r="Q39" i="43"/>
  <c r="M39" i="43"/>
  <c r="J39" i="43"/>
  <c r="B39" i="43"/>
  <c r="AA38" i="43"/>
  <c r="Y38" i="43"/>
  <c r="U38" i="43"/>
  <c r="Q38" i="43"/>
  <c r="M38" i="43"/>
  <c r="J38" i="43"/>
  <c r="B38" i="43"/>
  <c r="AA37" i="43"/>
  <c r="Y37" i="43"/>
  <c r="U37" i="43"/>
  <c r="Q37" i="43"/>
  <c r="M37" i="43"/>
  <c r="J37" i="43"/>
  <c r="B37" i="43"/>
  <c r="AA36" i="43"/>
  <c r="Y36" i="43"/>
  <c r="U36" i="43"/>
  <c r="Q36" i="43"/>
  <c r="M36" i="43"/>
  <c r="J36" i="43"/>
  <c r="B36" i="43"/>
  <c r="U35" i="43"/>
  <c r="AC35" i="43" s="1"/>
  <c r="V64" i="43"/>
  <c r="V11" i="43"/>
  <c r="AI49" i="43" l="1"/>
  <c r="A45" i="43"/>
  <c r="AI53" i="43"/>
  <c r="AC51" i="49"/>
  <c r="A110" i="50"/>
  <c r="A51" i="49"/>
  <c r="A94" i="50"/>
  <c r="AC97" i="50"/>
  <c r="A102" i="50"/>
  <c r="AC109" i="50"/>
  <c r="AC110" i="50"/>
  <c r="A36" i="49"/>
  <c r="AC42" i="49"/>
  <c r="A44" i="49"/>
  <c r="AC50" i="49"/>
  <c r="A52" i="49"/>
  <c r="A92" i="49"/>
  <c r="A95" i="49"/>
  <c r="AG96" i="49"/>
  <c r="AC98" i="49"/>
  <c r="A99" i="49"/>
  <c r="A103" i="49"/>
  <c r="AC106" i="49"/>
  <c r="A107" i="49"/>
  <c r="AC110" i="49"/>
  <c r="AC36" i="50"/>
  <c r="A49" i="50"/>
  <c r="AC52" i="50"/>
  <c r="A53" i="50"/>
  <c r="A110" i="43"/>
  <c r="AC36" i="49"/>
  <c r="A41" i="49"/>
  <c r="AC44" i="49"/>
  <c r="A45" i="49"/>
  <c r="A49" i="49"/>
  <c r="AC52" i="49"/>
  <c r="A53" i="49"/>
  <c r="AC92" i="49"/>
  <c r="A93" i="49"/>
  <c r="AC96" i="49"/>
  <c r="A97" i="49"/>
  <c r="A98" i="49"/>
  <c r="A106" i="49"/>
  <c r="A100" i="50"/>
  <c r="AC115" i="50"/>
  <c r="A101" i="49"/>
  <c r="AC104" i="49"/>
  <c r="AC108" i="43"/>
  <c r="A109" i="43"/>
  <c r="A43" i="50"/>
  <c r="AC46" i="50"/>
  <c r="A47" i="50"/>
  <c r="A51" i="50"/>
  <c r="AC90" i="50"/>
  <c r="A91" i="50"/>
  <c r="AC106" i="50"/>
  <c r="AC38" i="43"/>
  <c r="A39" i="43"/>
  <c r="A41" i="43"/>
  <c r="A100" i="43"/>
  <c r="A106" i="43"/>
  <c r="AC107" i="43"/>
  <c r="A112" i="43"/>
  <c r="A114" i="43"/>
  <c r="A46" i="50"/>
  <c r="A110" i="49"/>
  <c r="A35" i="50"/>
  <c r="A36" i="50"/>
  <c r="AC42" i="50"/>
  <c r="AC43" i="50"/>
  <c r="A88" i="50"/>
  <c r="A92" i="50"/>
  <c r="AC99" i="50"/>
  <c r="A113" i="50"/>
  <c r="A43" i="49"/>
  <c r="A107" i="50"/>
  <c r="A37" i="50"/>
  <c r="A41" i="50"/>
  <c r="AC45" i="50"/>
  <c r="A54" i="43"/>
  <c r="AI41" i="43"/>
  <c r="A90" i="43"/>
  <c r="A92" i="43"/>
  <c r="AC43" i="49"/>
  <c r="A89" i="50"/>
  <c r="AC96" i="50"/>
  <c r="AC100" i="50"/>
  <c r="A36" i="43"/>
  <c r="AC44" i="43"/>
  <c r="AC48" i="43"/>
  <c r="A49" i="43"/>
  <c r="AC52" i="43"/>
  <c r="A53" i="43"/>
  <c r="AC89" i="43"/>
  <c r="A94" i="43"/>
  <c r="AC97" i="43"/>
  <c r="AC99" i="43"/>
  <c r="A102" i="43"/>
  <c r="AC39" i="49"/>
  <c r="A40" i="49"/>
  <c r="A46" i="49"/>
  <c r="A47" i="49"/>
  <c r="AC91" i="49"/>
  <c r="A108" i="49"/>
  <c r="AC111" i="49"/>
  <c r="A112" i="49"/>
  <c r="AC115" i="49"/>
  <c r="A38" i="50"/>
  <c r="A103" i="50"/>
  <c r="A52" i="50"/>
  <c r="A97" i="50"/>
  <c r="A101" i="50"/>
  <c r="A105" i="50"/>
  <c r="A37" i="43"/>
  <c r="AI39" i="43"/>
  <c r="AC40" i="43"/>
  <c r="A43" i="43"/>
  <c r="AC46" i="43"/>
  <c r="A47" i="43"/>
  <c r="A52" i="43"/>
  <c r="AC54" i="43"/>
  <c r="AC94" i="43"/>
  <c r="AC96" i="43"/>
  <c r="A99" i="43"/>
  <c r="A38" i="49"/>
  <c r="A39" i="49"/>
  <c r="AC47" i="49"/>
  <c r="A48" i="49"/>
  <c r="A54" i="49"/>
  <c r="AC89" i="49"/>
  <c r="A94" i="49"/>
  <c r="A102" i="49"/>
  <c r="AC109" i="49"/>
  <c r="A111" i="49"/>
  <c r="AC113" i="49"/>
  <c r="AC39" i="50"/>
  <c r="A40" i="50"/>
  <c r="AC48" i="50"/>
  <c r="AC49" i="50"/>
  <c r="A50" i="50"/>
  <c r="A54" i="50"/>
  <c r="AC93" i="50"/>
  <c r="AC94" i="50"/>
  <c r="AC103" i="50"/>
  <c r="A104" i="50"/>
  <c r="A108" i="50"/>
  <c r="AC112" i="50"/>
  <c r="AC113" i="50"/>
  <c r="A114" i="50"/>
  <c r="A51" i="43"/>
  <c r="AC92" i="43"/>
  <c r="A93" i="43"/>
  <c r="AC101" i="43"/>
  <c r="A104" i="43"/>
  <c r="AC105" i="43"/>
  <c r="A108" i="43"/>
  <c r="AC110" i="43"/>
  <c r="AC112" i="43"/>
  <c r="A115" i="43"/>
  <c r="AC40" i="49"/>
  <c r="AC41" i="49"/>
  <c r="A42" i="49"/>
  <c r="AC48" i="49"/>
  <c r="AC49" i="49"/>
  <c r="A50" i="49"/>
  <c r="A89" i="49"/>
  <c r="AG90" i="49"/>
  <c r="AU90" i="49"/>
  <c r="AS90" i="49"/>
  <c r="AT90" i="49"/>
  <c r="A90" i="49"/>
  <c r="AI91" i="49"/>
  <c r="AW91" i="49"/>
  <c r="AX91" i="49"/>
  <c r="AY91" i="49"/>
  <c r="AY92" i="49"/>
  <c r="AW92" i="49"/>
  <c r="AX92" i="49"/>
  <c r="AC93" i="49"/>
  <c r="AC94" i="49"/>
  <c r="AC95" i="49"/>
  <c r="A96" i="49"/>
  <c r="AC99" i="49"/>
  <c r="A100" i="49"/>
  <c r="AS101" i="49"/>
  <c r="AT101" i="49"/>
  <c r="AG101" i="49"/>
  <c r="AU101" i="49"/>
  <c r="AI102" i="49"/>
  <c r="AT102" i="49"/>
  <c r="AU102" i="49"/>
  <c r="AS102" i="49"/>
  <c r="AG102" i="49"/>
  <c r="AG103" i="49"/>
  <c r="AS103" i="49"/>
  <c r="AU103" i="49"/>
  <c r="AT103" i="49"/>
  <c r="AX104" i="49"/>
  <c r="AY104" i="49"/>
  <c r="AW104" i="49"/>
  <c r="AC105" i="49"/>
  <c r="AG107" i="49"/>
  <c r="AT107" i="49"/>
  <c r="AU107" i="49"/>
  <c r="AS107" i="49"/>
  <c r="AI108" i="49"/>
  <c r="AG108" i="49"/>
  <c r="AT108" i="49"/>
  <c r="AS108" i="49"/>
  <c r="AU108" i="49"/>
  <c r="AI109" i="49"/>
  <c r="AY109" i="49"/>
  <c r="AW109" i="49"/>
  <c r="AX109" i="49"/>
  <c r="AW110" i="49"/>
  <c r="AY110" i="49"/>
  <c r="AX110" i="49"/>
  <c r="AI111" i="49"/>
  <c r="AY111" i="49"/>
  <c r="AW111" i="49"/>
  <c r="AX111" i="49"/>
  <c r="AC112" i="49"/>
  <c r="A113" i="49"/>
  <c r="AT114" i="49"/>
  <c r="AG114" i="49"/>
  <c r="AS114" i="49"/>
  <c r="AU114" i="49"/>
  <c r="A114" i="49"/>
  <c r="AI115" i="49"/>
  <c r="AX115" i="49"/>
  <c r="AW115" i="49"/>
  <c r="AY115" i="49"/>
  <c r="AT37" i="50"/>
  <c r="AU37" i="50"/>
  <c r="AS37" i="50"/>
  <c r="AG37" i="50"/>
  <c r="AI38" i="50"/>
  <c r="AT38" i="50"/>
  <c r="AU38" i="50"/>
  <c r="AG38" i="50"/>
  <c r="AS38" i="50"/>
  <c r="AI39" i="50"/>
  <c r="AY39" i="50"/>
  <c r="AW39" i="50"/>
  <c r="AX39" i="50"/>
  <c r="AC40" i="50"/>
  <c r="AC41" i="50"/>
  <c r="A42" i="50"/>
  <c r="AU44" i="50"/>
  <c r="AS44" i="50"/>
  <c r="AT44" i="50"/>
  <c r="AG44" i="50"/>
  <c r="A44" i="50"/>
  <c r="AI45" i="50"/>
  <c r="AW45" i="50"/>
  <c r="AY45" i="50"/>
  <c r="AX45" i="50"/>
  <c r="AW46" i="50"/>
  <c r="AY46" i="50"/>
  <c r="AX46" i="50"/>
  <c r="AC47" i="50"/>
  <c r="A48" i="50"/>
  <c r="AS50" i="50"/>
  <c r="AU50" i="50"/>
  <c r="AT50" i="50"/>
  <c r="AG50" i="50"/>
  <c r="AI51" i="50"/>
  <c r="AU51" i="50"/>
  <c r="AS51" i="50"/>
  <c r="AG51" i="50"/>
  <c r="AT51" i="50"/>
  <c r="AI52" i="50"/>
  <c r="AY52" i="50"/>
  <c r="AX52" i="50"/>
  <c r="AW52" i="50"/>
  <c r="AC53" i="50"/>
  <c r="AC54" i="50"/>
  <c r="AU88" i="50"/>
  <c r="AT88" i="50"/>
  <c r="AS88" i="50"/>
  <c r="AG88" i="50"/>
  <c r="AI89" i="50"/>
  <c r="AU89" i="50"/>
  <c r="AT89" i="50"/>
  <c r="AS89" i="50"/>
  <c r="AG89" i="50"/>
  <c r="AI90" i="50"/>
  <c r="AY90" i="50"/>
  <c r="AX90" i="50"/>
  <c r="AW90" i="50"/>
  <c r="AC91" i="50"/>
  <c r="AC92" i="50"/>
  <c r="A93" i="50"/>
  <c r="AS95" i="50"/>
  <c r="AU95" i="50"/>
  <c r="AT95" i="50"/>
  <c r="AG95" i="50"/>
  <c r="A95" i="50"/>
  <c r="AI96" i="50"/>
  <c r="AX96" i="50"/>
  <c r="AW96" i="50"/>
  <c r="AY96" i="50"/>
  <c r="AY97" i="50"/>
  <c r="AX97" i="50"/>
  <c r="AW97" i="50"/>
  <c r="AC98" i="50"/>
  <c r="A99" i="50"/>
  <c r="AT101" i="50"/>
  <c r="AS101" i="50"/>
  <c r="AU101" i="50"/>
  <c r="AG101" i="50"/>
  <c r="AI102" i="50"/>
  <c r="AU102" i="50"/>
  <c r="AT102" i="50"/>
  <c r="AS102" i="50"/>
  <c r="AG102" i="50"/>
  <c r="AI103" i="50"/>
  <c r="AY103" i="50"/>
  <c r="AX103" i="50"/>
  <c r="AW103" i="50"/>
  <c r="AC104" i="50"/>
  <c r="AC105" i="50"/>
  <c r="A106" i="50"/>
  <c r="AI107" i="50"/>
  <c r="AU107" i="50"/>
  <c r="AT107" i="50"/>
  <c r="AS107" i="50"/>
  <c r="AG107" i="50"/>
  <c r="AI108" i="50"/>
  <c r="AT108" i="50"/>
  <c r="AS108" i="50"/>
  <c r="AU108" i="50"/>
  <c r="AG108" i="50"/>
  <c r="AI109" i="50"/>
  <c r="AW109" i="50"/>
  <c r="AY109" i="50"/>
  <c r="AX109" i="50"/>
  <c r="AX110" i="50"/>
  <c r="AW110" i="50"/>
  <c r="AY110" i="50"/>
  <c r="AC111" i="50"/>
  <c r="A112" i="50"/>
  <c r="AU114" i="50"/>
  <c r="AT114" i="50"/>
  <c r="AS114" i="50"/>
  <c r="AG114" i="50"/>
  <c r="AY115" i="50"/>
  <c r="AX115" i="50"/>
  <c r="AW115" i="50"/>
  <c r="AI89" i="49"/>
  <c r="AG89" i="49"/>
  <c r="AU89" i="49"/>
  <c r="AS89" i="49"/>
  <c r="AT89" i="49"/>
  <c r="AI90" i="49"/>
  <c r="AW90" i="49"/>
  <c r="AX90" i="49"/>
  <c r="AY90" i="49"/>
  <c r="AI101" i="49"/>
  <c r="AX101" i="49"/>
  <c r="AY101" i="49"/>
  <c r="AW101" i="49"/>
  <c r="AX102" i="49"/>
  <c r="AY102" i="49"/>
  <c r="AW102" i="49"/>
  <c r="AI103" i="49"/>
  <c r="AX103" i="49"/>
  <c r="AW103" i="49"/>
  <c r="AY103" i="49"/>
  <c r="AG106" i="49"/>
  <c r="AS106" i="49"/>
  <c r="AU106" i="49"/>
  <c r="AT106" i="49"/>
  <c r="AI107" i="49"/>
  <c r="AY107" i="49"/>
  <c r="AW107" i="49"/>
  <c r="AX107" i="49"/>
  <c r="AW108" i="49"/>
  <c r="AY108" i="49"/>
  <c r="AX108" i="49"/>
  <c r="AI113" i="49"/>
  <c r="AT113" i="49"/>
  <c r="AG113" i="49"/>
  <c r="AS113" i="49"/>
  <c r="AU113" i="49"/>
  <c r="AI114" i="49"/>
  <c r="AY114" i="49"/>
  <c r="AW114" i="49"/>
  <c r="AX114" i="49"/>
  <c r="AI36" i="50"/>
  <c r="AS36" i="50"/>
  <c r="AU36" i="50"/>
  <c r="AT36" i="50"/>
  <c r="AG36" i="50"/>
  <c r="AI37" i="50"/>
  <c r="AY37" i="50"/>
  <c r="AW37" i="50"/>
  <c r="AX37" i="50"/>
  <c r="AY38" i="50"/>
  <c r="AW38" i="50"/>
  <c r="AX38" i="50"/>
  <c r="AU42" i="50"/>
  <c r="AS42" i="50"/>
  <c r="AG42" i="50"/>
  <c r="AT42" i="50"/>
  <c r="AI43" i="50"/>
  <c r="AS43" i="50"/>
  <c r="AU43" i="50"/>
  <c r="AG43" i="50"/>
  <c r="AT43" i="50"/>
  <c r="AI44" i="50"/>
  <c r="AX44" i="50"/>
  <c r="AW44" i="50"/>
  <c r="AY44" i="50"/>
  <c r="AS48" i="50"/>
  <c r="AU48" i="50"/>
  <c r="AT48" i="50"/>
  <c r="AG48" i="50"/>
  <c r="AI49" i="50"/>
  <c r="AU49" i="50"/>
  <c r="AG49" i="50"/>
  <c r="AS49" i="50"/>
  <c r="AT49" i="50"/>
  <c r="AI50" i="50"/>
  <c r="AX50" i="50"/>
  <c r="AY50" i="50"/>
  <c r="AW50" i="50"/>
  <c r="AY51" i="50"/>
  <c r="AX51" i="50"/>
  <c r="AW51" i="50"/>
  <c r="AI88" i="50"/>
  <c r="AY88" i="50"/>
  <c r="AX88" i="50"/>
  <c r="AW88" i="50"/>
  <c r="AW89" i="50"/>
  <c r="AY89" i="50"/>
  <c r="AX89" i="50"/>
  <c r="AU93" i="50"/>
  <c r="AT93" i="50"/>
  <c r="AS93" i="50"/>
  <c r="AG93" i="50"/>
  <c r="AI94" i="50"/>
  <c r="AS94" i="50"/>
  <c r="AU94" i="50"/>
  <c r="AT94" i="50"/>
  <c r="AG94" i="50"/>
  <c r="AI95" i="50"/>
  <c r="AX95" i="50"/>
  <c r="AW95" i="50"/>
  <c r="AY95" i="50"/>
  <c r="AI99" i="50"/>
  <c r="AT99" i="50"/>
  <c r="AS99" i="50"/>
  <c r="AU99" i="50"/>
  <c r="AG99" i="50"/>
  <c r="AI100" i="50"/>
  <c r="AU100" i="50"/>
  <c r="AT100" i="50"/>
  <c r="AS100" i="50"/>
  <c r="AG100" i="50"/>
  <c r="AI101" i="50"/>
  <c r="AY101" i="50"/>
  <c r="AX101" i="50"/>
  <c r="AW101" i="50"/>
  <c r="AY102" i="50"/>
  <c r="AX102" i="50"/>
  <c r="AW102" i="50"/>
  <c r="AT106" i="50"/>
  <c r="AS106" i="50"/>
  <c r="AU106" i="50"/>
  <c r="AG106" i="50"/>
  <c r="AW107" i="50"/>
  <c r="AY107" i="50"/>
  <c r="AX107" i="50"/>
  <c r="AY108" i="50"/>
  <c r="AX108" i="50"/>
  <c r="AW108" i="50"/>
  <c r="AS112" i="50"/>
  <c r="AU112" i="50"/>
  <c r="AT112" i="50"/>
  <c r="AG112" i="50"/>
  <c r="AI113" i="50"/>
  <c r="AT113" i="50"/>
  <c r="AS113" i="50"/>
  <c r="AU113" i="50"/>
  <c r="AG113" i="50"/>
  <c r="AI114" i="50"/>
  <c r="AW114" i="50"/>
  <c r="AY114" i="50"/>
  <c r="AX114" i="50"/>
  <c r="AC37" i="43"/>
  <c r="A38" i="43"/>
  <c r="AC43" i="43"/>
  <c r="A44" i="43"/>
  <c r="AC47" i="43"/>
  <c r="A48" i="43"/>
  <c r="AC91" i="43"/>
  <c r="A96" i="43"/>
  <c r="A98" i="43"/>
  <c r="AC100" i="43"/>
  <c r="A101" i="43"/>
  <c r="AC102" i="43"/>
  <c r="AC113" i="43"/>
  <c r="AC115" i="43"/>
  <c r="AC38" i="49"/>
  <c r="AC45" i="49"/>
  <c r="AC46" i="49"/>
  <c r="AC53" i="49"/>
  <c r="AC54" i="49"/>
  <c r="AU88" i="49"/>
  <c r="AG88" i="49"/>
  <c r="AS88" i="49"/>
  <c r="AT88" i="49"/>
  <c r="AY89" i="49"/>
  <c r="AW89" i="49"/>
  <c r="AX89" i="49"/>
  <c r="AC90" i="49"/>
  <c r="A91" i="49"/>
  <c r="AS93" i="49"/>
  <c r="AT93" i="49"/>
  <c r="AG93" i="49"/>
  <c r="AU93" i="49"/>
  <c r="AI94" i="49"/>
  <c r="AS94" i="49"/>
  <c r="AG94" i="49"/>
  <c r="AT94" i="49"/>
  <c r="AU94" i="49"/>
  <c r="AU95" i="49"/>
  <c r="AG95" i="49"/>
  <c r="AS95" i="49"/>
  <c r="AT95" i="49"/>
  <c r="AC97" i="49"/>
  <c r="AC101" i="49"/>
  <c r="AC102" i="49"/>
  <c r="AC103" i="49"/>
  <c r="A104" i="49"/>
  <c r="AI105" i="49"/>
  <c r="AS105" i="49"/>
  <c r="AG105" i="49"/>
  <c r="AU105" i="49"/>
  <c r="AT105" i="49"/>
  <c r="A105" i="49"/>
  <c r="AI106" i="49"/>
  <c r="AW106" i="49"/>
  <c r="AX106" i="49"/>
  <c r="AY106" i="49"/>
  <c r="AC107" i="49"/>
  <c r="AC108" i="49"/>
  <c r="A109" i="49"/>
  <c r="AG112" i="49"/>
  <c r="AT112" i="49"/>
  <c r="AS112" i="49"/>
  <c r="AU112" i="49"/>
  <c r="AY113" i="49"/>
  <c r="AW113" i="49"/>
  <c r="AX113" i="49"/>
  <c r="AC114" i="49"/>
  <c r="A115" i="49"/>
  <c r="AI35" i="50"/>
  <c r="AU35" i="50"/>
  <c r="AS35" i="50"/>
  <c r="AT35" i="50"/>
  <c r="AG35" i="50"/>
  <c r="AX36" i="50"/>
  <c r="AY36" i="50"/>
  <c r="AW36" i="50"/>
  <c r="AC37" i="50"/>
  <c r="AC38" i="50"/>
  <c r="A39" i="50"/>
  <c r="AI40" i="50"/>
  <c r="AU40" i="50"/>
  <c r="AS40" i="50"/>
  <c r="AT40" i="50"/>
  <c r="AG40" i="50"/>
  <c r="AI41" i="50"/>
  <c r="AS41" i="50"/>
  <c r="AG41" i="50"/>
  <c r="AU41" i="50"/>
  <c r="AT41" i="50"/>
  <c r="AI42" i="50"/>
  <c r="AX42" i="50"/>
  <c r="AY42" i="50"/>
  <c r="AW42" i="50"/>
  <c r="AX43" i="50"/>
  <c r="AY43" i="50"/>
  <c r="AW43" i="50"/>
  <c r="AC44" i="50"/>
  <c r="A45" i="50"/>
  <c r="AT47" i="50"/>
  <c r="AG47" i="50"/>
  <c r="AU47" i="50"/>
  <c r="AS47" i="50"/>
  <c r="AX48" i="50"/>
  <c r="AY48" i="50"/>
  <c r="AW48" i="50"/>
  <c r="AX49" i="50"/>
  <c r="AY49" i="50"/>
  <c r="AW49" i="50"/>
  <c r="AC50" i="50"/>
  <c r="AC51" i="50"/>
  <c r="AU53" i="50"/>
  <c r="AT53" i="50"/>
  <c r="AG53" i="50"/>
  <c r="AS53" i="50"/>
  <c r="AI54" i="50"/>
  <c r="AU54" i="50"/>
  <c r="AT54" i="50"/>
  <c r="AS54" i="50"/>
  <c r="AG54" i="50"/>
  <c r="AC88" i="50"/>
  <c r="AC89" i="50"/>
  <c r="A90" i="50"/>
  <c r="AU91" i="50"/>
  <c r="AT91" i="50"/>
  <c r="AS91" i="50"/>
  <c r="AG91" i="50"/>
  <c r="AI92" i="50"/>
  <c r="AT92" i="50"/>
  <c r="AS92" i="50"/>
  <c r="AU92" i="50"/>
  <c r="AG92" i="50"/>
  <c r="AI93" i="50"/>
  <c r="AW93" i="50"/>
  <c r="AY93" i="50"/>
  <c r="AX93" i="50"/>
  <c r="AX94" i="50"/>
  <c r="AW94" i="50"/>
  <c r="AY94" i="50"/>
  <c r="AC95" i="50"/>
  <c r="A96" i="50"/>
  <c r="AU98" i="50"/>
  <c r="AT98" i="50"/>
  <c r="AS98" i="50"/>
  <c r="AG98" i="50"/>
  <c r="AY99" i="50"/>
  <c r="AX99" i="50"/>
  <c r="AW99" i="50"/>
  <c r="AW100" i="50"/>
  <c r="AY100" i="50"/>
  <c r="AX100" i="50"/>
  <c r="AC101" i="50"/>
  <c r="AC102" i="50"/>
  <c r="AU104" i="50"/>
  <c r="AT104" i="50"/>
  <c r="AS104" i="50"/>
  <c r="AG104" i="50"/>
  <c r="AI105" i="50"/>
  <c r="AU105" i="50"/>
  <c r="AT105" i="50"/>
  <c r="AS105" i="50"/>
  <c r="AG105" i="50"/>
  <c r="AI106" i="50"/>
  <c r="AY106" i="50"/>
  <c r="AX106" i="50"/>
  <c r="AW106" i="50"/>
  <c r="AC107" i="50"/>
  <c r="AC108" i="50"/>
  <c r="A109" i="50"/>
  <c r="AS111" i="50"/>
  <c r="AU111" i="50"/>
  <c r="AT111" i="50"/>
  <c r="AG111" i="50"/>
  <c r="A111" i="50"/>
  <c r="AX112" i="50"/>
  <c r="AW112" i="50"/>
  <c r="BA112" i="50" s="1"/>
  <c r="AY112" i="50"/>
  <c r="AY113" i="50"/>
  <c r="AX113" i="50"/>
  <c r="AW113" i="50"/>
  <c r="AC114" i="50"/>
  <c r="A115" i="50"/>
  <c r="AX88" i="49"/>
  <c r="AY88" i="49"/>
  <c r="AW88" i="49"/>
  <c r="AU91" i="49"/>
  <c r="AG91" i="49"/>
  <c r="AS91" i="49"/>
  <c r="AT91" i="49"/>
  <c r="AI92" i="49"/>
  <c r="AT92" i="49"/>
  <c r="AU92" i="49"/>
  <c r="AG92" i="49"/>
  <c r="AS92" i="49"/>
  <c r="AI93" i="49"/>
  <c r="AW93" i="49"/>
  <c r="AX93" i="49"/>
  <c r="AY93" i="49"/>
  <c r="AY94" i="49"/>
  <c r="AW94" i="49"/>
  <c r="AX94" i="49"/>
  <c r="AI95" i="49"/>
  <c r="AY95" i="49"/>
  <c r="AW95" i="49"/>
  <c r="AX95" i="49"/>
  <c r="AT104" i="49"/>
  <c r="AU104" i="49"/>
  <c r="AG104" i="49"/>
  <c r="AS104" i="49"/>
  <c r="AW105" i="49"/>
  <c r="AX105" i="49"/>
  <c r="AY105" i="49"/>
  <c r="AT109" i="49"/>
  <c r="AG109" i="49"/>
  <c r="AS109" i="49"/>
  <c r="AU109" i="49"/>
  <c r="AI110" i="49"/>
  <c r="AT110" i="49"/>
  <c r="AG110" i="49"/>
  <c r="AS110" i="49"/>
  <c r="AU110" i="49"/>
  <c r="AG111" i="49"/>
  <c r="AT111" i="49"/>
  <c r="AU111" i="49"/>
  <c r="AS111" i="49"/>
  <c r="AW112" i="49"/>
  <c r="AY112" i="49"/>
  <c r="AX112" i="49"/>
  <c r="AG115" i="49"/>
  <c r="AU115" i="49"/>
  <c r="AS115" i="49"/>
  <c r="AT115" i="49"/>
  <c r="AX35" i="50"/>
  <c r="AY35" i="50"/>
  <c r="AW35" i="50"/>
  <c r="AT39" i="50"/>
  <c r="AG39" i="50"/>
  <c r="AU39" i="50"/>
  <c r="AS39" i="50"/>
  <c r="AX40" i="50"/>
  <c r="AW40" i="50"/>
  <c r="AY40" i="50"/>
  <c r="AX41" i="50"/>
  <c r="AY41" i="50"/>
  <c r="AW41" i="50"/>
  <c r="AG45" i="50"/>
  <c r="AT45" i="50"/>
  <c r="AU45" i="50"/>
  <c r="AS45" i="50"/>
  <c r="AI46" i="50"/>
  <c r="AT46" i="50"/>
  <c r="AG46" i="50"/>
  <c r="AU46" i="50"/>
  <c r="AS46" i="50"/>
  <c r="AI47" i="50"/>
  <c r="AW47" i="50"/>
  <c r="AY47" i="50"/>
  <c r="AX47" i="50"/>
  <c r="AT52" i="50"/>
  <c r="AS52" i="50"/>
  <c r="AU52" i="50"/>
  <c r="AG52" i="50"/>
  <c r="AI53" i="50"/>
  <c r="AY53" i="50"/>
  <c r="AX53" i="50"/>
  <c r="AW53" i="50"/>
  <c r="AY54" i="50"/>
  <c r="AX54" i="50"/>
  <c r="AW54" i="50"/>
  <c r="AT90" i="50"/>
  <c r="AS90" i="50"/>
  <c r="AU90" i="50"/>
  <c r="AG90" i="50"/>
  <c r="AW91" i="50"/>
  <c r="AY91" i="50"/>
  <c r="AX91" i="50"/>
  <c r="AY92" i="50"/>
  <c r="AX92" i="50"/>
  <c r="AW92" i="50"/>
  <c r="AS96" i="50"/>
  <c r="AU96" i="50"/>
  <c r="AT96" i="50"/>
  <c r="AG96" i="50"/>
  <c r="AI97" i="50"/>
  <c r="AT97" i="50"/>
  <c r="AS97" i="50"/>
  <c r="AU97" i="50"/>
  <c r="AG97" i="50"/>
  <c r="AW98" i="50"/>
  <c r="AY98" i="50"/>
  <c r="AX98" i="50"/>
  <c r="AU103" i="50"/>
  <c r="AT103" i="50"/>
  <c r="AS103" i="50"/>
  <c r="AG103" i="50"/>
  <c r="AI104" i="50"/>
  <c r="AY104" i="50"/>
  <c r="AX104" i="50"/>
  <c r="AW104" i="50"/>
  <c r="BA104" i="50" s="1"/>
  <c r="AW105" i="50"/>
  <c r="AY105" i="50"/>
  <c r="AX105" i="50"/>
  <c r="AU109" i="50"/>
  <c r="AT109" i="50"/>
  <c r="AS109" i="50"/>
  <c r="AG109" i="50"/>
  <c r="AI110" i="50"/>
  <c r="AS110" i="50"/>
  <c r="AU110" i="50"/>
  <c r="AT110" i="50"/>
  <c r="AG110" i="50"/>
  <c r="AI111" i="50"/>
  <c r="AX111" i="50"/>
  <c r="AW111" i="50"/>
  <c r="AY111" i="50"/>
  <c r="AI115" i="50"/>
  <c r="AT115" i="50"/>
  <c r="AS115" i="50"/>
  <c r="AU115" i="50"/>
  <c r="AG115" i="50"/>
  <c r="AC37" i="49"/>
  <c r="AC100" i="49"/>
  <c r="A37" i="49"/>
  <c r="AC51" i="43"/>
  <c r="AI36" i="43"/>
  <c r="AX47" i="43"/>
  <c r="AW47" i="43"/>
  <c r="AY47" i="43"/>
  <c r="AU92" i="43"/>
  <c r="AS92" i="43"/>
  <c r="AT92" i="43"/>
  <c r="AG92" i="43"/>
  <c r="AI46" i="43"/>
  <c r="AX46" i="43"/>
  <c r="AW46" i="43"/>
  <c r="AY46" i="43"/>
  <c r="A103" i="43"/>
  <c r="AG99" i="43"/>
  <c r="AU99" i="43"/>
  <c r="AT99" i="43"/>
  <c r="AS99" i="43"/>
  <c r="AX45" i="43"/>
  <c r="AW45" i="43"/>
  <c r="AY45" i="43"/>
  <c r="A113" i="43"/>
  <c r="AG114" i="43"/>
  <c r="AT114" i="43"/>
  <c r="AU114" i="43"/>
  <c r="AS114" i="43"/>
  <c r="AG106" i="43"/>
  <c r="AU106" i="43"/>
  <c r="AT106" i="43"/>
  <c r="AS106" i="43"/>
  <c r="AS98" i="43"/>
  <c r="AU98" i="43"/>
  <c r="AG98" i="43"/>
  <c r="AT98" i="43"/>
  <c r="AT90" i="43"/>
  <c r="AS90" i="43"/>
  <c r="AG90" i="43"/>
  <c r="AU90" i="43"/>
  <c r="AU37" i="43"/>
  <c r="AT37" i="43"/>
  <c r="AG37" i="43"/>
  <c r="AS37" i="43"/>
  <c r="AI38" i="43"/>
  <c r="AY38" i="43"/>
  <c r="AX38" i="43"/>
  <c r="AW38" i="43"/>
  <c r="AC39" i="43"/>
  <c r="A40" i="43"/>
  <c r="AT43" i="43"/>
  <c r="AS43" i="43"/>
  <c r="AU43" i="43"/>
  <c r="AG43" i="43"/>
  <c r="AI44" i="43"/>
  <c r="AW44" i="43"/>
  <c r="AY44" i="43"/>
  <c r="AX44" i="43"/>
  <c r="AC45" i="43"/>
  <c r="A46" i="43"/>
  <c r="AU51" i="43"/>
  <c r="AS51" i="43"/>
  <c r="AT51" i="43"/>
  <c r="AI52" i="43"/>
  <c r="AY52" i="43"/>
  <c r="AX52" i="43"/>
  <c r="AW52" i="43"/>
  <c r="AC53" i="43"/>
  <c r="AI89" i="43"/>
  <c r="AX89" i="43"/>
  <c r="AY89" i="43"/>
  <c r="AW89" i="43"/>
  <c r="AC90" i="43"/>
  <c r="A91" i="43"/>
  <c r="AC95" i="43"/>
  <c r="AI100" i="43"/>
  <c r="AX100" i="43"/>
  <c r="AY100" i="43"/>
  <c r="AW100" i="43"/>
  <c r="AI105" i="43"/>
  <c r="AW105" i="43"/>
  <c r="AY105" i="43"/>
  <c r="AX105" i="43"/>
  <c r="AC106" i="43"/>
  <c r="A107" i="43"/>
  <c r="AC111" i="43"/>
  <c r="AU113" i="43"/>
  <c r="AG113" i="43"/>
  <c r="AT113" i="43"/>
  <c r="AS113" i="43"/>
  <c r="AS105" i="43"/>
  <c r="AU105" i="43"/>
  <c r="AT105" i="43"/>
  <c r="AG105" i="43"/>
  <c r="AT97" i="43"/>
  <c r="AS97" i="43"/>
  <c r="AG97" i="43"/>
  <c r="AU97" i="43"/>
  <c r="AU89" i="43"/>
  <c r="AG89" i="43"/>
  <c r="AS89" i="43"/>
  <c r="AT89" i="43"/>
  <c r="AI102" i="43"/>
  <c r="AY102" i="43"/>
  <c r="AX102" i="43"/>
  <c r="AW102" i="43"/>
  <c r="AI107" i="43"/>
  <c r="AX107" i="43"/>
  <c r="AY107" i="43"/>
  <c r="AW107" i="43"/>
  <c r="AT108" i="43"/>
  <c r="AS108" i="43"/>
  <c r="AG108" i="43"/>
  <c r="AU108" i="43"/>
  <c r="AI40" i="43"/>
  <c r="AW40" i="43"/>
  <c r="AY40" i="43"/>
  <c r="AX40" i="43"/>
  <c r="AT53" i="43"/>
  <c r="AG53" i="43"/>
  <c r="AU53" i="43"/>
  <c r="AS53" i="43"/>
  <c r="AG91" i="43"/>
  <c r="AU91" i="43"/>
  <c r="AS91" i="43"/>
  <c r="AT91" i="43"/>
  <c r="AS44" i="43"/>
  <c r="AU44" i="43"/>
  <c r="AT44" i="43"/>
  <c r="AG44" i="43"/>
  <c r="AU52" i="43"/>
  <c r="AS52" i="43"/>
  <c r="AT52" i="43"/>
  <c r="AG52" i="43"/>
  <c r="AI90" i="43"/>
  <c r="AY90" i="43"/>
  <c r="AX90" i="43"/>
  <c r="AW90" i="43"/>
  <c r="AX111" i="43"/>
  <c r="AW111" i="43"/>
  <c r="AY111" i="43"/>
  <c r="AT36" i="43"/>
  <c r="AS36" i="43"/>
  <c r="AU36" i="43"/>
  <c r="AG36" i="43"/>
  <c r="AU104" i="43"/>
  <c r="AG104" i="43"/>
  <c r="AT104" i="43"/>
  <c r="AS104" i="43"/>
  <c r="AU49" i="43"/>
  <c r="AG49" i="43"/>
  <c r="AT49" i="43"/>
  <c r="AS49" i="43"/>
  <c r="AI50" i="43"/>
  <c r="AY50" i="43"/>
  <c r="AX50" i="43"/>
  <c r="AW50" i="43"/>
  <c r="AX93" i="43"/>
  <c r="AY93" i="43"/>
  <c r="AW93" i="43"/>
  <c r="A95" i="43"/>
  <c r="AX104" i="43"/>
  <c r="AY104" i="43"/>
  <c r="AW104" i="43"/>
  <c r="AW109" i="43"/>
  <c r="AY109" i="43"/>
  <c r="AX109" i="43"/>
  <c r="A111" i="43"/>
  <c r="AT111" i="43"/>
  <c r="AU111" i="43"/>
  <c r="AS111" i="43"/>
  <c r="AG111" i="43"/>
  <c r="AU103" i="43"/>
  <c r="AT103" i="43"/>
  <c r="AS103" i="43"/>
  <c r="AG103" i="43"/>
  <c r="AS95" i="43"/>
  <c r="AG95" i="43"/>
  <c r="AU95" i="43"/>
  <c r="AT95" i="43"/>
  <c r="AY35" i="43"/>
  <c r="AX35" i="43"/>
  <c r="AW35" i="43"/>
  <c r="AU46" i="43"/>
  <c r="AT46" i="43"/>
  <c r="AS46" i="43"/>
  <c r="AG46" i="43"/>
  <c r="AU54" i="43"/>
  <c r="AG54" i="43"/>
  <c r="AT54" i="43"/>
  <c r="AS54" i="43"/>
  <c r="AG45" i="43"/>
  <c r="AT45" i="43"/>
  <c r="AU45" i="43"/>
  <c r="AS45" i="43"/>
  <c r="AI101" i="43"/>
  <c r="AW101" i="43"/>
  <c r="AY101" i="43"/>
  <c r="AX101" i="43"/>
  <c r="AT115" i="43"/>
  <c r="AG115" i="43"/>
  <c r="AS115" i="43"/>
  <c r="AU115" i="43"/>
  <c r="AU38" i="43"/>
  <c r="AT38" i="43"/>
  <c r="AS38" i="43"/>
  <c r="AG38" i="43"/>
  <c r="A97" i="43"/>
  <c r="AI106" i="43"/>
  <c r="AY106" i="43"/>
  <c r="AX106" i="43"/>
  <c r="AW106" i="43"/>
  <c r="AY37" i="43"/>
  <c r="AX37" i="43"/>
  <c r="AW37" i="43"/>
  <c r="AX43" i="43"/>
  <c r="AY43" i="43"/>
  <c r="AW43" i="43"/>
  <c r="AW51" i="43"/>
  <c r="AX51" i="43"/>
  <c r="AY51" i="43"/>
  <c r="AY94" i="43"/>
  <c r="AW94" i="43"/>
  <c r="AX94" i="43"/>
  <c r="AI99" i="43"/>
  <c r="AY99" i="43"/>
  <c r="AX99" i="43"/>
  <c r="AW99" i="43"/>
  <c r="AX110" i="43"/>
  <c r="AW110" i="43"/>
  <c r="AY110" i="43"/>
  <c r="AT112" i="43"/>
  <c r="AG112" i="43"/>
  <c r="AU112" i="43"/>
  <c r="AS112" i="43"/>
  <c r="AI35" i="43"/>
  <c r="AU35" i="43"/>
  <c r="AT35" i="43"/>
  <c r="AS35" i="43"/>
  <c r="AG35" i="43"/>
  <c r="AI43" i="43"/>
  <c r="AC36" i="43"/>
  <c r="AC42" i="43"/>
  <c r="AU48" i="43"/>
  <c r="AS48" i="43"/>
  <c r="AG48" i="43"/>
  <c r="AT48" i="43"/>
  <c r="AX49" i="43"/>
  <c r="AY49" i="43"/>
  <c r="AW49" i="43"/>
  <c r="AC50" i="43"/>
  <c r="AU41" i="43"/>
  <c r="AG41" i="43"/>
  <c r="AS41" i="43"/>
  <c r="AT41" i="43"/>
  <c r="A89" i="43"/>
  <c r="AC93" i="43"/>
  <c r="AW98" i="43"/>
  <c r="AY98" i="43"/>
  <c r="AX98" i="43"/>
  <c r="AY103" i="43"/>
  <c r="AX103" i="43"/>
  <c r="AW103" i="43"/>
  <c r="AC104" i="43"/>
  <c r="A105" i="43"/>
  <c r="AC109" i="43"/>
  <c r="AX114" i="43"/>
  <c r="AY114" i="43"/>
  <c r="AW114" i="43"/>
  <c r="AT110" i="43"/>
  <c r="AG110" i="43"/>
  <c r="AU110" i="43"/>
  <c r="AS110" i="43"/>
  <c r="AU102" i="43"/>
  <c r="AT102" i="43"/>
  <c r="AG102" i="43"/>
  <c r="AS102" i="43"/>
  <c r="AS94" i="43"/>
  <c r="AG94" i="43"/>
  <c r="AT94" i="43"/>
  <c r="AU94" i="43"/>
  <c r="AU40" i="43"/>
  <c r="AS40" i="43"/>
  <c r="AT40" i="43"/>
  <c r="AG40" i="43"/>
  <c r="AI91" i="43"/>
  <c r="AW91" i="43"/>
  <c r="AY91" i="43"/>
  <c r="AX91" i="43"/>
  <c r="AU100" i="43"/>
  <c r="AS100" i="43"/>
  <c r="AG100" i="43"/>
  <c r="AT100" i="43"/>
  <c r="AI47" i="43"/>
  <c r="AU39" i="43"/>
  <c r="AG39" i="43"/>
  <c r="AT39" i="43"/>
  <c r="AS39" i="43"/>
  <c r="AI54" i="43"/>
  <c r="AW54" i="43"/>
  <c r="AY54" i="43"/>
  <c r="AX54" i="43"/>
  <c r="AY96" i="43"/>
  <c r="AX96" i="43"/>
  <c r="AW96" i="43"/>
  <c r="AX112" i="43"/>
  <c r="AW112" i="43"/>
  <c r="BA112" i="43" s="1"/>
  <c r="AY112" i="43"/>
  <c r="AG107" i="43"/>
  <c r="AT107" i="43"/>
  <c r="AU107" i="43"/>
  <c r="AS107" i="43"/>
  <c r="AY39" i="43"/>
  <c r="AX39" i="43"/>
  <c r="AW39" i="43"/>
  <c r="AY53" i="43"/>
  <c r="AW53" i="43"/>
  <c r="AX53" i="43"/>
  <c r="AY95" i="43"/>
  <c r="AX95" i="43"/>
  <c r="AW95" i="43"/>
  <c r="AG42" i="43"/>
  <c r="AU42" i="43"/>
  <c r="AS42" i="43"/>
  <c r="AT42" i="43"/>
  <c r="AT50" i="43"/>
  <c r="AG50" i="43"/>
  <c r="AS50" i="43"/>
  <c r="AU50" i="43"/>
  <c r="AW115" i="43"/>
  <c r="AY115" i="43"/>
  <c r="AX115" i="43"/>
  <c r="AS96" i="43"/>
  <c r="AG96" i="43"/>
  <c r="AU96" i="43"/>
  <c r="AT96" i="43"/>
  <c r="AX36" i="43"/>
  <c r="AY36" i="43"/>
  <c r="AW36" i="43"/>
  <c r="AI42" i="43"/>
  <c r="AX42" i="43"/>
  <c r="AY42" i="43"/>
  <c r="AW42" i="43"/>
  <c r="AI45" i="43"/>
  <c r="AC41" i="43"/>
  <c r="A42" i="43"/>
  <c r="AT47" i="43"/>
  <c r="AG47" i="43"/>
  <c r="AU47" i="43"/>
  <c r="AS47" i="43"/>
  <c r="AI48" i="43"/>
  <c r="AY48" i="43"/>
  <c r="AX48" i="43"/>
  <c r="AW48" i="43"/>
  <c r="AC49" i="43"/>
  <c r="A50" i="43"/>
  <c r="AY41" i="43"/>
  <c r="AX41" i="43"/>
  <c r="AW41" i="43"/>
  <c r="AI92" i="43"/>
  <c r="AY92" i="43"/>
  <c r="AX92" i="43"/>
  <c r="AW92" i="43"/>
  <c r="AI97" i="43"/>
  <c r="AY97" i="43"/>
  <c r="AX97" i="43"/>
  <c r="AW97" i="43"/>
  <c r="AC98" i="43"/>
  <c r="AC103" i="43"/>
  <c r="AI108" i="43"/>
  <c r="AW108" i="43"/>
  <c r="AY108" i="43"/>
  <c r="AX108" i="43"/>
  <c r="AI113" i="43"/>
  <c r="AY113" i="43"/>
  <c r="AX113" i="43"/>
  <c r="AW113" i="43"/>
  <c r="AC114" i="43"/>
  <c r="AU109" i="43"/>
  <c r="AS109" i="43"/>
  <c r="AT109" i="43"/>
  <c r="AG109" i="43"/>
  <c r="AT101" i="43"/>
  <c r="AS101" i="43"/>
  <c r="AU101" i="43"/>
  <c r="AG101" i="43"/>
  <c r="AU93" i="43"/>
  <c r="AT93" i="43"/>
  <c r="AG93" i="43"/>
  <c r="AS93" i="43"/>
  <c r="AS99" i="49"/>
  <c r="AT99" i="49"/>
  <c r="AG99" i="49"/>
  <c r="AU99" i="49"/>
  <c r="AG98" i="49"/>
  <c r="AS98" i="49"/>
  <c r="AT98" i="49"/>
  <c r="AU98" i="49"/>
  <c r="AI99" i="49"/>
  <c r="AW99" i="49"/>
  <c r="AX99" i="49"/>
  <c r="AY99" i="49"/>
  <c r="AI98" i="49"/>
  <c r="AW98" i="49"/>
  <c r="AX98" i="49"/>
  <c r="AY98" i="49"/>
  <c r="AI97" i="49"/>
  <c r="AG97" i="49"/>
  <c r="AS97" i="49"/>
  <c r="AT97" i="49"/>
  <c r="AU97" i="49"/>
  <c r="AW97" i="49"/>
  <c r="AX97" i="49"/>
  <c r="AY97" i="49"/>
  <c r="AW37" i="49"/>
  <c r="AX37" i="49"/>
  <c r="AY37" i="49"/>
  <c r="AS50" i="49"/>
  <c r="AT50" i="49"/>
  <c r="AU50" i="49"/>
  <c r="AX53" i="49"/>
  <c r="AY53" i="49"/>
  <c r="AW53" i="49"/>
  <c r="AY54" i="49"/>
  <c r="AW54" i="49"/>
  <c r="AX54" i="49"/>
  <c r="AW36" i="49"/>
  <c r="AY36" i="49"/>
  <c r="AX36" i="49"/>
  <c r="AS48" i="49"/>
  <c r="AT48" i="49"/>
  <c r="AU48" i="49"/>
  <c r="AI49" i="49"/>
  <c r="AS49" i="49"/>
  <c r="AT49" i="49"/>
  <c r="AU49" i="49"/>
  <c r="AW50" i="49"/>
  <c r="AX50" i="49"/>
  <c r="AY50" i="49"/>
  <c r="AW51" i="49"/>
  <c r="AX51" i="49"/>
  <c r="AY51" i="49"/>
  <c r="AX52" i="49"/>
  <c r="AY52" i="49"/>
  <c r="AW52" i="49"/>
  <c r="AU47" i="49"/>
  <c r="AS47" i="49"/>
  <c r="AT47" i="49"/>
  <c r="AX48" i="49"/>
  <c r="AY48" i="49"/>
  <c r="AW48" i="49"/>
  <c r="AW49" i="49"/>
  <c r="AX49" i="49"/>
  <c r="AY49" i="49"/>
  <c r="AT42" i="49"/>
  <c r="AS42" i="49"/>
  <c r="AU42" i="49"/>
  <c r="AS40" i="49"/>
  <c r="AT40" i="49"/>
  <c r="AU40" i="49"/>
  <c r="AI41" i="49"/>
  <c r="AT41" i="49"/>
  <c r="AU41" i="49"/>
  <c r="AS41" i="49"/>
  <c r="AW42" i="49"/>
  <c r="AX42" i="49"/>
  <c r="AY42" i="49"/>
  <c r="AY43" i="49"/>
  <c r="AX43" i="49"/>
  <c r="AW43" i="49"/>
  <c r="AW44" i="49"/>
  <c r="AY44" i="49"/>
  <c r="AX44" i="49"/>
  <c r="AU36" i="49"/>
  <c r="AT36" i="49"/>
  <c r="AS36" i="49"/>
  <c r="AU51" i="49"/>
  <c r="AS51" i="49"/>
  <c r="AT51" i="49"/>
  <c r="AI46" i="49"/>
  <c r="AS46" i="49"/>
  <c r="AT46" i="49"/>
  <c r="AU46" i="49"/>
  <c r="AI44" i="49"/>
  <c r="AS44" i="49"/>
  <c r="AT44" i="49"/>
  <c r="AU44" i="49"/>
  <c r="AG44" i="49"/>
  <c r="AW46" i="49"/>
  <c r="AX46" i="49"/>
  <c r="AY46" i="49"/>
  <c r="AS39" i="49"/>
  <c r="AT39" i="49"/>
  <c r="AU39" i="49"/>
  <c r="AG39" i="49"/>
  <c r="AW40" i="49"/>
  <c r="AX40" i="49"/>
  <c r="AY40" i="49"/>
  <c r="AW41" i="49"/>
  <c r="AY41" i="49"/>
  <c r="AX41" i="49"/>
  <c r="AW38" i="49"/>
  <c r="AX38" i="49"/>
  <c r="AY38" i="49"/>
  <c r="AI52" i="49"/>
  <c r="AS52" i="49"/>
  <c r="AT52" i="49"/>
  <c r="AU52" i="49"/>
  <c r="AS45" i="49"/>
  <c r="AU45" i="49"/>
  <c r="AT45" i="49"/>
  <c r="AW47" i="49"/>
  <c r="AX47" i="49"/>
  <c r="AY47" i="49"/>
  <c r="AS43" i="49"/>
  <c r="AT43" i="49"/>
  <c r="AU43" i="49"/>
  <c r="AG43" i="49"/>
  <c r="AW45" i="49"/>
  <c r="AY45" i="49"/>
  <c r="AX45" i="49"/>
  <c r="AU37" i="49"/>
  <c r="AS37" i="49"/>
  <c r="AT37" i="49"/>
  <c r="AI38" i="49"/>
  <c r="AU38" i="49"/>
  <c r="AS38" i="49"/>
  <c r="AT38" i="49"/>
  <c r="AY39" i="49"/>
  <c r="AW39" i="49"/>
  <c r="AX39" i="49"/>
  <c r="AS53" i="49"/>
  <c r="AT53" i="49"/>
  <c r="AU53" i="49"/>
  <c r="AG53" i="49"/>
  <c r="AI54" i="49"/>
  <c r="AS54" i="49"/>
  <c r="AU54" i="49"/>
  <c r="AT54" i="49"/>
  <c r="AY100" i="49"/>
  <c r="AX100" i="49"/>
  <c r="AW100" i="49"/>
  <c r="AI100" i="49"/>
  <c r="AT100" i="49"/>
  <c r="AU100" i="49"/>
  <c r="AS100" i="49"/>
  <c r="AY96" i="49"/>
  <c r="AW96" i="49"/>
  <c r="AX96" i="49"/>
  <c r="AU96" i="49"/>
  <c r="AS96" i="49"/>
  <c r="AT96" i="49"/>
  <c r="AI51" i="49"/>
  <c r="AY35" i="49"/>
  <c r="AX35" i="49"/>
  <c r="AW35" i="49"/>
  <c r="AI36" i="49"/>
  <c r="AI35" i="49"/>
  <c r="AU35" i="49"/>
  <c r="AT35" i="49"/>
  <c r="AI42" i="49"/>
  <c r="AI39" i="49"/>
  <c r="AI48" i="49"/>
  <c r="AI40" i="49"/>
  <c r="AI47" i="49"/>
  <c r="AI50" i="49"/>
  <c r="A88" i="43"/>
  <c r="AC88" i="43"/>
  <c r="AC35" i="50"/>
  <c r="AC35" i="49"/>
  <c r="A88" i="49"/>
  <c r="AC88" i="49"/>
  <c r="A35" i="49"/>
  <c r="AI98" i="50"/>
  <c r="AI48" i="50"/>
  <c r="AI91" i="50"/>
  <c r="A98" i="50"/>
  <c r="A116" i="50" s="1"/>
  <c r="AI112" i="50"/>
  <c r="AI43" i="49"/>
  <c r="AI37" i="49"/>
  <c r="AI45" i="49"/>
  <c r="AI53" i="49"/>
  <c r="AI88" i="49"/>
  <c r="AI96" i="49"/>
  <c r="AI104" i="49"/>
  <c r="AI112" i="49"/>
  <c r="AI103" i="43"/>
  <c r="AI104" i="43"/>
  <c r="AI109" i="43"/>
  <c r="AI93" i="43"/>
  <c r="AI94" i="43"/>
  <c r="AI110" i="43"/>
  <c r="AI95" i="43"/>
  <c r="AI96" i="43"/>
  <c r="AI111" i="43"/>
  <c r="AI112" i="43"/>
  <c r="AI98" i="43"/>
  <c r="AI114" i="43"/>
  <c r="AI115" i="43"/>
  <c r="AI51" i="43"/>
  <c r="AI37" i="43"/>
  <c r="B62" i="43"/>
  <c r="A55" i="50" l="1"/>
  <c r="AC55" i="50" s="1"/>
  <c r="A55" i="49"/>
  <c r="BA88" i="49"/>
  <c r="BA47" i="50"/>
  <c r="AA55" i="50"/>
  <c r="AA116" i="50"/>
  <c r="Q116" i="50"/>
  <c r="AC116" i="50"/>
  <c r="U116" i="50"/>
  <c r="AA16" i="6"/>
  <c r="AC16" i="6" s="1"/>
  <c r="AA55" i="49"/>
  <c r="AC55" i="49"/>
  <c r="U55" i="49"/>
  <c r="Q55" i="49"/>
  <c r="BB47" i="50"/>
  <c r="BB88" i="49"/>
  <c r="A116" i="49"/>
  <c r="BC101" i="43"/>
  <c r="BA104" i="43"/>
  <c r="BA110" i="49"/>
  <c r="BB51" i="49"/>
  <c r="BC46" i="43"/>
  <c r="BC39" i="50"/>
  <c r="BB112" i="50"/>
  <c r="BA39" i="43"/>
  <c r="BC100" i="43"/>
  <c r="BC45" i="43"/>
  <c r="BC54" i="43"/>
  <c r="BC111" i="43"/>
  <c r="BC110" i="50"/>
  <c r="BA105" i="50"/>
  <c r="BC105" i="50"/>
  <c r="BB105" i="50"/>
  <c r="BC96" i="50"/>
  <c r="BC52" i="50"/>
  <c r="BB95" i="49"/>
  <c r="BA94" i="49"/>
  <c r="BC94" i="49"/>
  <c r="BA93" i="49"/>
  <c r="BC93" i="49"/>
  <c r="BB93" i="49"/>
  <c r="BC113" i="50"/>
  <c r="BA113" i="50"/>
  <c r="BB113" i="50"/>
  <c r="BC104" i="50"/>
  <c r="BC99" i="50"/>
  <c r="BA99" i="50"/>
  <c r="BB99" i="50"/>
  <c r="BC35" i="50"/>
  <c r="BB108" i="50"/>
  <c r="BA108" i="50"/>
  <c r="BB95" i="50"/>
  <c r="BA95" i="50"/>
  <c r="BB88" i="50"/>
  <c r="BA44" i="50"/>
  <c r="BB44" i="50"/>
  <c r="BB37" i="50"/>
  <c r="BA37" i="50"/>
  <c r="BC102" i="49"/>
  <c r="BC115" i="50"/>
  <c r="BB115" i="50"/>
  <c r="BA115" i="50"/>
  <c r="BC101" i="50"/>
  <c r="BA97" i="50"/>
  <c r="BB97" i="50"/>
  <c r="BC97" i="50"/>
  <c r="BA96" i="50"/>
  <c r="BC51" i="50"/>
  <c r="BB39" i="50"/>
  <c r="BC38" i="50"/>
  <c r="BA109" i="49"/>
  <c r="BB109" i="49"/>
  <c r="BC109" i="49"/>
  <c r="BB92" i="49"/>
  <c r="BA92" i="49"/>
  <c r="BC92" i="49"/>
  <c r="BA91" i="49"/>
  <c r="BB91" i="49"/>
  <c r="BC91" i="49"/>
  <c r="BC41" i="49"/>
  <c r="BA49" i="49"/>
  <c r="BB104" i="43"/>
  <c r="BC53" i="43"/>
  <c r="BB92" i="50"/>
  <c r="BA92" i="50"/>
  <c r="BB35" i="50"/>
  <c r="BA35" i="50"/>
  <c r="BC54" i="50"/>
  <c r="BC53" i="50"/>
  <c r="BC47" i="50"/>
  <c r="BB112" i="49"/>
  <c r="BB106" i="49"/>
  <c r="BA106" i="49"/>
  <c r="BC106" i="49"/>
  <c r="BC88" i="49"/>
  <c r="BC114" i="50"/>
  <c r="BB114" i="50"/>
  <c r="BA114" i="50"/>
  <c r="BC107" i="50"/>
  <c r="BA107" i="50"/>
  <c r="BB107" i="50"/>
  <c r="BA101" i="50"/>
  <c r="BB101" i="50"/>
  <c r="BC93" i="50"/>
  <c r="BB38" i="50"/>
  <c r="BA38" i="50"/>
  <c r="BB114" i="49"/>
  <c r="BA114" i="49"/>
  <c r="BC114" i="49"/>
  <c r="BA107" i="49"/>
  <c r="BC107" i="49"/>
  <c r="BB107" i="49"/>
  <c r="BB103" i="49"/>
  <c r="BC103" i="49"/>
  <c r="BB90" i="49"/>
  <c r="BA90" i="49"/>
  <c r="BC90" i="49"/>
  <c r="BA103" i="50"/>
  <c r="BB103" i="50"/>
  <c r="BB96" i="50"/>
  <c r="BA39" i="50"/>
  <c r="BB111" i="49"/>
  <c r="BA111" i="49"/>
  <c r="BB104" i="49"/>
  <c r="BA104" i="49"/>
  <c r="BA102" i="49"/>
  <c r="BA96" i="43"/>
  <c r="BB111" i="50"/>
  <c r="BA111" i="50"/>
  <c r="BB104" i="50"/>
  <c r="BC103" i="50"/>
  <c r="BC91" i="50"/>
  <c r="BA91" i="50"/>
  <c r="BB91" i="50"/>
  <c r="BA53" i="50"/>
  <c r="BB53" i="50"/>
  <c r="BC46" i="50"/>
  <c r="BC112" i="49"/>
  <c r="BA112" i="49"/>
  <c r="BB110" i="49"/>
  <c r="BC105" i="49"/>
  <c r="BA105" i="49"/>
  <c r="BB105" i="49"/>
  <c r="BC111" i="50"/>
  <c r="BC106" i="50"/>
  <c r="BA106" i="50"/>
  <c r="BB106" i="50"/>
  <c r="BB94" i="50"/>
  <c r="BA94" i="50"/>
  <c r="BA93" i="50"/>
  <c r="BB93" i="50"/>
  <c r="BC92" i="50"/>
  <c r="BA48" i="50"/>
  <c r="BC48" i="50"/>
  <c r="BB48" i="50"/>
  <c r="BC42" i="50"/>
  <c r="BA42" i="50"/>
  <c r="BB42" i="50"/>
  <c r="BC113" i="49"/>
  <c r="BB113" i="49"/>
  <c r="BA113" i="49"/>
  <c r="BC95" i="49"/>
  <c r="BC89" i="49"/>
  <c r="BA89" i="49"/>
  <c r="BB89" i="49"/>
  <c r="BA102" i="50"/>
  <c r="BB102" i="50"/>
  <c r="BC100" i="50"/>
  <c r="BC94" i="50"/>
  <c r="BA89" i="50"/>
  <c r="BB89" i="50"/>
  <c r="BC89" i="50"/>
  <c r="BC50" i="50"/>
  <c r="BB50" i="50"/>
  <c r="BA50" i="50"/>
  <c r="BC43" i="50"/>
  <c r="BC36" i="50"/>
  <c r="BB110" i="50"/>
  <c r="BA110" i="50"/>
  <c r="BA109" i="50"/>
  <c r="BB109" i="50"/>
  <c r="BC108" i="50"/>
  <c r="BC102" i="50"/>
  <c r="BA52" i="50"/>
  <c r="BB52" i="50"/>
  <c r="BB45" i="50"/>
  <c r="BA45" i="50"/>
  <c r="BC37" i="50"/>
  <c r="BA115" i="49"/>
  <c r="BC115" i="49"/>
  <c r="BB115" i="49"/>
  <c r="BC110" i="49"/>
  <c r="BA103" i="49"/>
  <c r="BC43" i="43"/>
  <c r="BC37" i="43"/>
  <c r="BC109" i="50"/>
  <c r="BC98" i="50"/>
  <c r="BB98" i="50"/>
  <c r="BA98" i="50"/>
  <c r="BA54" i="50"/>
  <c r="BB54" i="50"/>
  <c r="BC45" i="50"/>
  <c r="BC41" i="50"/>
  <c r="BA41" i="50"/>
  <c r="BB41" i="50"/>
  <c r="BC40" i="50"/>
  <c r="BB40" i="50"/>
  <c r="BA40" i="50"/>
  <c r="BC111" i="49"/>
  <c r="BC104" i="49"/>
  <c r="BB100" i="50"/>
  <c r="BA100" i="50"/>
  <c r="BC49" i="50"/>
  <c r="BB49" i="50"/>
  <c r="BA49" i="50"/>
  <c r="BB43" i="50"/>
  <c r="BA43" i="50"/>
  <c r="BA36" i="50"/>
  <c r="BB36" i="50"/>
  <c r="BA95" i="49"/>
  <c r="BB94" i="49"/>
  <c r="BC112" i="50"/>
  <c r="BA88" i="50"/>
  <c r="BC88" i="50"/>
  <c r="BB51" i="50"/>
  <c r="BA51" i="50"/>
  <c r="BA108" i="49"/>
  <c r="BB108" i="49"/>
  <c r="BC108" i="49"/>
  <c r="BA101" i="49"/>
  <c r="BB101" i="49"/>
  <c r="BC101" i="49"/>
  <c r="BC95" i="50"/>
  <c r="BA90" i="50"/>
  <c r="BB90" i="50"/>
  <c r="BC90" i="50"/>
  <c r="BB46" i="50"/>
  <c r="BA46" i="50"/>
  <c r="BC44" i="50"/>
  <c r="BB102" i="49"/>
  <c r="BC35" i="43"/>
  <c r="BB92" i="43"/>
  <c r="BA92" i="43"/>
  <c r="BC115" i="43"/>
  <c r="BB115" i="43"/>
  <c r="BA115" i="43"/>
  <c r="BC39" i="43"/>
  <c r="BC49" i="43"/>
  <c r="BA49" i="43"/>
  <c r="BB49" i="43"/>
  <c r="BB43" i="43"/>
  <c r="BA43" i="43"/>
  <c r="BC90" i="43"/>
  <c r="BA90" i="43"/>
  <c r="BB90" i="43"/>
  <c r="BB102" i="43"/>
  <c r="BA102" i="43"/>
  <c r="BC113" i="43"/>
  <c r="BA113" i="43"/>
  <c r="BB113" i="43"/>
  <c r="BB95" i="43"/>
  <c r="BA95" i="43"/>
  <c r="BC110" i="43"/>
  <c r="BC95" i="43"/>
  <c r="BA105" i="43"/>
  <c r="BB105" i="43"/>
  <c r="BC105" i="43"/>
  <c r="BB108" i="43"/>
  <c r="BA108" i="43"/>
  <c r="BC112" i="43"/>
  <c r="BB98" i="43"/>
  <c r="BC98" i="43"/>
  <c r="BA98" i="43"/>
  <c r="BB96" i="43"/>
  <c r="BC89" i="43"/>
  <c r="BA89" i="43"/>
  <c r="BB89" i="43"/>
  <c r="BC97" i="43"/>
  <c r="BA97" i="43"/>
  <c r="BB97" i="43"/>
  <c r="BC36" i="43"/>
  <c r="BB100" i="43"/>
  <c r="BA100" i="43"/>
  <c r="BC93" i="43"/>
  <c r="BC94" i="43"/>
  <c r="BB51" i="43"/>
  <c r="BA51" i="43"/>
  <c r="BA52" i="43"/>
  <c r="BB52" i="43"/>
  <c r="BA48" i="43"/>
  <c r="BB48" i="43"/>
  <c r="BC48" i="43"/>
  <c r="BB112" i="43"/>
  <c r="BC108" i="43"/>
  <c r="BC91" i="43"/>
  <c r="BA91" i="43"/>
  <c r="BB91" i="43"/>
  <c r="BB94" i="43"/>
  <c r="BA94" i="43"/>
  <c r="BB35" i="43"/>
  <c r="BA35" i="43"/>
  <c r="BC44" i="43"/>
  <c r="BC47" i="43"/>
  <c r="BC96" i="43"/>
  <c r="BA53" i="43"/>
  <c r="BB53" i="43"/>
  <c r="BC102" i="43"/>
  <c r="BC114" i="43"/>
  <c r="BA114" i="43"/>
  <c r="BB114" i="43"/>
  <c r="BA101" i="43"/>
  <c r="BB101" i="43"/>
  <c r="BA109" i="43"/>
  <c r="BB109" i="43"/>
  <c r="BC50" i="43"/>
  <c r="BA50" i="43"/>
  <c r="BB50" i="43"/>
  <c r="BC104" i="43"/>
  <c r="BC51" i="43"/>
  <c r="BB45" i="43"/>
  <c r="BA45" i="43"/>
  <c r="BB46" i="43"/>
  <c r="BA46" i="43"/>
  <c r="BA47" i="43"/>
  <c r="BA36" i="43"/>
  <c r="BB36" i="43"/>
  <c r="BB39" i="43"/>
  <c r="BA93" i="43"/>
  <c r="BB93" i="43"/>
  <c r="BC92" i="43"/>
  <c r="BB41" i="43"/>
  <c r="BA41" i="43"/>
  <c r="BC41" i="43"/>
  <c r="BC42" i="43"/>
  <c r="BA42" i="43"/>
  <c r="BB42" i="43"/>
  <c r="BB103" i="43"/>
  <c r="BA103" i="43"/>
  <c r="BB37" i="43"/>
  <c r="BA37" i="43"/>
  <c r="BC103" i="43"/>
  <c r="BA44" i="43"/>
  <c r="BB44" i="43"/>
  <c r="BB38" i="43"/>
  <c r="BA38" i="43"/>
  <c r="BA110" i="43"/>
  <c r="BB110" i="43"/>
  <c r="BC38" i="43"/>
  <c r="BC107" i="43"/>
  <c r="BB107" i="43"/>
  <c r="BA107" i="43"/>
  <c r="BC109" i="43"/>
  <c r="BA54" i="43"/>
  <c r="BB54" i="43"/>
  <c r="BC99" i="43"/>
  <c r="BB99" i="43"/>
  <c r="BA99" i="43"/>
  <c r="BB106" i="43"/>
  <c r="BA106" i="43"/>
  <c r="BC106" i="43"/>
  <c r="BA111" i="43"/>
  <c r="BB111" i="43"/>
  <c r="BC52" i="43"/>
  <c r="BC40" i="43"/>
  <c r="BA40" i="43"/>
  <c r="BB40" i="43"/>
  <c r="BB47" i="43"/>
  <c r="BC97" i="49"/>
  <c r="BB97" i="49"/>
  <c r="BA97" i="49"/>
  <c r="BB98" i="49"/>
  <c r="BA98" i="49"/>
  <c r="BC98" i="49"/>
  <c r="BA99" i="49"/>
  <c r="BB99" i="49"/>
  <c r="BC99" i="49"/>
  <c r="BA38" i="49"/>
  <c r="BC38" i="49"/>
  <c r="BB38" i="49"/>
  <c r="AG38" i="49" s="1"/>
  <c r="BC52" i="49"/>
  <c r="BA52" i="49"/>
  <c r="AG52" i="49" s="1"/>
  <c r="BB52" i="49"/>
  <c r="BC50" i="49"/>
  <c r="AG50" i="49" s="1"/>
  <c r="BB50" i="49"/>
  <c r="BC49" i="49"/>
  <c r="BB49" i="49"/>
  <c r="AG49" i="49" s="1"/>
  <c r="BB43" i="49"/>
  <c r="BC36" i="49"/>
  <c r="BA36" i="49"/>
  <c r="AG36" i="49" s="1"/>
  <c r="BB36" i="49"/>
  <c r="BB42" i="49"/>
  <c r="AG42" i="49" s="1"/>
  <c r="BA54" i="49"/>
  <c r="BB54" i="49"/>
  <c r="AG54" i="49" s="1"/>
  <c r="BC54" i="49"/>
  <c r="BC43" i="49"/>
  <c r="BA43" i="49"/>
  <c r="BA50" i="49"/>
  <c r="BA47" i="49"/>
  <c r="BC47" i="49"/>
  <c r="BB47" i="49"/>
  <c r="BA40" i="49"/>
  <c r="BC40" i="49"/>
  <c r="BB40" i="49"/>
  <c r="AG40" i="49" s="1"/>
  <c r="BA41" i="49"/>
  <c r="BA42" i="49"/>
  <c r="BC51" i="49"/>
  <c r="BA51" i="49"/>
  <c r="BA39" i="49"/>
  <c r="BC39" i="49"/>
  <c r="BB39" i="49"/>
  <c r="BB41" i="49"/>
  <c r="AG41" i="49" s="1"/>
  <c r="BA48" i="49"/>
  <c r="BC48" i="49"/>
  <c r="BB48" i="49"/>
  <c r="AG48" i="49" s="1"/>
  <c r="BA46" i="49"/>
  <c r="BB46" i="49"/>
  <c r="AG46" i="49" s="1"/>
  <c r="BC46" i="49"/>
  <c r="BB45" i="49"/>
  <c r="BA45" i="49"/>
  <c r="BC45" i="49"/>
  <c r="AG45" i="49" s="1"/>
  <c r="BC44" i="49"/>
  <c r="BB44" i="49"/>
  <c r="BA44" i="49"/>
  <c r="BC42" i="49"/>
  <c r="BB53" i="49"/>
  <c r="BA53" i="49"/>
  <c r="BC53" i="49"/>
  <c r="BB37" i="49"/>
  <c r="BA37" i="49"/>
  <c r="BC37" i="49"/>
  <c r="BA100" i="49"/>
  <c r="BB100" i="49"/>
  <c r="BC100" i="49"/>
  <c r="BC96" i="49"/>
  <c r="BA96" i="49"/>
  <c r="BB96" i="49"/>
  <c r="AG51" i="49"/>
  <c r="BB35" i="49"/>
  <c r="BC35" i="49"/>
  <c r="BA35" i="49"/>
  <c r="AO40" i="6"/>
  <c r="K39" i="6" s="1"/>
  <c r="AK40" i="6"/>
  <c r="J39" i="6" s="1"/>
  <c r="AG40" i="6"/>
  <c r="H39" i="6" s="1"/>
  <c r="AR38" i="6"/>
  <c r="AN38" i="6"/>
  <c r="AJ38" i="6"/>
  <c r="AF38" i="6"/>
  <c r="AO20" i="6"/>
  <c r="AK20" i="6"/>
  <c r="AG20" i="6"/>
  <c r="AF16" i="6"/>
  <c r="AR16" i="6"/>
  <c r="N15" i="6" s="1"/>
  <c r="AG69" i="50"/>
  <c r="AG16" i="50"/>
  <c r="N76" i="6"/>
  <c r="M28" i="6"/>
  <c r="M50" i="6"/>
  <c r="M42" i="6"/>
  <c r="M44" i="6"/>
  <c r="Q55" i="50" l="1"/>
  <c r="U55" i="50"/>
  <c r="AA38" i="6"/>
  <c r="AA116" i="49"/>
  <c r="Q116" i="49"/>
  <c r="U116" i="49"/>
  <c r="AC116" i="49"/>
  <c r="AN18" i="6"/>
  <c r="K17" i="6" s="1"/>
  <c r="AN16" i="6"/>
  <c r="AJ18" i="6"/>
  <c r="J17" i="6" s="1"/>
  <c r="AJ16" i="6"/>
  <c r="AG37" i="49"/>
  <c r="AG51" i="43"/>
  <c r="AG100" i="49"/>
  <c r="AG69" i="49" s="1"/>
  <c r="AG47" i="49"/>
  <c r="AF18" i="6"/>
  <c r="H17" i="6" s="1"/>
  <c r="AG16" i="49" l="1"/>
  <c r="T27" i="5" l="1"/>
  <c r="AJ2" i="2" l="1"/>
  <c r="J19" i="14" l="1"/>
  <c r="C63" i="15" l="1"/>
  <c r="C64" i="15"/>
  <c r="R72" i="37" l="1"/>
  <c r="N17" i="30"/>
  <c r="M17" i="30"/>
  <c r="N38" i="30"/>
  <c r="M38" i="30"/>
  <c r="N10" i="30"/>
  <c r="M10" i="30"/>
  <c r="N31" i="30"/>
  <c r="M31" i="30"/>
  <c r="D51" i="30"/>
  <c r="S36" i="30"/>
  <c r="R36" i="30"/>
  <c r="Q36" i="30"/>
  <c r="P36" i="30"/>
  <c r="S35" i="30"/>
  <c r="R35" i="30"/>
  <c r="Q35" i="30"/>
  <c r="P35" i="30"/>
  <c r="S27" i="30"/>
  <c r="R27" i="30"/>
  <c r="Q27" i="30"/>
  <c r="P27" i="30"/>
  <c r="S15" i="30"/>
  <c r="R15" i="30"/>
  <c r="Q15" i="30"/>
  <c r="P15" i="30"/>
  <c r="S14" i="30"/>
  <c r="R14" i="30"/>
  <c r="Q14" i="30"/>
  <c r="P14" i="30"/>
  <c r="S6" i="30"/>
  <c r="R6" i="30"/>
  <c r="Q6" i="30"/>
  <c r="P6" i="30"/>
  <c r="K43" i="47"/>
  <c r="K44" i="47" s="1"/>
  <c r="AL43" i="47" s="1"/>
  <c r="M43" i="47"/>
  <c r="M44" i="47" s="1"/>
  <c r="I43" i="47"/>
  <c r="I44" i="47" s="1"/>
  <c r="AJ43" i="47" s="1"/>
  <c r="K4" i="48"/>
  <c r="M12" i="47"/>
  <c r="C11" i="47"/>
  <c r="B2" i="48"/>
  <c r="J65" i="48"/>
  <c r="J60" i="48"/>
  <c r="L56" i="48"/>
  <c r="L55" i="48"/>
  <c r="L53" i="48"/>
  <c r="L47" i="48"/>
  <c r="L45" i="48"/>
  <c r="L44" i="48"/>
  <c r="J43" i="48"/>
  <c r="D43" i="48"/>
  <c r="L42" i="48"/>
  <c r="F42" i="48"/>
  <c r="L32" i="48"/>
  <c r="L30" i="48"/>
  <c r="L29" i="48"/>
  <c r="M30" i="48"/>
  <c r="B8" i="48"/>
  <c r="N3" i="47"/>
  <c r="Q56" i="47"/>
  <c r="T116" i="5"/>
  <c r="T47" i="5" s="1"/>
  <c r="T49" i="5" s="1"/>
  <c r="D80" i="2"/>
  <c r="E23" i="28" s="1"/>
  <c r="AA79" i="2"/>
  <c r="J6" i="1"/>
  <c r="E11" i="46"/>
  <c r="E9" i="46"/>
  <c r="G208" i="46"/>
  <c r="E163" i="46"/>
  <c r="N92" i="46"/>
  <c r="N91" i="46"/>
  <c r="N89" i="46"/>
  <c r="D30" i="46"/>
  <c r="B243" i="46"/>
  <c r="O238" i="46"/>
  <c r="E236" i="46"/>
  <c r="E214" i="46"/>
  <c r="E206" i="46"/>
  <c r="E160" i="46"/>
  <c r="H156" i="46"/>
  <c r="E151" i="46"/>
  <c r="B137" i="46"/>
  <c r="H120" i="46"/>
  <c r="H118" i="46"/>
  <c r="D116" i="46"/>
  <c r="D114" i="46"/>
  <c r="H107" i="46"/>
  <c r="D102" i="46"/>
  <c r="D101" i="46"/>
  <c r="G92" i="46"/>
  <c r="D87" i="46"/>
  <c r="D84" i="46"/>
  <c r="D69" i="46"/>
  <c r="D66" i="46"/>
  <c r="D56" i="46"/>
  <c r="G53" i="46"/>
  <c r="G52" i="46"/>
  <c r="N51" i="46"/>
  <c r="G50" i="46"/>
  <c r="D48" i="46"/>
  <c r="D45" i="46"/>
  <c r="P40" i="46"/>
  <c r="O40" i="46"/>
  <c r="D38" i="46"/>
  <c r="K229" i="46"/>
  <c r="S9" i="46"/>
  <c r="E47" i="15"/>
  <c r="D26" i="15"/>
  <c r="D25" i="15"/>
  <c r="D24" i="15"/>
  <c r="D23" i="15"/>
  <c r="D28" i="15"/>
  <c r="E33" i="14"/>
  <c r="O11" i="14"/>
  <c r="O10" i="14"/>
  <c r="O9" i="14"/>
  <c r="L39" i="12"/>
  <c r="L38" i="12"/>
  <c r="M127" i="33"/>
  <c r="AF122" i="43"/>
  <c r="AF61" i="43"/>
  <c r="J4" i="1"/>
  <c r="S61" i="23"/>
  <c r="R117" i="23"/>
  <c r="G20" i="23"/>
  <c r="D92" i="23"/>
  <c r="M72" i="6"/>
  <c r="M87" i="6"/>
  <c r="M75" i="6"/>
  <c r="M58" i="6"/>
  <c r="M46" i="6"/>
  <c r="H29" i="6"/>
  <c r="M48" i="6"/>
  <c r="A35" i="43"/>
  <c r="AB5" i="43"/>
  <c r="H9" i="6"/>
  <c r="H44" i="5"/>
  <c r="H43" i="5"/>
  <c r="H41" i="5"/>
  <c r="H38" i="5"/>
  <c r="H37" i="5"/>
  <c r="C20" i="5"/>
  <c r="C21" i="5"/>
  <c r="C57" i="4"/>
  <c r="D59" i="4"/>
  <c r="D56" i="4"/>
  <c r="N70" i="3"/>
  <c r="K26" i="3"/>
  <c r="D19" i="3"/>
  <c r="I75" i="2"/>
  <c r="I74" i="2"/>
  <c r="C5" i="2"/>
  <c r="D33" i="4"/>
  <c r="AH18" i="2"/>
  <c r="AI18" i="2"/>
  <c r="AH20" i="2"/>
  <c r="AH22" i="2"/>
  <c r="AA32" i="2"/>
  <c r="AA33" i="2"/>
  <c r="AA34" i="2"/>
  <c r="AA35" i="2"/>
  <c r="AA38" i="2"/>
  <c r="D39" i="2"/>
  <c r="T40" i="2" s="1"/>
  <c r="T58" i="2"/>
  <c r="T59" i="2"/>
  <c r="T60" i="2"/>
  <c r="T61" i="2"/>
  <c r="T62" i="2"/>
  <c r="T63" i="2"/>
  <c r="T64" i="2"/>
  <c r="T65" i="2"/>
  <c r="T66" i="2"/>
  <c r="T67" i="2"/>
  <c r="T68" i="2"/>
  <c r="AA69" i="2"/>
  <c r="AA70" i="2"/>
  <c r="F73" i="2" s="1"/>
  <c r="AG71" i="2"/>
  <c r="B72" i="2"/>
  <c r="D73" i="2"/>
  <c r="T73" i="2"/>
  <c r="Y73" i="2"/>
  <c r="AR88" i="2"/>
  <c r="AR89" i="2"/>
  <c r="AR91" i="2"/>
  <c r="T95" i="2"/>
  <c r="W95" i="2"/>
  <c r="AH96" i="2"/>
  <c r="AR95" i="2"/>
  <c r="AS95" i="2"/>
  <c r="AS96" i="2"/>
  <c r="AS97" i="2"/>
  <c r="AS98" i="2"/>
  <c r="F103" i="2"/>
  <c r="AR105" i="2"/>
  <c r="AS105" i="2"/>
  <c r="AR106" i="2"/>
  <c r="AS106" i="2"/>
  <c r="AR107" i="2"/>
  <c r="AS107" i="2"/>
  <c r="AR108" i="2"/>
  <c r="AS108" i="2"/>
  <c r="AR109" i="2"/>
  <c r="AS109" i="2"/>
  <c r="AR116" i="2"/>
  <c r="AS116" i="2"/>
  <c r="AR117" i="2"/>
  <c r="AS117" i="2"/>
  <c r="AR118" i="2"/>
  <c r="AS118" i="2"/>
  <c r="AR119" i="2"/>
  <c r="AS119" i="2"/>
  <c r="AE121" i="2"/>
  <c r="AR120" i="2"/>
  <c r="AS120" i="2"/>
  <c r="AR125" i="2"/>
  <c r="AS125" i="2"/>
  <c r="AR126" i="2"/>
  <c r="AS126" i="2"/>
  <c r="AR127" i="2"/>
  <c r="AS127" i="2"/>
  <c r="AR128" i="2"/>
  <c r="AS128" i="2"/>
  <c r="AR129" i="2"/>
  <c r="AS129" i="2"/>
  <c r="AG133" i="2"/>
  <c r="P4" i="30"/>
  <c r="Q4" i="30"/>
  <c r="R4" i="30"/>
  <c r="S4" i="30"/>
  <c r="P5" i="30"/>
  <c r="Q5" i="30"/>
  <c r="R5" i="30"/>
  <c r="S5" i="30"/>
  <c r="P7" i="30"/>
  <c r="Q7" i="30"/>
  <c r="R7" i="30"/>
  <c r="S7" i="30"/>
  <c r="P8" i="30"/>
  <c r="Q8" i="30"/>
  <c r="R8" i="30"/>
  <c r="S8" i="30"/>
  <c r="P9" i="30"/>
  <c r="Q9" i="30"/>
  <c r="R9" i="30"/>
  <c r="S9" i="30"/>
  <c r="P11" i="30"/>
  <c r="Q11" i="30"/>
  <c r="R11" i="30"/>
  <c r="S11" i="30"/>
  <c r="P12" i="30"/>
  <c r="Q12" i="30"/>
  <c r="R12" i="30"/>
  <c r="S12" i="30"/>
  <c r="P13" i="30"/>
  <c r="Q13" i="30"/>
  <c r="R13" i="30"/>
  <c r="S13" i="30"/>
  <c r="P16" i="30"/>
  <c r="Q16" i="30"/>
  <c r="R16" i="30"/>
  <c r="S16" i="30"/>
  <c r="P17" i="30"/>
  <c r="Q17" i="30"/>
  <c r="R17" i="30"/>
  <c r="S17" i="30"/>
  <c r="P18" i="30"/>
  <c r="Q18" i="30"/>
  <c r="R18" i="30"/>
  <c r="S18" i="30"/>
  <c r="P19" i="30"/>
  <c r="Q19" i="30"/>
  <c r="R19" i="30"/>
  <c r="S19" i="30"/>
  <c r="M20" i="30"/>
  <c r="N20" i="30"/>
  <c r="P21" i="30"/>
  <c r="Q21" i="30"/>
  <c r="R21" i="30"/>
  <c r="S21" i="30"/>
  <c r="P25" i="30"/>
  <c r="Q25" i="30"/>
  <c r="R25" i="30"/>
  <c r="S25" i="30"/>
  <c r="P26" i="30"/>
  <c r="Q26" i="30"/>
  <c r="R26" i="30"/>
  <c r="S26" i="30"/>
  <c r="P28" i="30"/>
  <c r="Q28" i="30"/>
  <c r="R28" i="30"/>
  <c r="S28" i="30"/>
  <c r="P29" i="30"/>
  <c r="Q29" i="30"/>
  <c r="R29" i="30"/>
  <c r="S29" i="30"/>
  <c r="P30" i="30"/>
  <c r="Q30" i="30"/>
  <c r="R30" i="30"/>
  <c r="S30" i="30"/>
  <c r="P32" i="30"/>
  <c r="Q32" i="30"/>
  <c r="R32" i="30"/>
  <c r="S32" i="30"/>
  <c r="P33" i="30"/>
  <c r="Q33" i="30"/>
  <c r="R33" i="30"/>
  <c r="S33" i="30"/>
  <c r="P34" i="30"/>
  <c r="Q34" i="30"/>
  <c r="R34" i="30"/>
  <c r="S34" i="30"/>
  <c r="P37" i="30"/>
  <c r="Q37" i="30"/>
  <c r="R37" i="30"/>
  <c r="S37" i="30"/>
  <c r="P38" i="30"/>
  <c r="Q38" i="30"/>
  <c r="R38" i="30"/>
  <c r="S38" i="30"/>
  <c r="P39" i="30"/>
  <c r="Q39" i="30"/>
  <c r="R39" i="30"/>
  <c r="S39" i="30"/>
  <c r="P40" i="30"/>
  <c r="Q40" i="30"/>
  <c r="R40" i="30"/>
  <c r="S40" i="30"/>
  <c r="M41" i="30"/>
  <c r="N41" i="30"/>
  <c r="P42" i="30"/>
  <c r="Q42" i="30"/>
  <c r="R42" i="30"/>
  <c r="S42" i="30"/>
  <c r="D58" i="30"/>
  <c r="D61" i="30"/>
  <c r="L5" i="33"/>
  <c r="K10" i="33"/>
  <c r="L13" i="33"/>
  <c r="B14" i="33"/>
  <c r="B16" i="33" s="1"/>
  <c r="B17" i="33" s="1"/>
  <c r="B18" i="33" s="1"/>
  <c r="Q20" i="33"/>
  <c r="K38" i="33"/>
  <c r="R59" i="33"/>
  <c r="R63" i="33"/>
  <c r="M64" i="33"/>
  <c r="R66" i="33"/>
  <c r="B66" i="33"/>
  <c r="D87" i="33"/>
  <c r="D88" i="33"/>
  <c r="D89" i="33"/>
  <c r="C26" i="12"/>
  <c r="C27" i="12"/>
  <c r="P26" i="12"/>
  <c r="E29" i="12"/>
  <c r="O29" i="12"/>
  <c r="C33" i="12"/>
  <c r="O31" i="12"/>
  <c r="D34" i="12"/>
  <c r="D35" i="12"/>
  <c r="O33" i="12"/>
  <c r="D36" i="12"/>
  <c r="O35" i="12"/>
  <c r="C38" i="12"/>
  <c r="O37" i="12"/>
  <c r="E41" i="12"/>
  <c r="E42" i="12"/>
  <c r="C22" i="13"/>
  <c r="D25" i="13"/>
  <c r="D27" i="13"/>
  <c r="B38" i="13"/>
  <c r="J63" i="13"/>
  <c r="K64" i="13"/>
  <c r="G69" i="13"/>
  <c r="J69" i="13"/>
  <c r="D72" i="13"/>
  <c r="D73" i="13"/>
  <c r="D74" i="13"/>
  <c r="D75" i="13"/>
  <c r="D76" i="13"/>
  <c r="G77" i="13"/>
  <c r="J77" i="13"/>
  <c r="D82" i="13"/>
  <c r="D83" i="13"/>
  <c r="D84" i="13"/>
  <c r="D85" i="13"/>
  <c r="D86" i="13"/>
  <c r="P6" i="14"/>
  <c r="E7" i="14"/>
  <c r="J7" i="14"/>
  <c r="O7" i="14"/>
  <c r="P8" i="14"/>
  <c r="I16" i="14"/>
  <c r="I18" i="14"/>
  <c r="I19" i="14"/>
  <c r="I20" i="14"/>
  <c r="I22" i="14"/>
  <c r="I27" i="14"/>
  <c r="E30" i="14"/>
  <c r="F32" i="14"/>
  <c r="I33" i="14"/>
  <c r="E41" i="14"/>
  <c r="I42" i="14"/>
  <c r="D43" i="14"/>
  <c r="H44" i="14"/>
  <c r="I44" i="14"/>
  <c r="I52" i="14"/>
  <c r="E55" i="14"/>
  <c r="E3" i="15"/>
  <c r="M4" i="15"/>
  <c r="E5" i="15"/>
  <c r="G9" i="15"/>
  <c r="D18" i="15"/>
  <c r="D19" i="15"/>
  <c r="P21" i="15"/>
  <c r="P22" i="15"/>
  <c r="X23" i="15"/>
  <c r="AA23" i="15"/>
  <c r="AA24" i="15"/>
  <c r="X25" i="15"/>
  <c r="AA25" i="15"/>
  <c r="W26" i="15"/>
  <c r="AA26" i="15"/>
  <c r="W27" i="15"/>
  <c r="AA27" i="15"/>
  <c r="W28" i="15"/>
  <c r="E42" i="15"/>
  <c r="G44" i="15"/>
  <c r="G45" i="15"/>
  <c r="G46" i="15"/>
  <c r="E49" i="15"/>
  <c r="Q49" i="15"/>
  <c r="G53" i="15"/>
  <c r="G54" i="15"/>
  <c r="G55" i="15"/>
  <c r="D65" i="15"/>
  <c r="D67" i="15"/>
  <c r="D70" i="15"/>
  <c r="D73" i="15"/>
  <c r="H78" i="15"/>
  <c r="H88" i="15"/>
  <c r="H89" i="15"/>
  <c r="G91" i="15"/>
  <c r="G92" i="15"/>
  <c r="G93" i="15"/>
  <c r="Q95" i="15"/>
  <c r="L99" i="15"/>
  <c r="Q99" i="15"/>
  <c r="K25" i="28"/>
  <c r="K36" i="28"/>
  <c r="K37" i="28"/>
  <c r="E40" i="28"/>
  <c r="E41" i="28"/>
  <c r="K43" i="28"/>
  <c r="K44" i="28"/>
  <c r="K45" i="28"/>
  <c r="K46" i="28"/>
  <c r="K47" i="28"/>
  <c r="M63" i="28"/>
  <c r="M64" i="28"/>
  <c r="M67" i="28"/>
  <c r="M70" i="28"/>
  <c r="N10" i="3"/>
  <c r="M14" i="3"/>
  <c r="D29" i="3"/>
  <c r="K38" i="3"/>
  <c r="K39" i="3"/>
  <c r="D40" i="3" s="1"/>
  <c r="M40" i="3"/>
  <c r="K42" i="3"/>
  <c r="K44" i="3"/>
  <c r="K45" i="3"/>
  <c r="D46" i="3"/>
  <c r="M46" i="3"/>
  <c r="M48" i="3"/>
  <c r="K51" i="3"/>
  <c r="K52" i="3"/>
  <c r="K55" i="3"/>
  <c r="D56" i="3"/>
  <c r="K56" i="3"/>
  <c r="L56" i="3"/>
  <c r="I57" i="3"/>
  <c r="K58" i="3"/>
  <c r="M59" i="3"/>
  <c r="M62" i="3"/>
  <c r="M66" i="3"/>
  <c r="H9" i="4"/>
  <c r="I32" i="4"/>
  <c r="H32" i="4"/>
  <c r="I55" i="4"/>
  <c r="G56" i="4" s="1"/>
  <c r="D69" i="4"/>
  <c r="R5" i="5"/>
  <c r="G17" i="5"/>
  <c r="J17" i="5"/>
  <c r="H33" i="5"/>
  <c r="S33" i="5"/>
  <c r="S34" i="5"/>
  <c r="H35" i="5"/>
  <c r="H36" i="5"/>
  <c r="S38" i="5"/>
  <c r="U65" i="5"/>
  <c r="B66" i="5"/>
  <c r="U66" i="5"/>
  <c r="S72" i="5"/>
  <c r="T83" i="5"/>
  <c r="T88" i="5" s="1"/>
  <c r="T28" i="5" s="1"/>
  <c r="C95" i="5"/>
  <c r="R100" i="5"/>
  <c r="R98" i="5"/>
  <c r="R102" i="5"/>
  <c r="R104" i="5"/>
  <c r="M3" i="6"/>
  <c r="L8" i="6"/>
  <c r="B22" i="6"/>
  <c r="M22" i="6" s="1"/>
  <c r="B23" i="6"/>
  <c r="M24" i="6" s="1"/>
  <c r="B25" i="6"/>
  <c r="M26" i="6" s="1"/>
  <c r="O51" i="6"/>
  <c r="B53" i="6"/>
  <c r="R91" i="6"/>
  <c r="D88" i="6"/>
  <c r="O98" i="6"/>
  <c r="S52" i="37"/>
  <c r="M51" i="37"/>
  <c r="S54" i="37"/>
  <c r="M54" i="37"/>
  <c r="N54" i="37"/>
  <c r="S55" i="37"/>
  <c r="S56" i="37"/>
  <c r="M57" i="37"/>
  <c r="M58" i="37"/>
  <c r="M60" i="37"/>
  <c r="O79" i="37"/>
  <c r="K81" i="37"/>
  <c r="I82" i="37"/>
  <c r="I83" i="37"/>
  <c r="K84" i="37"/>
  <c r="M85" i="37"/>
  <c r="K86" i="37"/>
  <c r="K87" i="37"/>
  <c r="M88" i="37"/>
  <c r="K89" i="37"/>
  <c r="M90" i="37"/>
  <c r="K91" i="37"/>
  <c r="O92" i="37"/>
  <c r="O93" i="37"/>
  <c r="E95" i="37"/>
  <c r="E96" i="37"/>
  <c r="K96" i="37"/>
  <c r="E97" i="37"/>
  <c r="M98" i="37"/>
  <c r="K99" i="37"/>
  <c r="K100" i="37"/>
  <c r="M101" i="37"/>
  <c r="M102" i="37"/>
  <c r="K104" i="37"/>
  <c r="K105" i="37"/>
  <c r="M106" i="37"/>
  <c r="O120" i="37"/>
  <c r="K122" i="37"/>
  <c r="I123" i="37"/>
  <c r="I124" i="37"/>
  <c r="K125" i="37"/>
  <c r="M126" i="37"/>
  <c r="O127" i="37"/>
  <c r="M129" i="37"/>
  <c r="M130" i="37"/>
  <c r="O131" i="37"/>
  <c r="O133" i="37"/>
  <c r="O134" i="37"/>
  <c r="O136" i="37"/>
  <c r="O139" i="37"/>
  <c r="U11" i="23"/>
  <c r="C13" i="23"/>
  <c r="C37" i="23"/>
  <c r="Z42" i="23"/>
  <c r="M44" i="23"/>
  <c r="I57" i="23"/>
  <c r="H59" i="23"/>
  <c r="X69" i="23"/>
  <c r="B70" i="23"/>
  <c r="U71" i="23"/>
  <c r="V88" i="23"/>
  <c r="V89" i="23" s="1"/>
  <c r="V91" i="23"/>
  <c r="O327" i="60" s="1"/>
  <c r="Z117" i="23"/>
  <c r="Z118" i="23"/>
  <c r="Z119" i="23"/>
  <c r="Z89" i="23"/>
  <c r="X128" i="23"/>
  <c r="C3" i="40"/>
  <c r="C4" i="40"/>
  <c r="C5" i="40"/>
  <c r="D5" i="40"/>
  <c r="C8" i="40"/>
  <c r="C9" i="40"/>
  <c r="C10" i="40"/>
  <c r="D10" i="40"/>
  <c r="C19" i="40"/>
  <c r="D19" i="40"/>
  <c r="H24" i="40"/>
  <c r="C28" i="40"/>
  <c r="C29" i="40"/>
  <c r="C30" i="40"/>
  <c r="D31" i="40"/>
  <c r="C32" i="40"/>
  <c r="G3" i="1"/>
  <c r="L3" i="1"/>
  <c r="M3" i="1"/>
  <c r="N3" i="1"/>
  <c r="O3" i="1"/>
  <c r="G4" i="1"/>
  <c r="G5" i="1"/>
  <c r="G6" i="1"/>
  <c r="L6" i="1"/>
  <c r="M6" i="1"/>
  <c r="N6" i="1"/>
  <c r="O6" i="1"/>
  <c r="G7" i="1"/>
  <c r="G8" i="1"/>
  <c r="G9" i="1"/>
  <c r="G10" i="1"/>
  <c r="G11" i="1"/>
  <c r="G12" i="1"/>
  <c r="G13" i="1"/>
  <c r="G14" i="1"/>
  <c r="G15" i="1"/>
  <c r="G16" i="1"/>
  <c r="G17" i="1"/>
  <c r="G18" i="1"/>
  <c r="G19" i="1"/>
  <c r="G20" i="1"/>
  <c r="G21" i="1"/>
  <c r="G22" i="1"/>
  <c r="G23" i="1"/>
  <c r="G28" i="1"/>
  <c r="L28" i="1"/>
  <c r="M28" i="1"/>
  <c r="N28" i="1"/>
  <c r="O28" i="1"/>
  <c r="G29" i="1"/>
  <c r="G30" i="1"/>
  <c r="G31" i="1"/>
  <c r="L31" i="1"/>
  <c r="M31" i="1"/>
  <c r="N31" i="1"/>
  <c r="O31" i="1"/>
  <c r="G32" i="1"/>
  <c r="G33" i="1"/>
  <c r="G34" i="1"/>
  <c r="G35" i="1"/>
  <c r="G36" i="1"/>
  <c r="G37" i="1"/>
  <c r="G38" i="1"/>
  <c r="G39" i="1"/>
  <c r="G40" i="1"/>
  <c r="G41" i="1"/>
  <c r="G42" i="1"/>
  <c r="G43" i="1"/>
  <c r="G44" i="1"/>
  <c r="G45" i="1"/>
  <c r="G46" i="1"/>
  <c r="G47" i="1"/>
  <c r="G48" i="1"/>
  <c r="D105" i="46"/>
  <c r="S12" i="46"/>
  <c r="K230" i="46"/>
  <c r="M230" i="46"/>
  <c r="S11" i="46"/>
  <c r="M229" i="46"/>
  <c r="M40" i="30" l="1"/>
  <c r="N40" i="30" s="1"/>
  <c r="M39" i="30"/>
  <c r="N39" i="30" s="1"/>
  <c r="M37" i="30"/>
  <c r="N37" i="30" s="1"/>
  <c r="M34" i="30"/>
  <c r="N34" i="30" s="1"/>
  <c r="M33" i="30"/>
  <c r="N33" i="30" s="1"/>
  <c r="M32" i="30"/>
  <c r="N32" i="30" s="1"/>
  <c r="M30" i="30"/>
  <c r="N30" i="30" s="1"/>
  <c r="M29" i="30"/>
  <c r="N29" i="30" s="1"/>
  <c r="M28" i="30"/>
  <c r="N28" i="30" s="1"/>
  <c r="M26" i="30"/>
  <c r="N26" i="30" s="1"/>
  <c r="M25" i="30"/>
  <c r="N25" i="30" s="1"/>
  <c r="M27" i="30"/>
  <c r="N27" i="30" s="1"/>
  <c r="M42" i="30"/>
  <c r="M21" i="30"/>
  <c r="M18" i="30"/>
  <c r="N18" i="30" s="1"/>
  <c r="M16" i="30"/>
  <c r="N16" i="30" s="1"/>
  <c r="M12" i="30"/>
  <c r="N12" i="30" s="1"/>
  <c r="M9" i="30"/>
  <c r="N9" i="30" s="1"/>
  <c r="M7" i="30"/>
  <c r="N7" i="30" s="1"/>
  <c r="M14" i="30"/>
  <c r="N14" i="30" s="1"/>
  <c r="M36" i="30"/>
  <c r="N36" i="30" s="1"/>
  <c r="M19" i="30"/>
  <c r="N19" i="30" s="1"/>
  <c r="M13" i="30"/>
  <c r="N13" i="30" s="1"/>
  <c r="M11" i="30"/>
  <c r="N11" i="30" s="1"/>
  <c r="M8" i="30"/>
  <c r="N8" i="30" s="1"/>
  <c r="M5" i="30"/>
  <c r="N5" i="30" s="1"/>
  <c r="M6" i="30"/>
  <c r="N6" i="30" s="1"/>
  <c r="M15" i="30"/>
  <c r="N15" i="30" s="1"/>
  <c r="M35" i="30"/>
  <c r="N35" i="30" s="1"/>
  <c r="M4" i="30"/>
  <c r="N4" i="30" s="1"/>
  <c r="C69" i="1"/>
  <c r="C65" i="1"/>
  <c r="C57" i="1"/>
  <c r="C66" i="1"/>
  <c r="C72" i="1"/>
  <c r="C68" i="1"/>
  <c r="C64" i="1"/>
  <c r="C60" i="1"/>
  <c r="AC97" i="23"/>
  <c r="C71" i="1"/>
  <c r="C67" i="1"/>
  <c r="C63" i="1"/>
  <c r="C59" i="1"/>
  <c r="C62" i="1"/>
  <c r="C58" i="1"/>
  <c r="AD97" i="23"/>
  <c r="C54" i="1"/>
  <c r="E64" i="23"/>
  <c r="E62" i="23"/>
  <c r="C61" i="1"/>
  <c r="L21" i="59" s="1"/>
  <c r="C70" i="1"/>
  <c r="C56" i="1"/>
  <c r="K13" i="52" s="1"/>
  <c r="C55" i="1"/>
  <c r="C52" i="1"/>
  <c r="C53" i="1"/>
  <c r="G15" i="14"/>
  <c r="J16" i="14" s="1"/>
  <c r="AB39" i="2"/>
  <c r="E48" i="60" s="1"/>
  <c r="G33" i="4"/>
  <c r="L77" i="13"/>
  <c r="J46" i="13" s="1"/>
  <c r="J47" i="13" s="1"/>
  <c r="J50" i="13" s="1"/>
  <c r="AI43" i="47"/>
  <c r="AJ46" i="47"/>
  <c r="AM43" i="47"/>
  <c r="AN43" i="47"/>
  <c r="AK43" i="47"/>
  <c r="Q64" i="15"/>
  <c r="K31" i="1"/>
  <c r="H31" i="1" s="1"/>
  <c r="M45" i="48"/>
  <c r="J28" i="1"/>
  <c r="M44" i="48"/>
  <c r="K50" i="47"/>
  <c r="K53" i="52"/>
  <c r="J3" i="1"/>
  <c r="K6" i="1"/>
  <c r="H6" i="1" s="1"/>
  <c r="L64" i="15"/>
  <c r="O38" i="12"/>
  <c r="V92" i="23"/>
  <c r="Z94" i="23" s="1"/>
  <c r="H37" i="14"/>
  <c r="Z124" i="23"/>
  <c r="L15" i="33"/>
  <c r="D41" i="2"/>
  <c r="T42" i="2" s="1"/>
  <c r="Z91" i="23"/>
  <c r="V93" i="23"/>
  <c r="T141" i="46"/>
  <c r="P229" i="46" s="1"/>
  <c r="L17" i="33"/>
  <c r="L16" i="33"/>
  <c r="K53" i="2"/>
  <c r="Z126" i="23"/>
  <c r="Z125" i="23"/>
  <c r="T29" i="5"/>
  <c r="T31" i="5" s="1"/>
  <c r="T50" i="5" s="1"/>
  <c r="T58" i="5" s="1"/>
  <c r="R344" i="60" s="1"/>
  <c r="AA37" i="2"/>
  <c r="D81" i="2"/>
  <c r="AA80" i="2"/>
  <c r="AA39" i="2"/>
  <c r="L94" i="15"/>
  <c r="AB41" i="2"/>
  <c r="AG16" i="43"/>
  <c r="A116" i="43"/>
  <c r="A55" i="43"/>
  <c r="L18" i="33"/>
  <c r="B19" i="33"/>
  <c r="F21" i="40"/>
  <c r="H22" i="40" s="1"/>
  <c r="V99" i="23"/>
  <c r="D102" i="23" s="1"/>
  <c r="P25" i="23"/>
  <c r="S3" i="46"/>
  <c r="D17" i="3"/>
  <c r="D57" i="3"/>
  <c r="D74" i="2"/>
  <c r="AA73" i="2"/>
  <c r="AI22" i="2"/>
  <c r="M29" i="48"/>
  <c r="M32" i="48" s="1"/>
  <c r="O101" i="59" l="1"/>
  <c r="M81" i="59"/>
  <c r="M85" i="59"/>
  <c r="M87" i="59"/>
  <c r="M47" i="48"/>
  <c r="Z20" i="6"/>
  <c r="AC20" i="6" s="1"/>
  <c r="U55" i="43"/>
  <c r="AC55" i="43"/>
  <c r="AA55" i="43"/>
  <c r="Z38" i="6"/>
  <c r="AC38" i="6" s="1"/>
  <c r="U116" i="43"/>
  <c r="Q116" i="43"/>
  <c r="AA116" i="43"/>
  <c r="D47" i="30"/>
  <c r="D49" i="30"/>
  <c r="D62" i="30"/>
  <c r="J53" i="13"/>
  <c r="L54" i="13" s="1"/>
  <c r="J35" i="12"/>
  <c r="AE72" i="2"/>
  <c r="AK20" i="2"/>
  <c r="AT57" i="2" s="1"/>
  <c r="O67" i="59"/>
  <c r="AB75" i="2"/>
  <c r="AB74" i="2"/>
  <c r="C49" i="1"/>
  <c r="O53" i="2"/>
  <c r="E52" i="30"/>
  <c r="D52" i="30"/>
  <c r="E54" i="30"/>
  <c r="D54" i="30"/>
  <c r="E46" i="30"/>
  <c r="AB49" i="2" s="1"/>
  <c r="E60" i="30"/>
  <c r="D46" i="30"/>
  <c r="AB48" i="2" s="1"/>
  <c r="D60" i="30"/>
  <c r="E47" i="30"/>
  <c r="N42" i="30"/>
  <c r="D45" i="30"/>
  <c r="E45" i="30"/>
  <c r="D48" i="30"/>
  <c r="E48" i="30"/>
  <c r="E55" i="30"/>
  <c r="D55" i="30"/>
  <c r="D50" i="30"/>
  <c r="E50" i="30"/>
  <c r="D57" i="30"/>
  <c r="E57" i="30"/>
  <c r="D59" i="30"/>
  <c r="E59" i="30"/>
  <c r="E56" i="30"/>
  <c r="D56" i="30"/>
  <c r="AM68" i="2"/>
  <c r="U8" i="63"/>
  <c r="S15" i="63" s="1"/>
  <c r="E53" i="30"/>
  <c r="N13" i="53"/>
  <c r="AN46" i="47"/>
  <c r="AN45" i="47"/>
  <c r="N21" i="30"/>
  <c r="H55" i="1"/>
  <c r="K16" i="52"/>
  <c r="M21" i="52" s="1"/>
  <c r="M23" i="52" s="1"/>
  <c r="K54" i="52"/>
  <c r="K56" i="52" s="1"/>
  <c r="M58" i="52" s="1"/>
  <c r="M63" i="52" s="1"/>
  <c r="D53" i="30"/>
  <c r="C24" i="1"/>
  <c r="AI23" i="2"/>
  <c r="AB76" i="2"/>
  <c r="AD30" i="3"/>
  <c r="O346" i="60"/>
  <c r="O350" i="60" s="1"/>
  <c r="N14" i="53"/>
  <c r="E50" i="60"/>
  <c r="AL45" i="47"/>
  <c r="AL46" i="47"/>
  <c r="Q56" i="48"/>
  <c r="O28" i="12"/>
  <c r="Z93" i="23"/>
  <c r="Q102" i="23" s="1"/>
  <c r="Z95" i="23"/>
  <c r="Z96" i="23"/>
  <c r="M18" i="2"/>
  <c r="AA41" i="2"/>
  <c r="D13" i="46"/>
  <c r="P9" i="46"/>
  <c r="K32" i="52"/>
  <c r="N17" i="3"/>
  <c r="K15" i="33"/>
  <c r="P12" i="46"/>
  <c r="P11" i="46"/>
  <c r="P10" i="46"/>
  <c r="S73" i="2"/>
  <c r="E156" i="46"/>
  <c r="D43" i="2"/>
  <c r="D44" i="2" s="1"/>
  <c r="AJ31" i="2"/>
  <c r="AJ32" i="2" s="1"/>
  <c r="R60" i="5"/>
  <c r="R59" i="5"/>
  <c r="Y93" i="23"/>
  <c r="E49" i="30"/>
  <c r="AQ38" i="6"/>
  <c r="N37" i="6" s="1"/>
  <c r="N50" i="6" s="1"/>
  <c r="AQ20" i="6"/>
  <c r="N19" i="6" s="1"/>
  <c r="N28" i="6" s="1"/>
  <c r="N58" i="37" s="1"/>
  <c r="N60" i="37" s="1"/>
  <c r="AE20" i="6"/>
  <c r="H19" i="6" s="1"/>
  <c r="V73" i="2"/>
  <c r="E153" i="46"/>
  <c r="N155" i="46" s="1"/>
  <c r="P4" i="46"/>
  <c r="J30" i="46"/>
  <c r="P30" i="46" s="1"/>
  <c r="E165" i="46" s="1"/>
  <c r="AG69" i="43"/>
  <c r="D82" i="2"/>
  <c r="D83" i="2" s="1"/>
  <c r="AA81" i="2"/>
  <c r="Y76" i="2"/>
  <c r="D77" i="2"/>
  <c r="AB45" i="2"/>
  <c r="J54" i="67" s="1"/>
  <c r="B20" i="33"/>
  <c r="L19" i="33"/>
  <c r="M52" i="47" l="1"/>
  <c r="M53" i="47" s="1"/>
  <c r="E62" i="30"/>
  <c r="L64" i="13"/>
  <c r="L58" i="13"/>
  <c r="C41" i="12"/>
  <c r="C39" i="12"/>
  <c r="D40" i="12"/>
  <c r="AR13" i="2"/>
  <c r="AM14" i="2" s="1"/>
  <c r="AR58" i="2"/>
  <c r="AR59" i="2" s="1"/>
  <c r="AB66" i="2"/>
  <c r="AB65" i="2"/>
  <c r="O71" i="59"/>
  <c r="M74" i="59" s="1"/>
  <c r="O111" i="59"/>
  <c r="O90" i="59"/>
  <c r="O89" i="59"/>
  <c r="G89" i="59"/>
  <c r="J22" i="59"/>
  <c r="O35" i="59" s="1"/>
  <c r="O106" i="59"/>
  <c r="M75" i="59"/>
  <c r="M80" i="59" s="1"/>
  <c r="AB64" i="2"/>
  <c r="U31" i="63"/>
  <c r="S20" i="63"/>
  <c r="S17" i="63"/>
  <c r="S12" i="63"/>
  <c r="L26" i="63"/>
  <c r="L24" i="63"/>
  <c r="U35" i="63"/>
  <c r="V66" i="2" s="1"/>
  <c r="G2" i="46"/>
  <c r="V110" i="2"/>
  <c r="N21" i="3"/>
  <c r="AH49" i="2"/>
  <c r="V56" i="23"/>
  <c r="V58" i="23" s="1"/>
  <c r="E26" i="2"/>
  <c r="E28" i="2"/>
  <c r="R14" i="15" s="1"/>
  <c r="V104" i="23"/>
  <c r="V97" i="23"/>
  <c r="V108" i="23" s="1"/>
  <c r="V105" i="23"/>
  <c r="V106" i="23" s="1"/>
  <c r="V107" i="23" s="1"/>
  <c r="V109" i="23" s="1"/>
  <c r="Q112" i="23" s="1"/>
  <c r="M51" i="47"/>
  <c r="V101" i="23"/>
  <c r="V102" i="23"/>
  <c r="V103" i="23"/>
  <c r="AB89" i="2"/>
  <c r="AB90" i="2"/>
  <c r="AB88" i="2"/>
  <c r="F84" i="2"/>
  <c r="AA83" i="2"/>
  <c r="D84" i="2"/>
  <c r="AA43" i="2"/>
  <c r="AI16" i="6"/>
  <c r="J15" i="6" s="1"/>
  <c r="AI20" i="6"/>
  <c r="J19" i="6" s="1"/>
  <c r="AM16" i="6"/>
  <c r="K15" i="6" s="1"/>
  <c r="AM20" i="6"/>
  <c r="K19" i="6" s="1"/>
  <c r="Y74" i="2"/>
  <c r="L20" i="65" s="1"/>
  <c r="Y68" i="37"/>
  <c r="S71" i="37" s="1"/>
  <c r="U71" i="37" s="1"/>
  <c r="AJ34" i="2"/>
  <c r="AJ33" i="2"/>
  <c r="AI49" i="2"/>
  <c r="AI36" i="6"/>
  <c r="J35" i="6" s="1"/>
  <c r="AI38" i="6"/>
  <c r="J37" i="6" s="1"/>
  <c r="AM38" i="6"/>
  <c r="K37" i="6" s="1"/>
  <c r="AM36" i="6"/>
  <c r="K35" i="6" s="1"/>
  <c r="AE36" i="6"/>
  <c r="H35" i="6" s="1"/>
  <c r="AE38" i="6"/>
  <c r="H37" i="6" s="1"/>
  <c r="H15" i="6"/>
  <c r="E173" i="46"/>
  <c r="P160" i="46"/>
  <c r="D166" i="46" s="1"/>
  <c r="E2" i="46"/>
  <c r="AA82" i="2"/>
  <c r="AA44" i="2"/>
  <c r="D45" i="2"/>
  <c r="D78" i="2"/>
  <c r="AA78" i="2" s="1"/>
  <c r="I80" i="2" s="1"/>
  <c r="AA77" i="2"/>
  <c r="F78" i="2" s="1"/>
  <c r="L20" i="33"/>
  <c r="B21" i="33"/>
  <c r="E22" i="3" l="1"/>
  <c r="L22" i="3" s="1"/>
  <c r="N29" i="3" s="1"/>
  <c r="L34" i="15"/>
  <c r="L25" i="15"/>
  <c r="L44" i="12"/>
  <c r="J42" i="12"/>
  <c r="J45" i="12" s="1"/>
  <c r="C49" i="12" s="1"/>
  <c r="C51" i="12" s="1"/>
  <c r="M91" i="59"/>
  <c r="Q19" i="15"/>
  <c r="M13" i="15"/>
  <c r="S22" i="63"/>
  <c r="U29" i="63"/>
  <c r="S26" i="63"/>
  <c r="V65" i="23"/>
  <c r="V64" i="23"/>
  <c r="Q68" i="23" s="1"/>
  <c r="K27" i="52"/>
  <c r="K33" i="52" s="1"/>
  <c r="M34" i="52" s="1"/>
  <c r="M36" i="52" s="1"/>
  <c r="M49" i="52" s="1"/>
  <c r="R64" i="23"/>
  <c r="O325" i="60"/>
  <c r="O329" i="60" s="1"/>
  <c r="S16" i="15"/>
  <c r="AI48" i="2"/>
  <c r="AI47" i="2"/>
  <c r="O49" i="2"/>
  <c r="M55" i="47"/>
  <c r="M56" i="48" s="1"/>
  <c r="G29" i="15"/>
  <c r="AT74" i="2"/>
  <c r="AA45" i="2"/>
  <c r="D46" i="2"/>
  <c r="D85" i="2"/>
  <c r="AA84" i="2"/>
  <c r="B22" i="33"/>
  <c r="L21" i="33"/>
  <c r="AG26" i="2"/>
  <c r="AG37" i="2" s="1"/>
  <c r="AE17" i="58" l="1"/>
  <c r="AM25" i="58" s="1"/>
  <c r="AP215" i="68"/>
  <c r="AP246" i="68" s="1"/>
  <c r="AP251" i="68" s="1"/>
  <c r="AN215" i="68"/>
  <c r="AN246" i="68" s="1"/>
  <c r="AN251" i="68" s="1"/>
  <c r="AL215" i="68"/>
  <c r="AL246" i="68" s="1"/>
  <c r="AL251" i="68" s="1"/>
  <c r="AJ215" i="68"/>
  <c r="L37" i="15"/>
  <c r="J22" i="3"/>
  <c r="Q25" i="15"/>
  <c r="Q34" i="15"/>
  <c r="L51" i="12"/>
  <c r="L53" i="12" s="1"/>
  <c r="AB43" i="2" s="1"/>
  <c r="O93" i="59"/>
  <c r="O96" i="59"/>
  <c r="Q30" i="63"/>
  <c r="P30" i="63"/>
  <c r="AI101" i="2"/>
  <c r="H100" i="2" s="1"/>
  <c r="R128" i="23"/>
  <c r="J128" i="23"/>
  <c r="AI103" i="2"/>
  <c r="O36" i="59"/>
  <c r="O372" i="60"/>
  <c r="M57" i="48"/>
  <c r="N58" i="6"/>
  <c r="D86" i="2"/>
  <c r="T85" i="2"/>
  <c r="D47" i="2"/>
  <c r="AA46" i="2"/>
  <c r="B23" i="33"/>
  <c r="L22" i="33"/>
  <c r="AM26" i="58" l="1"/>
  <c r="AM24" i="58"/>
  <c r="L47" i="15"/>
  <c r="L62" i="15" s="1"/>
  <c r="Q37" i="15"/>
  <c r="Q47" i="15" s="1"/>
  <c r="Q62" i="15" s="1"/>
  <c r="Q67" i="15" s="1"/>
  <c r="AB103" i="2"/>
  <c r="AB102" i="2"/>
  <c r="B68" i="60"/>
  <c r="B78" i="60" s="1"/>
  <c r="AB50" i="2"/>
  <c r="V102" i="2"/>
  <c r="O107" i="59"/>
  <c r="O109" i="59" s="1"/>
  <c r="O113" i="59" s="1"/>
  <c r="O38" i="59"/>
  <c r="T38" i="2"/>
  <c r="AB38" i="2"/>
  <c r="R9" i="28"/>
  <c r="C9" i="28" s="1"/>
  <c r="AC138" i="33"/>
  <c r="AC139" i="33" s="1"/>
  <c r="H6" i="65"/>
  <c r="AB94" i="2"/>
  <c r="A64" i="6"/>
  <c r="A62" i="6"/>
  <c r="A60" i="6"/>
  <c r="V60" i="2"/>
  <c r="O331" i="60"/>
  <c r="B382" i="60"/>
  <c r="B385" i="60" s="1"/>
  <c r="AG397" i="60"/>
  <c r="AG398" i="60" s="1"/>
  <c r="AG400" i="60" s="1"/>
  <c r="B376" i="60"/>
  <c r="AE25" i="58"/>
  <c r="M20" i="33"/>
  <c r="AC22" i="33"/>
  <c r="M54" i="33"/>
  <c r="Z68" i="37"/>
  <c r="S72" i="37" s="1"/>
  <c r="U72" i="37" s="1"/>
  <c r="R71" i="37"/>
  <c r="T86" i="2"/>
  <c r="D87" i="2"/>
  <c r="AA47" i="2"/>
  <c r="D48" i="2"/>
  <c r="L23" i="33"/>
  <c r="B24" i="33"/>
  <c r="J60" i="67" l="1"/>
  <c r="I33" i="15"/>
  <c r="O39" i="59"/>
  <c r="J13" i="67"/>
  <c r="J42" i="67" s="1"/>
  <c r="J58" i="67" s="1"/>
  <c r="Y37" i="2"/>
  <c r="I78" i="15"/>
  <c r="I89" i="15" s="1"/>
  <c r="R60" i="33"/>
  <c r="C68" i="6"/>
  <c r="N72" i="6" s="1"/>
  <c r="R4" i="28" s="1"/>
  <c r="AH399" i="60"/>
  <c r="AL399" i="60"/>
  <c r="AI399" i="60"/>
  <c r="AO399" i="60"/>
  <c r="AJ399" i="60"/>
  <c r="AN399" i="60"/>
  <c r="AK399" i="60"/>
  <c r="AM399" i="60"/>
  <c r="B391" i="60"/>
  <c r="B388" i="60"/>
  <c r="AR71" i="58"/>
  <c r="L17" i="53"/>
  <c r="N20" i="53" s="1"/>
  <c r="C70" i="6"/>
  <c r="N87" i="6"/>
  <c r="R92" i="6" s="1"/>
  <c r="D49" i="2"/>
  <c r="N48" i="2"/>
  <c r="AA48" i="2"/>
  <c r="D88" i="2"/>
  <c r="T87" i="2"/>
  <c r="L24" i="33"/>
  <c r="B25" i="33"/>
  <c r="J63" i="67" l="1"/>
  <c r="C8" i="65"/>
  <c r="L9" i="65" s="1"/>
  <c r="C9" i="65"/>
  <c r="C82" i="6"/>
  <c r="C78" i="6"/>
  <c r="C6" i="28"/>
  <c r="C12" i="28" s="1"/>
  <c r="C4" i="28"/>
  <c r="S127" i="37"/>
  <c r="W68" i="37"/>
  <c r="S69" i="37" s="1"/>
  <c r="U70" i="37" s="1"/>
  <c r="C96" i="6"/>
  <c r="C93" i="6"/>
  <c r="AM401" i="60"/>
  <c r="AS72" i="58"/>
  <c r="AI401" i="60"/>
  <c r="AK401" i="60"/>
  <c r="AO401" i="60"/>
  <c r="M396" i="60"/>
  <c r="AB46" i="2"/>
  <c r="R58" i="33" s="1"/>
  <c r="D89" i="2"/>
  <c r="T88" i="2"/>
  <c r="N49" i="2"/>
  <c r="AL47" i="2" s="1"/>
  <c r="AA49" i="2"/>
  <c r="AM47" i="2" s="1"/>
  <c r="D50" i="2"/>
  <c r="B26" i="33"/>
  <c r="L25" i="33"/>
  <c r="L21" i="53" l="1"/>
  <c r="N26" i="53" s="1"/>
  <c r="N29" i="53" s="1"/>
  <c r="AG401" i="60"/>
  <c r="O399" i="60"/>
  <c r="E51" i="60"/>
  <c r="E53" i="60" s="1"/>
  <c r="J18" i="14"/>
  <c r="J20" i="14" s="1"/>
  <c r="H23" i="40"/>
  <c r="H25" i="40" s="1"/>
  <c r="H27" i="40" s="1"/>
  <c r="D51" i="2"/>
  <c r="AA50" i="2"/>
  <c r="D90" i="2"/>
  <c r="T89" i="2"/>
  <c r="L26" i="33"/>
  <c r="B27" i="33"/>
  <c r="H59" i="60" l="1"/>
  <c r="B59" i="60"/>
  <c r="H63" i="60" s="1"/>
  <c r="O118" i="33"/>
  <c r="M102" i="33"/>
  <c r="P69" i="33"/>
  <c r="P68" i="33"/>
  <c r="M88" i="33"/>
  <c r="L51" i="28"/>
  <c r="L40" i="28"/>
  <c r="D28" i="28"/>
  <c r="U22" i="28" s="1"/>
  <c r="O111" i="33"/>
  <c r="J26" i="28"/>
  <c r="D31" i="28"/>
  <c r="T90" i="2"/>
  <c r="D91" i="2"/>
  <c r="D52" i="2"/>
  <c r="AA51" i="2"/>
  <c r="B28" i="33"/>
  <c r="L27" i="33"/>
  <c r="J30" i="28" l="1"/>
  <c r="J32" i="28" s="1"/>
  <c r="L36" i="28" s="1"/>
  <c r="U21" i="28"/>
  <c r="D92" i="2"/>
  <c r="T91" i="2"/>
  <c r="F92" i="2" s="1"/>
  <c r="D53" i="2"/>
  <c r="AA52" i="2"/>
  <c r="L28" i="33"/>
  <c r="B29" i="33"/>
  <c r="N53" i="2" l="1"/>
  <c r="AL52" i="2" s="1"/>
  <c r="D54" i="2"/>
  <c r="AA53" i="2"/>
  <c r="AM52" i="2" s="1"/>
  <c r="D93" i="2"/>
  <c r="AA92" i="2"/>
  <c r="F93" i="2" s="1"/>
  <c r="B30" i="33"/>
  <c r="L29" i="33"/>
  <c r="AA93" i="2" l="1"/>
  <c r="D94" i="2"/>
  <c r="AA54" i="2"/>
  <c r="D55" i="2"/>
  <c r="L30" i="33"/>
  <c r="B31" i="33"/>
  <c r="D56" i="2" l="1"/>
  <c r="AA55" i="2"/>
  <c r="F70" i="2" s="1"/>
  <c r="D95" i="2"/>
  <c r="AA94" i="2"/>
  <c r="T62" i="23"/>
  <c r="L31" i="33"/>
  <c r="B32" i="33"/>
  <c r="AA95" i="2" l="1"/>
  <c r="D96" i="2"/>
  <c r="D57" i="2"/>
  <c r="T57" i="2" s="1"/>
  <c r="T56" i="2"/>
  <c r="F69" i="2" s="1"/>
  <c r="B33" i="33"/>
  <c r="L32" i="33"/>
  <c r="D97" i="2" l="1"/>
  <c r="D99" i="2" s="1"/>
  <c r="D100" i="2" s="1"/>
  <c r="AA96" i="2"/>
  <c r="L33" i="33"/>
  <c r="B34" i="33"/>
  <c r="AA99" i="2" l="1"/>
  <c r="AA97" i="2"/>
  <c r="AA98" i="2"/>
  <c r="L34" i="33"/>
  <c r="B35" i="33"/>
  <c r="AA100" i="2" l="1"/>
  <c r="D101" i="2"/>
  <c r="F101" i="2"/>
  <c r="L35" i="33"/>
  <c r="B36" i="33"/>
  <c r="AA101" i="2" l="1"/>
  <c r="D102" i="2"/>
  <c r="P204" i="46"/>
  <c r="E210" i="46" s="1"/>
  <c r="P209" i="46" s="1"/>
  <c r="L36" i="33"/>
  <c r="B37" i="33"/>
  <c r="D103" i="2" l="1"/>
  <c r="T102" i="2"/>
  <c r="E208" i="46"/>
  <c r="L37" i="33"/>
  <c r="B38" i="33"/>
  <c r="T103" i="2" l="1"/>
  <c r="D104" i="2"/>
  <c r="L38" i="33"/>
  <c r="B39" i="33"/>
  <c r="T104" i="2" l="1"/>
  <c r="N105" i="2"/>
  <c r="D106" i="2"/>
  <c r="L39" i="33"/>
  <c r="B40" i="33"/>
  <c r="T106" i="2" l="1"/>
  <c r="D107" i="2"/>
  <c r="B41" i="33"/>
  <c r="L40" i="33"/>
  <c r="T107" i="2" l="1"/>
  <c r="D108" i="2"/>
  <c r="B44" i="33"/>
  <c r="L42" i="33"/>
  <c r="D109" i="2" l="1"/>
  <c r="T108" i="2"/>
  <c r="B50" i="33"/>
  <c r="L44" i="33"/>
  <c r="T109" i="2" l="1"/>
  <c r="D110" i="2"/>
  <c r="L51" i="33"/>
  <c r="B52" i="33"/>
  <c r="C70" i="33" l="1"/>
  <c r="D57" i="33"/>
  <c r="E56" i="33"/>
  <c r="D111" i="2"/>
  <c r="T110" i="2"/>
  <c r="L55" i="33"/>
  <c r="B58" i="33"/>
  <c r="T111" i="2" l="1"/>
  <c r="D112" i="2"/>
  <c r="L58" i="33"/>
  <c r="C59" i="33" s="1"/>
  <c r="B59" i="33"/>
  <c r="D113" i="2" l="1"/>
  <c r="T112" i="2"/>
  <c r="F113" i="2" s="1"/>
  <c r="B60" i="33"/>
  <c r="L59" i="33"/>
  <c r="D114" i="2" l="1"/>
  <c r="AA113" i="2"/>
  <c r="Y119" i="2" s="1"/>
  <c r="F114" i="2"/>
  <c r="L62" i="33"/>
  <c r="B63" i="33"/>
  <c r="AA114" i="2" l="1"/>
  <c r="D115" i="2"/>
  <c r="L63" i="33"/>
  <c r="B70" i="33"/>
  <c r="C123" i="33" s="1"/>
  <c r="F118" i="2" l="1"/>
  <c r="F115" i="2"/>
  <c r="AA115" i="2"/>
  <c r="D118" i="2"/>
  <c r="C124" i="33"/>
  <c r="B72" i="33"/>
  <c r="L75" i="33" s="1"/>
  <c r="L71" i="33"/>
  <c r="T118" i="2" l="1"/>
  <c r="D119" i="2"/>
  <c r="B76" i="33"/>
  <c r="L77" i="33" s="1"/>
  <c r="AA119" i="2" l="1"/>
  <c r="D120" i="2"/>
  <c r="T120" i="2" s="1"/>
  <c r="B78" i="33"/>
  <c r="L81" i="33" s="1"/>
  <c r="B82" i="33" l="1"/>
  <c r="L82" i="33" l="1"/>
  <c r="C83" i="33" s="1"/>
  <c r="B83" i="33"/>
  <c r="B84" i="33" l="1"/>
  <c r="L83" i="33"/>
  <c r="C85" i="33" l="1"/>
  <c r="C84" i="33"/>
  <c r="L85" i="33"/>
  <c r="B86" i="33"/>
  <c r="L88" i="33" s="1"/>
  <c r="B90" i="33" l="1"/>
  <c r="L94" i="33" s="1"/>
  <c r="B95" i="33" l="1"/>
  <c r="L95" i="33" s="1"/>
  <c r="B96" i="33" l="1"/>
  <c r="L96" i="33" s="1"/>
  <c r="B97" i="33" l="1"/>
  <c r="L97" i="33" s="1"/>
  <c r="B98" i="33" l="1"/>
  <c r="L98" i="33" s="1"/>
  <c r="B99" i="33" l="1"/>
  <c r="L102" i="33" l="1"/>
  <c r="B104" i="33"/>
  <c r="L104" i="33" s="1"/>
  <c r="J110" i="33"/>
  <c r="B111" i="33"/>
  <c r="B112" i="33" l="1"/>
  <c r="J111" i="33"/>
  <c r="B113" i="33" l="1"/>
  <c r="L113" i="33" s="1"/>
  <c r="L112" i="33"/>
  <c r="B114" i="33" l="1"/>
  <c r="B116" i="33" s="1"/>
  <c r="J114" i="33" l="1"/>
  <c r="J116" i="33"/>
  <c r="B117" i="33"/>
  <c r="B119" i="33" l="1"/>
  <c r="B120" i="33" s="1"/>
  <c r="L117" i="33"/>
  <c r="L120" i="33" l="1"/>
  <c r="B121" i="33"/>
  <c r="L119" i="33"/>
  <c r="L121" i="33" l="1"/>
  <c r="B122" i="33"/>
  <c r="B123" i="33" l="1"/>
  <c r="L122" i="33"/>
  <c r="P144" i="46"/>
  <c r="C174" i="46" s="1"/>
  <c r="P233" i="46"/>
  <c r="P236" i="46"/>
  <c r="N198" i="46" l="1"/>
  <c r="N186" i="46"/>
  <c r="B125" i="33"/>
  <c r="L126" i="33" s="1"/>
  <c r="L124" i="33"/>
  <c r="P201" i="46"/>
  <c r="N192" i="46"/>
  <c r="N182" i="46"/>
  <c r="M405" i="60" l="1"/>
  <c r="AG424" i="60" l="1"/>
  <c r="AG425" i="60" s="1"/>
  <c r="AG427" i="60" s="1"/>
  <c r="M422" i="60"/>
  <c r="M419" i="60"/>
  <c r="B409" i="60"/>
  <c r="B411" i="60"/>
  <c r="AH426" i="60" l="1"/>
  <c r="AO426" i="60"/>
  <c r="AN426" i="60"/>
  <c r="AI426" i="60"/>
  <c r="AM426" i="60"/>
  <c r="AL426" i="60"/>
  <c r="AK426" i="60"/>
  <c r="AJ426" i="60"/>
  <c r="B421" i="60"/>
  <c r="L422" i="60" s="1"/>
  <c r="B418" i="60"/>
  <c r="L419" i="60" s="1"/>
  <c r="AM428" i="60" l="1"/>
  <c r="AO428" i="60"/>
  <c r="AK428" i="60"/>
  <c r="AI428" i="60"/>
  <c r="B424" i="60"/>
  <c r="B426" i="60"/>
  <c r="AG428" i="60" l="1"/>
  <c r="O426" i="60"/>
  <c r="O436" i="60" s="1"/>
  <c r="L61" i="15" l="1"/>
  <c r="Q61" i="15" s="1"/>
  <c r="L67" i="15" s="1"/>
  <c r="B134" i="60" l="1"/>
  <c r="H134" i="60"/>
  <c r="AD28" i="3"/>
  <c r="V34" i="3" s="1"/>
  <c r="V36" i="3"/>
  <c r="B142" i="60" l="1"/>
  <c r="H142" i="60"/>
  <c r="AD35" i="3"/>
  <c r="AH1" i="60" l="1"/>
  <c r="D154" i="60"/>
  <c r="AD37" i="3"/>
  <c r="AD36" i="3"/>
  <c r="AD39" i="3" l="1"/>
  <c r="AG39" i="3" l="1"/>
  <c r="AG41" i="3" s="1"/>
  <c r="AG42" i="3" s="1"/>
  <c r="AG43" i="3" s="1"/>
  <c r="L38" i="3" s="1"/>
  <c r="N40" i="3" s="1"/>
  <c r="AG38" i="3"/>
  <c r="C37" i="15" l="1"/>
  <c r="C39" i="15"/>
  <c r="Q48" i="15"/>
  <c r="G95" i="15" l="1"/>
  <c r="Q102" i="15" l="1"/>
  <c r="L102" i="15"/>
  <c r="L105" i="15" l="1"/>
  <c r="V65" i="2" s="1"/>
  <c r="AB69" i="2" l="1"/>
  <c r="J22" i="14"/>
  <c r="D25" i="14" s="1"/>
  <c r="D27" i="14" l="1"/>
  <c r="J33" i="14"/>
  <c r="J27" i="14"/>
  <c r="H36" i="14" s="1"/>
  <c r="D42" i="14" l="1"/>
  <c r="D39" i="14"/>
  <c r="J44" i="14" l="1"/>
  <c r="J42" i="14"/>
  <c r="J51" i="14"/>
  <c r="J45" i="14" l="1"/>
  <c r="J49" i="14" s="1"/>
  <c r="J46" i="14"/>
  <c r="J47" i="14" s="1"/>
  <c r="J48" i="14" s="1"/>
  <c r="J50" i="14" l="1"/>
  <c r="J52" i="14" s="1"/>
  <c r="AB53" i="2" s="1"/>
  <c r="AT40" i="58" s="1"/>
  <c r="M40" i="59"/>
  <c r="P49" i="59" s="1"/>
  <c r="AB55" i="2" l="1"/>
  <c r="AB70" i="2" s="1"/>
  <c r="O49" i="59"/>
  <c r="L30" i="15" l="1"/>
  <c r="B240" i="60"/>
  <c r="AA48" i="3"/>
  <c r="J17" i="3"/>
  <c r="L19" i="3" s="1"/>
  <c r="N20" i="3" s="1"/>
  <c r="D64" i="3"/>
  <c r="Y48" i="3"/>
  <c r="AA40" i="53"/>
  <c r="AA53" i="53" s="1"/>
  <c r="L41" i="53" s="1"/>
  <c r="L43" i="53" s="1"/>
  <c r="B12" i="60"/>
  <c r="M13" i="60" s="1"/>
  <c r="AB73" i="2"/>
  <c r="B15" i="60"/>
  <c r="M16" i="60" s="1"/>
  <c r="N34" i="46"/>
  <c r="N45" i="46" s="1"/>
  <c r="L7" i="64"/>
  <c r="L10" i="64"/>
  <c r="AG23" i="33"/>
  <c r="B9" i="60"/>
  <c r="M10" i="60" s="1"/>
  <c r="J57" i="3"/>
  <c r="L58" i="3" s="1"/>
  <c r="N59" i="3" s="1"/>
  <c r="AG26" i="33" s="1"/>
  <c r="D66" i="3"/>
  <c r="B18" i="60"/>
  <c r="M19" i="60" s="1"/>
  <c r="AG297" i="60"/>
  <c r="AG298" i="60" s="1"/>
  <c r="AG300" i="60" s="1"/>
  <c r="Z48" i="3"/>
  <c r="AU25" i="58"/>
  <c r="AU43" i="58" s="1"/>
  <c r="M20" i="58" s="1"/>
  <c r="AE22" i="58" s="1"/>
  <c r="AS70" i="58" s="1"/>
  <c r="AT74" i="58" s="1"/>
  <c r="AS74" i="58" s="1"/>
  <c r="AE27" i="58" s="1"/>
  <c r="E33" i="51"/>
  <c r="L18" i="65"/>
  <c r="L21" i="65" s="1"/>
  <c r="AR78" i="2" s="1"/>
  <c r="AR85" i="58" l="1"/>
  <c r="H21" i="60"/>
  <c r="B31" i="60" s="1"/>
  <c r="A179" i="60" s="1"/>
  <c r="K183" i="60" s="1"/>
  <c r="K212" i="60" s="1"/>
  <c r="K226" i="60" s="1"/>
  <c r="AG270" i="60" s="1"/>
  <c r="AG271" i="60" s="1"/>
  <c r="AG273" i="60" s="1"/>
  <c r="AJ272" i="60" s="1"/>
  <c r="B21" i="60"/>
  <c r="N43" i="3"/>
  <c r="N42" i="3"/>
  <c r="N41" i="3"/>
  <c r="N45" i="3"/>
  <c r="N44" i="3"/>
  <c r="S14" i="64"/>
  <c r="S24" i="64" s="1"/>
  <c r="S23" i="64" s="1"/>
  <c r="S27" i="64" s="1"/>
  <c r="U30" i="64" s="1"/>
  <c r="U32" i="64" s="1"/>
  <c r="U35" i="64" s="1"/>
  <c r="U12" i="64"/>
  <c r="AG73" i="3"/>
  <c r="AG71" i="3"/>
  <c r="AK299" i="60"/>
  <c r="AN299" i="60"/>
  <c r="AH299" i="60"/>
  <c r="AI299" i="60"/>
  <c r="AM299" i="60"/>
  <c r="AJ299" i="60"/>
  <c r="AL299" i="60"/>
  <c r="AO299" i="60"/>
  <c r="E58" i="46"/>
  <c r="N59" i="46" s="1"/>
  <c r="P66" i="46" s="1"/>
  <c r="E60" i="46"/>
  <c r="P45" i="3"/>
  <c r="B243" i="60"/>
  <c r="M244" i="60" s="1"/>
  <c r="L244" i="60" s="1"/>
  <c r="M241" i="60"/>
  <c r="L241" i="60"/>
  <c r="B237" i="60"/>
  <c r="D31" i="58"/>
  <c r="Q62" i="58" s="1"/>
  <c r="D29" i="58"/>
  <c r="AQ85" i="58"/>
  <c r="AR74" i="58"/>
  <c r="AO77" i="58"/>
  <c r="AO76" i="58"/>
  <c r="U36" i="64" l="1"/>
  <c r="AB79" i="2" s="1"/>
  <c r="AM301" i="60"/>
  <c r="AE34" i="58"/>
  <c r="M37" i="58" s="1"/>
  <c r="AE37" i="58" s="1"/>
  <c r="V66" i="58"/>
  <c r="V61" i="58"/>
  <c r="V57" i="58"/>
  <c r="V58" i="58"/>
  <c r="V65" i="58"/>
  <c r="V60" i="58"/>
  <c r="V56" i="58"/>
  <c r="V50" i="58"/>
  <c r="V64" i="58"/>
  <c r="V59" i="58"/>
  <c r="V63" i="58"/>
  <c r="AI301" i="60"/>
  <c r="AG301" i="60" s="1"/>
  <c r="AO301" i="60"/>
  <c r="AK301" i="60"/>
  <c r="V86" i="3"/>
  <c r="E71" i="46"/>
  <c r="E78" i="46"/>
  <c r="V83" i="3"/>
  <c r="B246" i="60"/>
  <c r="H31" i="60"/>
  <c r="H35" i="60"/>
  <c r="AL272" i="60"/>
  <c r="AA56" i="58"/>
  <c r="AA64" i="58"/>
  <c r="AI272" i="60"/>
  <c r="AM272" i="60"/>
  <c r="AN272" i="60"/>
  <c r="AK272" i="60"/>
  <c r="AK274" i="60" s="1"/>
  <c r="AO272" i="60"/>
  <c r="AH272" i="60"/>
  <c r="M238" i="60"/>
  <c r="L238" i="60" s="1"/>
  <c r="AA61" i="58"/>
  <c r="Q60" i="58"/>
  <c r="Q61" i="58"/>
  <c r="Q57" i="58"/>
  <c r="Q55" i="58"/>
  <c r="V55" i="58" s="1"/>
  <c r="AA58" i="58"/>
  <c r="Q63" i="58"/>
  <c r="AA60" i="58"/>
  <c r="AA59" i="58"/>
  <c r="Q65" i="58"/>
  <c r="Q56" i="58"/>
  <c r="AA65" i="58"/>
  <c r="Q50" i="58"/>
  <c r="Q59" i="58"/>
  <c r="Q64" i="58"/>
  <c r="Q58" i="58"/>
  <c r="AA66" i="58"/>
  <c r="AA50" i="58"/>
  <c r="AA57" i="58"/>
  <c r="Q66" i="58"/>
  <c r="V62" i="58"/>
  <c r="AA62" i="58" s="1"/>
  <c r="AA63" i="58"/>
  <c r="AA55" i="58" l="1"/>
  <c r="AL68" i="58" s="1"/>
  <c r="AE67" i="58" s="1"/>
  <c r="AD90" i="3"/>
  <c r="AG86" i="3"/>
  <c r="AD88" i="3" s="1"/>
  <c r="AD93" i="3"/>
  <c r="A35" i="60"/>
  <c r="M247" i="60"/>
  <c r="L247" i="60"/>
  <c r="N98" i="46"/>
  <c r="P114" i="46"/>
  <c r="P77" i="46"/>
  <c r="P84" i="46"/>
  <c r="H71" i="46"/>
  <c r="P108" i="46"/>
  <c r="AO274" i="60"/>
  <c r="AM274" i="60"/>
  <c r="AI274" i="60"/>
  <c r="AG274" i="60" s="1"/>
  <c r="B249" i="60"/>
  <c r="H249" i="60"/>
  <c r="AE70" i="58" l="1"/>
  <c r="AE76" i="58" s="1"/>
  <c r="AB83" i="2" s="1"/>
  <c r="V97" i="3"/>
  <c r="AG107" i="3" s="1"/>
  <c r="N66" i="3" s="1"/>
  <c r="V100" i="3"/>
  <c r="AD100" i="3" s="1"/>
  <c r="AD102" i="3" s="1"/>
  <c r="AG104" i="3" s="1"/>
  <c r="AC25" i="33" s="1"/>
  <c r="AC27" i="33" s="1"/>
  <c r="E120" i="46"/>
  <c r="E118" i="46"/>
  <c r="P119" i="46" s="1"/>
  <c r="V89" i="2" s="1"/>
  <c r="A256" i="60"/>
  <c r="H256" i="60" s="1"/>
  <c r="AI1" i="60" s="1"/>
  <c r="AE71" i="58"/>
  <c r="V108" i="2" s="1"/>
  <c r="AE73" i="58" l="1"/>
  <c r="AE74" i="58"/>
  <c r="AG106" i="3"/>
  <c r="B264" i="60"/>
  <c r="AS78" i="2"/>
  <c r="AS76" i="2"/>
  <c r="P9" i="3"/>
  <c r="AR76" i="2"/>
  <c r="N34" i="53" l="1"/>
  <c r="N36" i="53" s="1"/>
  <c r="N39" i="53" s="1"/>
  <c r="N44" i="53" s="1"/>
  <c r="N46" i="53" s="1"/>
  <c r="AI102" i="2" s="1"/>
  <c r="AB77" i="2"/>
  <c r="L270" i="60"/>
  <c r="K268" i="60"/>
  <c r="AM79" i="2"/>
  <c r="P10" i="33" s="1"/>
  <c r="O12" i="33"/>
  <c r="U13" i="33"/>
  <c r="U11" i="33"/>
  <c r="AC11" i="33" s="1"/>
  <c r="AB100" i="2" l="1"/>
  <c r="U38" i="68"/>
  <c r="AX180" i="68"/>
  <c r="AX172" i="68"/>
  <c r="AX188" i="68"/>
  <c r="AB78" i="2"/>
  <c r="AB80" i="2" s="1"/>
  <c r="L100" i="2"/>
  <c r="K277" i="60"/>
  <c r="A1" i="60"/>
  <c r="B1" i="60"/>
  <c r="L37" i="28"/>
  <c r="M13" i="33"/>
  <c r="AC16" i="33"/>
  <c r="AC13" i="33"/>
  <c r="AC18" i="33"/>
  <c r="M19" i="33"/>
  <c r="I20" i="33" s="1"/>
  <c r="M18" i="33"/>
  <c r="M15" i="33"/>
  <c r="M16" i="33"/>
  <c r="P12" i="33"/>
  <c r="L45" i="28" l="1"/>
  <c r="AE19" i="28"/>
  <c r="BE191" i="68"/>
  <c r="AX189" i="68"/>
  <c r="AX190" i="68" s="1"/>
  <c r="AX191" i="68" s="1"/>
  <c r="BD191" i="68"/>
  <c r="BF191" i="68"/>
  <c r="BC191" i="68"/>
  <c r="AN20" i="28"/>
  <c r="BF175" i="68"/>
  <c r="AX173" i="68"/>
  <c r="AX174" i="68" s="1"/>
  <c r="AX175" i="68" s="1"/>
  <c r="BD175" i="68"/>
  <c r="BE175" i="68"/>
  <c r="BC175" i="68"/>
  <c r="BD183" i="68"/>
  <c r="BE183" i="68"/>
  <c r="BF183" i="68"/>
  <c r="BC183" i="68"/>
  <c r="AX181" i="68"/>
  <c r="AX182" i="68" s="1"/>
  <c r="AX183" i="68" s="1"/>
  <c r="AQ84" i="2"/>
  <c r="E34" i="51"/>
  <c r="R73" i="37"/>
  <c r="AB68" i="37"/>
  <c r="S73" i="37" s="1"/>
  <c r="U73" i="37" s="1"/>
  <c r="U68" i="37" s="1"/>
  <c r="S68" i="37" s="1"/>
  <c r="P134" i="37" s="1"/>
  <c r="L53" i="28"/>
  <c r="L42" i="28"/>
  <c r="L43" i="28" s="1"/>
  <c r="L44" i="28" s="1"/>
  <c r="L46" i="28" s="1"/>
  <c r="L47" i="28" s="1"/>
  <c r="T59" i="28"/>
  <c r="T60" i="28" s="1"/>
  <c r="T61" i="28" s="1"/>
  <c r="T62" i="28" s="1"/>
  <c r="A61" i="60"/>
  <c r="AG1" i="60"/>
  <c r="B281" i="60"/>
  <c r="M290" i="60"/>
  <c r="M293" i="60"/>
  <c r="B283" i="60"/>
  <c r="T50" i="28"/>
  <c r="AC20" i="33"/>
  <c r="AC29" i="33" s="1"/>
  <c r="P40" i="33"/>
  <c r="AK19" i="28" l="1"/>
  <c r="AN36" i="28"/>
  <c r="AN43" i="28"/>
  <c r="AN40" i="28"/>
  <c r="AN25" i="28"/>
  <c r="AN22" i="28"/>
  <c r="AN28" i="28"/>
  <c r="T40" i="28" s="1"/>
  <c r="Z43" i="28" s="1"/>
  <c r="AW87" i="2"/>
  <c r="AN30" i="28"/>
  <c r="T32" i="28" s="1"/>
  <c r="T34" i="28" s="1"/>
  <c r="T35" i="28" s="1"/>
  <c r="AX185" i="68"/>
  <c r="AX193" i="68"/>
  <c r="AX177" i="68"/>
  <c r="AQ85" i="2"/>
  <c r="AQ86" i="2" s="1"/>
  <c r="AQ87" i="2" s="1"/>
  <c r="AR87" i="2" s="1"/>
  <c r="AX87" i="2"/>
  <c r="AY87" i="2"/>
  <c r="AA62" i="28"/>
  <c r="L100" i="37"/>
  <c r="L81" i="37"/>
  <c r="P136" i="37"/>
  <c r="S103" i="37"/>
  <c r="N98" i="37"/>
  <c r="L87" i="37"/>
  <c r="P133" i="37"/>
  <c r="N90" i="37"/>
  <c r="P92" i="37"/>
  <c r="N88" i="37"/>
  <c r="L86" i="37"/>
  <c r="AV87" i="2"/>
  <c r="N101" i="37"/>
  <c r="W129" i="37" s="1"/>
  <c r="AC132" i="37" s="1"/>
  <c r="P79" i="37"/>
  <c r="L89" i="37"/>
  <c r="L96" i="37"/>
  <c r="P139" i="37"/>
  <c r="P93" i="37"/>
  <c r="L91" i="37"/>
  <c r="L99" i="37"/>
  <c r="L104" i="37"/>
  <c r="R68" i="37"/>
  <c r="AN81" i="2" s="1"/>
  <c r="N85" i="37"/>
  <c r="L84" i="37"/>
  <c r="L105" i="37"/>
  <c r="N102" i="37"/>
  <c r="P102" i="37" s="1"/>
  <c r="AB62" i="28"/>
  <c r="AY182" i="68"/>
  <c r="BA182" i="68"/>
  <c r="BB183" i="68"/>
  <c r="AZ182" i="68"/>
  <c r="BA183" i="68"/>
  <c r="AZ183" i="68"/>
  <c r="BB182" i="68"/>
  <c r="AY183" i="68"/>
  <c r="BB175" i="68"/>
  <c r="BB174" i="68"/>
  <c r="AZ175" i="68"/>
  <c r="BA174" i="68"/>
  <c r="AZ174" i="68"/>
  <c r="AY175" i="68"/>
  <c r="AY174" i="68"/>
  <c r="BA175" i="68"/>
  <c r="BB191" i="68"/>
  <c r="BA191" i="68"/>
  <c r="BB190" i="68"/>
  <c r="AZ191" i="68"/>
  <c r="BA190" i="68"/>
  <c r="AY191" i="68"/>
  <c r="AY190" i="68"/>
  <c r="AZ190" i="68"/>
  <c r="Y62" i="28"/>
  <c r="Z62" i="28"/>
  <c r="L54" i="28"/>
  <c r="L55" i="28" s="1"/>
  <c r="L56" i="28" s="1"/>
  <c r="L297" i="60"/>
  <c r="B295" i="60"/>
  <c r="B297" i="60"/>
  <c r="B292" i="60"/>
  <c r="L293" i="60" s="1"/>
  <c r="B289" i="60"/>
  <c r="L290" i="60" s="1"/>
  <c r="X61" i="28"/>
  <c r="W61" i="28"/>
  <c r="U62" i="28"/>
  <c r="U61" i="28"/>
  <c r="V62" i="28"/>
  <c r="V61" i="28"/>
  <c r="W62" i="28"/>
  <c r="X62" i="28"/>
  <c r="Z53" i="28"/>
  <c r="AB53" i="28"/>
  <c r="T51" i="28"/>
  <c r="T52" i="28" s="1"/>
  <c r="T53" i="28" s="1"/>
  <c r="AA53" i="28"/>
  <c r="Y53" i="28"/>
  <c r="M81" i="33"/>
  <c r="P41" i="33"/>
  <c r="M41" i="33" s="1"/>
  <c r="M42" i="33" s="1"/>
  <c r="U38" i="33"/>
  <c r="U40" i="33"/>
  <c r="V40" i="28" l="1"/>
  <c r="X40" i="28"/>
  <c r="W40" i="28"/>
  <c r="AB43" i="28"/>
  <c r="Y43" i="28"/>
  <c r="T42" i="28"/>
  <c r="T43" i="28" s="1"/>
  <c r="AA43" i="28"/>
  <c r="T41" i="28"/>
  <c r="U40" i="28"/>
  <c r="AQ89" i="2"/>
  <c r="Z35" i="28"/>
  <c r="T33" i="28"/>
  <c r="AB35" i="28"/>
  <c r="AA35" i="28"/>
  <c r="Y35" i="28"/>
  <c r="AT87" i="2"/>
  <c r="AU87" i="2"/>
  <c r="AS87" i="2"/>
  <c r="T64" i="28"/>
  <c r="N67" i="28" s="1"/>
  <c r="AX176" i="68"/>
  <c r="AX192" i="68"/>
  <c r="W131" i="37"/>
  <c r="W132" i="37" s="1"/>
  <c r="Z132" i="37" s="1"/>
  <c r="AX184" i="68"/>
  <c r="AD132" i="37"/>
  <c r="S102" i="37"/>
  <c r="P116" i="37" s="1"/>
  <c r="AB132" i="37"/>
  <c r="W130" i="37"/>
  <c r="AE132" i="37"/>
  <c r="W139" i="37"/>
  <c r="AD142" i="37" s="1"/>
  <c r="M90" i="33"/>
  <c r="M91" i="33" s="1"/>
  <c r="L307" i="60"/>
  <c r="O440" i="60" s="1"/>
  <c r="V104" i="2" s="1"/>
  <c r="T63" i="28"/>
  <c r="T55" i="28"/>
  <c r="N57" i="28"/>
  <c r="L58" i="28"/>
  <c r="L59" i="28" s="1"/>
  <c r="N60" i="28" s="1"/>
  <c r="V52" i="28"/>
  <c r="W53" i="28"/>
  <c r="U52" i="28"/>
  <c r="V53" i="28"/>
  <c r="X52" i="28"/>
  <c r="U53" i="28"/>
  <c r="W52" i="28"/>
  <c r="X53" i="28"/>
  <c r="T45" i="28"/>
  <c r="AC44" i="33"/>
  <c r="U51" i="33" s="1"/>
  <c r="AC40" i="33"/>
  <c r="V42" i="28"/>
  <c r="V43" i="28"/>
  <c r="U42" i="28"/>
  <c r="V35" i="28"/>
  <c r="W34" i="28"/>
  <c r="U34" i="28"/>
  <c r="W35" i="28"/>
  <c r="X35" i="28"/>
  <c r="U35" i="28"/>
  <c r="V34" i="28"/>
  <c r="X34" i="28"/>
  <c r="AG49" i="33"/>
  <c r="X42" i="28" l="1"/>
  <c r="U43" i="28"/>
  <c r="M94" i="33"/>
  <c r="P93" i="33"/>
  <c r="X43" i="28"/>
  <c r="W43" i="28"/>
  <c r="W42" i="28"/>
  <c r="M109" i="33"/>
  <c r="M95" i="33"/>
  <c r="M104" i="33" s="1"/>
  <c r="K110" i="33" s="1"/>
  <c r="K111" i="33" s="1"/>
  <c r="T37" i="28"/>
  <c r="AQ88" i="2"/>
  <c r="AB81" i="2" s="1"/>
  <c r="O55" i="59" s="1"/>
  <c r="S118" i="37"/>
  <c r="X131" i="37"/>
  <c r="L110" i="37"/>
  <c r="N115" i="37"/>
  <c r="Z131" i="37"/>
  <c r="X132" i="37"/>
  <c r="Y131" i="37"/>
  <c r="AA131" i="37"/>
  <c r="AA132" i="37"/>
  <c r="Y132" i="37"/>
  <c r="AB105" i="2"/>
  <c r="U39" i="68"/>
  <c r="W134" i="37"/>
  <c r="L117" i="37"/>
  <c r="L114" i="37"/>
  <c r="N106" i="37"/>
  <c r="L112" i="37"/>
  <c r="S117" i="37"/>
  <c r="P127" i="37" s="1"/>
  <c r="L113" i="37"/>
  <c r="W140" i="37"/>
  <c r="AE142" i="37"/>
  <c r="W141" i="37"/>
  <c r="W142" i="37" s="1"/>
  <c r="AA141" i="37" s="1"/>
  <c r="AB142" i="37"/>
  <c r="AC142" i="37"/>
  <c r="P92" i="33"/>
  <c r="C1" i="60"/>
  <c r="AB113" i="2"/>
  <c r="E36" i="51" s="1"/>
  <c r="AB104" i="2"/>
  <c r="T54" i="28"/>
  <c r="N63" i="28" s="1"/>
  <c r="N64" i="28" s="1"/>
  <c r="N70" i="28" s="1"/>
  <c r="AC117" i="33"/>
  <c r="AA105" i="33"/>
  <c r="AC99" i="33"/>
  <c r="AA101" i="33"/>
  <c r="V96" i="33"/>
  <c r="T36" i="28"/>
  <c r="T44" i="28"/>
  <c r="U49" i="33"/>
  <c r="W144" i="37" l="1"/>
  <c r="W133" i="37"/>
  <c r="N119" i="37"/>
  <c r="P131" i="37"/>
  <c r="Z141" i="37"/>
  <c r="X142" i="37"/>
  <c r="S121" i="37"/>
  <c r="Y141" i="37"/>
  <c r="L122" i="37"/>
  <c r="Y142" i="37"/>
  <c r="N130" i="37"/>
  <c r="N126" i="37"/>
  <c r="AA142" i="37"/>
  <c r="Z142" i="37"/>
  <c r="P120" i="37"/>
  <c r="S128" i="37"/>
  <c r="J124" i="37"/>
  <c r="L125" i="37"/>
  <c r="J123" i="37"/>
  <c r="X141" i="37"/>
  <c r="N129" i="37"/>
  <c r="AA107" i="33"/>
  <c r="AC108" i="33" s="1"/>
  <c r="AC113" i="33" s="1"/>
  <c r="AC119" i="33" s="1"/>
  <c r="M44" i="33" s="1"/>
  <c r="AC49" i="33"/>
  <c r="AC51" i="33"/>
  <c r="AC53" i="33" s="1"/>
  <c r="AC55" i="33" s="1"/>
  <c r="W143" i="37" l="1"/>
  <c r="R57" i="33"/>
  <c r="M62" i="33" s="1"/>
  <c r="M51" i="33"/>
  <c r="M71" i="33" s="1"/>
  <c r="U61" i="33"/>
  <c r="U59" i="33"/>
  <c r="U71" i="33" l="1"/>
  <c r="U69" i="33"/>
  <c r="P2" i="33" s="1"/>
  <c r="AC65" i="33"/>
  <c r="AC61" i="33"/>
  <c r="AC126" i="33"/>
  <c r="AI82" i="2" l="1"/>
  <c r="AJ83" i="2"/>
  <c r="AA130" i="33"/>
  <c r="AC133" i="33" s="1"/>
  <c r="AC128" i="33"/>
  <c r="M124" i="33"/>
  <c r="O109" i="33"/>
  <c r="M96" i="33"/>
  <c r="M97" i="33" s="1"/>
  <c r="M82" i="33"/>
  <c r="M83" i="33" s="1"/>
  <c r="M85" i="33" s="1"/>
  <c r="M2" i="33"/>
  <c r="AC134" i="33" l="1"/>
  <c r="AE148" i="33"/>
  <c r="AE147" i="33"/>
  <c r="AC147" i="33" s="1"/>
  <c r="M98" i="33"/>
  <c r="M112" i="33" s="1"/>
  <c r="M113" i="33" s="1"/>
  <c r="AE141" i="33" l="1"/>
  <c r="AE140" i="33"/>
  <c r="K114" i="33"/>
  <c r="O115" i="33" s="1"/>
  <c r="M119" i="33" l="1"/>
  <c r="M120" i="33" s="1"/>
  <c r="M121" i="33" s="1"/>
  <c r="K116" i="33"/>
  <c r="P118" i="33"/>
  <c r="P115" i="33"/>
  <c r="M117" i="33"/>
  <c r="M122" i="33" l="1"/>
  <c r="M126" i="33" s="1"/>
  <c r="AC140" i="33" s="1"/>
  <c r="AC148" i="33" s="1"/>
  <c r="AL7" i="2" l="1"/>
  <c r="B14" i="3"/>
  <c r="B9" i="52" l="1"/>
  <c r="B11" i="68"/>
  <c r="C2" i="40"/>
  <c r="C2" i="30"/>
  <c r="B2" i="1"/>
  <c r="B9" i="53"/>
  <c r="B9" i="62"/>
  <c r="B4" i="48"/>
  <c r="B10" i="58"/>
  <c r="B120" i="59"/>
  <c r="B64" i="49"/>
  <c r="B11" i="43"/>
  <c r="B11" i="50"/>
  <c r="B10" i="33"/>
  <c r="B11" i="49"/>
  <c r="B64" i="43"/>
  <c r="B8" i="47"/>
  <c r="B8" i="59"/>
  <c r="B64" i="50"/>
  <c r="B8" i="6"/>
  <c r="B9" i="4"/>
  <c r="AM7" i="2"/>
  <c r="B72" i="23" s="1"/>
  <c r="B27" i="1" l="1"/>
  <c r="C7" i="40"/>
  <c r="C23" i="30"/>
  <c r="O59" i="59"/>
  <c r="V86" i="2" s="1"/>
  <c r="M57" i="59"/>
  <c r="N90" i="46" l="1"/>
  <c r="AB92" i="2"/>
  <c r="M55" i="33"/>
  <c r="M59" i="33" s="1"/>
  <c r="M63" i="33" s="1"/>
  <c r="P56" i="33" s="1"/>
  <c r="M57" i="33" l="1"/>
  <c r="M56" i="33"/>
  <c r="AB82" i="2"/>
  <c r="AB84" i="2" s="1"/>
  <c r="AB93" i="2" l="1"/>
  <c r="O57" i="59"/>
  <c r="AB101" i="2" l="1"/>
  <c r="E35" i="51" s="1"/>
  <c r="E39" i="51" s="1"/>
  <c r="U36" i="68"/>
  <c r="V182" i="68" s="1"/>
  <c r="V185" i="68" s="1"/>
  <c r="V189" i="68" s="1"/>
  <c r="V195" i="68" s="1"/>
  <c r="R182" i="68" l="1"/>
  <c r="R185" i="68" s="1"/>
  <c r="R189" i="68" s="1"/>
  <c r="R195" i="68" s="1"/>
  <c r="T182" i="68"/>
  <c r="T185" i="68" s="1"/>
  <c r="T189" i="68" s="1"/>
  <c r="T195" i="68" s="1"/>
  <c r="U41" i="68"/>
  <c r="V42" i="68" s="1"/>
  <c r="P182" i="68"/>
  <c r="AB114" i="2"/>
  <c r="G37" i="51" s="1"/>
  <c r="AJ235" i="68"/>
  <c r="AJ218" i="68"/>
  <c r="P173" i="68" s="1"/>
  <c r="P174" i="68" s="1"/>
  <c r="U43" i="68" l="1"/>
  <c r="AB42" i="68"/>
  <c r="S42" i="68"/>
  <c r="B37" i="51"/>
  <c r="AB115" i="2"/>
  <c r="S117" i="2" s="1"/>
  <c r="AJ236" i="68"/>
  <c r="AJ241" i="68"/>
  <c r="U44" i="68" l="1"/>
  <c r="U47" i="68" s="1"/>
  <c r="U45" i="68" s="1"/>
  <c r="D65" i="68" s="1"/>
  <c r="B65" i="68" s="1"/>
  <c r="B66" i="68" s="1"/>
  <c r="S89" i="68"/>
  <c r="U93" i="68" s="1"/>
  <c r="AJ244" i="68"/>
  <c r="AJ246" i="68" s="1"/>
  <c r="AJ251" i="68" s="1"/>
  <c r="AX164" i="68" s="1"/>
  <c r="U46" i="68" l="1"/>
  <c r="V118" i="68" s="1"/>
  <c r="AA80" i="68"/>
  <c r="AA81" i="68"/>
  <c r="AA79" i="68"/>
  <c r="R118" i="68"/>
  <c r="T118" i="68"/>
  <c r="P118" i="68"/>
  <c r="T190" i="68"/>
  <c r="V190" i="68"/>
  <c r="P190" i="68"/>
  <c r="P193" i="68" s="1"/>
  <c r="R190" i="68"/>
  <c r="BF167" i="68"/>
  <c r="AX165" i="68"/>
  <c r="AX166" i="68" s="1"/>
  <c r="AX167" i="68" s="1"/>
  <c r="AZ166" i="68" s="1"/>
  <c r="BE167" i="68"/>
  <c r="BC167" i="68"/>
  <c r="BD167" i="68"/>
  <c r="U87" i="68" l="1"/>
  <c r="U96" i="68" s="1"/>
  <c r="AX169" i="68"/>
  <c r="AY166" i="68"/>
  <c r="BB167" i="68"/>
  <c r="AZ167" i="68"/>
  <c r="BB166" i="68"/>
  <c r="BA167" i="68"/>
  <c r="BA166" i="68"/>
  <c r="AY167" i="68"/>
  <c r="U104" i="68" l="1"/>
  <c r="U98" i="68"/>
  <c r="AX168" i="68"/>
  <c r="P175" i="68" s="1"/>
  <c r="P180" i="68" s="1"/>
  <c r="P185" i="68" s="1"/>
  <c r="P189" i="68" s="1"/>
  <c r="P195" i="68" s="1"/>
  <c r="R192" i="68" s="1"/>
  <c r="R193" i="68" s="1"/>
  <c r="T192" i="68" s="1"/>
  <c r="T193" i="68" s="1"/>
  <c r="V192" i="68" s="1"/>
  <c r="V193" i="68" s="1"/>
  <c r="U108" i="68" l="1"/>
  <c r="S67" i="68"/>
  <c r="W282" i="68" l="1"/>
  <c r="W285" i="68"/>
  <c r="W47" i="68"/>
  <c r="D48" i="68" s="1"/>
  <c r="C2" i="68" l="1"/>
  <c r="D50" i="68"/>
  <c r="W50" i="68" s="1"/>
  <c r="W295" i="68"/>
  <c r="W289" i="68"/>
  <c r="S123" i="68" l="1"/>
  <c r="W123" i="68"/>
  <c r="W51" i="68"/>
  <c r="B51" i="68" s="1"/>
  <c r="W54" i="68"/>
  <c r="B52" i="68" s="1"/>
  <c r="L121" i="68" l="1"/>
  <c r="P133" i="68" s="1"/>
  <c r="P141" i="68" s="1"/>
  <c r="U123" i="68"/>
  <c r="L126" i="68" s="1"/>
  <c r="R128" i="68" l="1"/>
  <c r="R129" i="68" s="1"/>
  <c r="P138" i="68"/>
  <c r="P217" i="68" s="1"/>
  <c r="R131" i="68" l="1"/>
  <c r="R133" i="68" s="1"/>
  <c r="R141" i="68" s="1"/>
  <c r="P220" i="68"/>
  <c r="P219" i="68" s="1"/>
  <c r="P218" i="68" s="1"/>
  <c r="R135" i="68" l="1"/>
  <c r="R138" i="68"/>
  <c r="R217" i="68" s="1"/>
  <c r="T128" i="68"/>
  <c r="T129" i="68" s="1"/>
  <c r="AX333" i="68"/>
  <c r="P243" i="68" s="1"/>
  <c r="AW333" i="68"/>
  <c r="P233" i="68" s="1"/>
  <c r="AY333" i="68"/>
  <c r="P253" i="68" s="1"/>
  <c r="P249" i="68" s="1"/>
  <c r="AZ333" i="68"/>
  <c r="P263" i="68" s="1"/>
  <c r="P259" i="68" s="1"/>
  <c r="Q248" i="68"/>
  <c r="Q228" i="68"/>
  <c r="Q238" i="68"/>
  <c r="Q258" i="68"/>
  <c r="BD327" i="68" l="1"/>
  <c r="BB283" i="68"/>
  <c r="BA293" i="68"/>
  <c r="BC282" i="68"/>
  <c r="BB292" i="68"/>
  <c r="BA302" i="68"/>
  <c r="BD289" i="68"/>
  <c r="BC299" i="68"/>
  <c r="BB309" i="68"/>
  <c r="BA319" i="68"/>
  <c r="BD306" i="68"/>
  <c r="BC316" i="68"/>
  <c r="BB326" i="68"/>
  <c r="BD323" i="68"/>
  <c r="BC279" i="68"/>
  <c r="BA289" i="68"/>
  <c r="BC286" i="68"/>
  <c r="BB296" i="68"/>
  <c r="BA306" i="68"/>
  <c r="BD293" i="68"/>
  <c r="BC303" i="68"/>
  <c r="BB313" i="68"/>
  <c r="BA323" i="68"/>
  <c r="BC288" i="68"/>
  <c r="BB298" i="68"/>
  <c r="BC281" i="68"/>
  <c r="BB291" i="68"/>
  <c r="BA301" i="68"/>
  <c r="BD280" i="68"/>
  <c r="BC290" i="68"/>
  <c r="BB300" i="68"/>
  <c r="BA310" i="68"/>
  <c r="BD297" i="68"/>
  <c r="BC307" i="68"/>
  <c r="BB317" i="68"/>
  <c r="BA327" i="68"/>
  <c r="BD314" i="68"/>
  <c r="BC324" i="68"/>
  <c r="BA280" i="68"/>
  <c r="BD331" i="68"/>
  <c r="BB287" i="68"/>
  <c r="BA297" i="68"/>
  <c r="BD284" i="68"/>
  <c r="BC294" i="68"/>
  <c r="BB304" i="68"/>
  <c r="BA314" i="68"/>
  <c r="BD301" i="68"/>
  <c r="BC311" i="68"/>
  <c r="BB321" i="68"/>
  <c r="BA331" i="68"/>
  <c r="BD286" i="68"/>
  <c r="BC296" i="68"/>
  <c r="BB306" i="68"/>
  <c r="BC289" i="68"/>
  <c r="BB299" i="68"/>
  <c r="BA309" i="68"/>
  <c r="BD288" i="68"/>
  <c r="BC298" i="68"/>
  <c r="BB308" i="68"/>
  <c r="BA318" i="68"/>
  <c r="BD305" i="68"/>
  <c r="BC315" i="68"/>
  <c r="BB325" i="68"/>
  <c r="BD322" i="68"/>
  <c r="BC332" i="68"/>
  <c r="BA288" i="68"/>
  <c r="BC285" i="68"/>
  <c r="BB295" i="68"/>
  <c r="BA305" i="68"/>
  <c r="BD292" i="68"/>
  <c r="BC302" i="68"/>
  <c r="BB312" i="68"/>
  <c r="BA322" i="68"/>
  <c r="BD309" i="68"/>
  <c r="BC319" i="68"/>
  <c r="BB329" i="68"/>
  <c r="BB314" i="68"/>
  <c r="BD294" i="68"/>
  <c r="BC304" i="68"/>
  <c r="BB322" i="68"/>
  <c r="BA324" i="68"/>
  <c r="BD287" i="68"/>
  <c r="BC297" i="68"/>
  <c r="BB307" i="68"/>
  <c r="BA317" i="68"/>
  <c r="BD296" i="68"/>
  <c r="BC306" i="68"/>
  <c r="BB316" i="68"/>
  <c r="BA326" i="68"/>
  <c r="BD313" i="68"/>
  <c r="BC323" i="68"/>
  <c r="BB279" i="68"/>
  <c r="BD330" i="68"/>
  <c r="BB286" i="68"/>
  <c r="BA296" i="68"/>
  <c r="BD283" i="68"/>
  <c r="BC293" i="68"/>
  <c r="BB303" i="68"/>
  <c r="BA313" i="68"/>
  <c r="BD300" i="68"/>
  <c r="BC310" i="68"/>
  <c r="BB320" i="68"/>
  <c r="BA330" i="68"/>
  <c r="BD317" i="68"/>
  <c r="BC327" i="68"/>
  <c r="BA283" i="68"/>
  <c r="BA300" i="68"/>
  <c r="BD302" i="68"/>
  <c r="BC312" i="68"/>
  <c r="BB330" i="68"/>
  <c r="BA308" i="68"/>
  <c r="BD295" i="68"/>
  <c r="BC305" i="68"/>
  <c r="BB315" i="68"/>
  <c r="BA325" i="68"/>
  <c r="BD304" i="68"/>
  <c r="BC314" i="68"/>
  <c r="BB324" i="68"/>
  <c r="BD321" i="68"/>
  <c r="BC331" i="68"/>
  <c r="BA287" i="68"/>
  <c r="BC284" i="68"/>
  <c r="BB294" i="68"/>
  <c r="BA304" i="68"/>
  <c r="BD291" i="68"/>
  <c r="BC301" i="68"/>
  <c r="BB311" i="68"/>
  <c r="BA321" i="68"/>
  <c r="BD308" i="68"/>
  <c r="BC318" i="68"/>
  <c r="BB328" i="68"/>
  <c r="BD325" i="68"/>
  <c r="BB281" i="68"/>
  <c r="BA291" i="68"/>
  <c r="BA316" i="68"/>
  <c r="BD310" i="68"/>
  <c r="BC320" i="68"/>
  <c r="BA284" i="68"/>
  <c r="BD303" i="68"/>
  <c r="BC313" i="68"/>
  <c r="BB323" i="68"/>
  <c r="BA279" i="68"/>
  <c r="BD312" i="68"/>
  <c r="BC322" i="68"/>
  <c r="BB332" i="68"/>
  <c r="BD329" i="68"/>
  <c r="BB285" i="68"/>
  <c r="BA295" i="68"/>
  <c r="BD282" i="68"/>
  <c r="BC292" i="68"/>
  <c r="BB302" i="68"/>
  <c r="BA312" i="68"/>
  <c r="BD299" i="68"/>
  <c r="BC309" i="68"/>
  <c r="BB319" i="68"/>
  <c r="BA329" i="68"/>
  <c r="BD316" i="68"/>
  <c r="BC326" i="68"/>
  <c r="BA282" i="68"/>
  <c r="BD279" i="68"/>
  <c r="BB289" i="68"/>
  <c r="BA299" i="68"/>
  <c r="BA332" i="68"/>
  <c r="BD318" i="68"/>
  <c r="BC328" i="68"/>
  <c r="BA292" i="68"/>
  <c r="BD311" i="68"/>
  <c r="BC321" i="68"/>
  <c r="BB331" i="68"/>
  <c r="BD320" i="68"/>
  <c r="BC330" i="68"/>
  <c r="BA286" i="68"/>
  <c r="BC283" i="68"/>
  <c r="BB293" i="68"/>
  <c r="BA303" i="68"/>
  <c r="BD290" i="68"/>
  <c r="BC300" i="68"/>
  <c r="BB310" i="68"/>
  <c r="BA320" i="68"/>
  <c r="BD307" i="68"/>
  <c r="BC317" i="68"/>
  <c r="BB327" i="68"/>
  <c r="BD324" i="68"/>
  <c r="BB280" i="68"/>
  <c r="BA290" i="68"/>
  <c r="BC287" i="68"/>
  <c r="BB297" i="68"/>
  <c r="BA307" i="68"/>
  <c r="BD326" i="68"/>
  <c r="BB282" i="68"/>
  <c r="BD319" i="68"/>
  <c r="BC329" i="68"/>
  <c r="BA285" i="68"/>
  <c r="BD328" i="68"/>
  <c r="BB284" i="68"/>
  <c r="BA294" i="68"/>
  <c r="BD281" i="68"/>
  <c r="BC291" i="68"/>
  <c r="BB301" i="68"/>
  <c r="BA311" i="68"/>
  <c r="BD298" i="68"/>
  <c r="BC308" i="68"/>
  <c r="BB318" i="68"/>
  <c r="BA328" i="68"/>
  <c r="BD315" i="68"/>
  <c r="BC325" i="68"/>
  <c r="BA281" i="68"/>
  <c r="BD332" i="68"/>
  <c r="BB288" i="68"/>
  <c r="BA298" i="68"/>
  <c r="BD285" i="68"/>
  <c r="BC295" i="68"/>
  <c r="BB305" i="68"/>
  <c r="BA315" i="68"/>
  <c r="BC280" i="68"/>
  <c r="BB290" i="68"/>
  <c r="T131" i="68"/>
  <c r="T133" i="68" s="1"/>
  <c r="T141" i="68" s="1"/>
  <c r="P239" i="68"/>
  <c r="P229" i="68"/>
  <c r="P222" i="68"/>
  <c r="P223" i="68" s="1"/>
  <c r="R220" i="68"/>
  <c r="R219" i="68" s="1"/>
  <c r="R218" i="68" s="1"/>
  <c r="T135" i="68" l="1"/>
  <c r="T138" i="68"/>
  <c r="T217" i="68" s="1"/>
  <c r="V128" i="68"/>
  <c r="V129" i="68" s="1"/>
  <c r="BD333" i="68"/>
  <c r="R263" i="68" s="1"/>
  <c r="BC333" i="68"/>
  <c r="R253" i="68" s="1"/>
  <c r="BA333" i="68"/>
  <c r="R233" i="68" s="1"/>
  <c r="BB333" i="68"/>
  <c r="R243" i="68" s="1"/>
  <c r="S238" i="68"/>
  <c r="S248" i="68"/>
  <c r="S228" i="68"/>
  <c r="S258" i="68"/>
  <c r="BG306" i="68" l="1"/>
  <c r="BF279" i="68"/>
  <c r="BF315" i="68"/>
  <c r="BF281" i="68"/>
  <c r="BF330" i="68"/>
  <c r="BG309" i="68"/>
  <c r="BE282" i="68"/>
  <c r="BG300" i="68"/>
  <c r="BF327" i="68"/>
  <c r="BG291" i="68"/>
  <c r="BF318" i="68"/>
  <c r="BF292" i="68"/>
  <c r="BE319" i="68"/>
  <c r="BG288" i="68"/>
  <c r="BE301" i="68"/>
  <c r="BG294" i="68"/>
  <c r="BF321" i="68"/>
  <c r="BE316" i="68"/>
  <c r="BG332" i="68"/>
  <c r="BE305" i="68"/>
  <c r="BF323" i="68"/>
  <c r="BF289" i="68"/>
  <c r="BE307" i="68"/>
  <c r="BG325" i="68"/>
  <c r="BG299" i="68"/>
  <c r="BG297" i="68"/>
  <c r="BF316" i="68"/>
  <c r="BG312" i="68"/>
  <c r="BE325" i="68"/>
  <c r="BG318" i="68"/>
  <c r="BE291" i="68"/>
  <c r="BG292" i="68"/>
  <c r="BF319" i="68"/>
  <c r="BG283" i="68"/>
  <c r="BF310" i="68"/>
  <c r="BF301" i="68"/>
  <c r="BE328" i="68"/>
  <c r="BF283" i="68"/>
  <c r="BE302" i="68"/>
  <c r="BG303" i="68"/>
  <c r="BF298" i="68"/>
  <c r="BF304" i="68"/>
  <c r="BE331" i="68"/>
  <c r="BG315" i="68"/>
  <c r="BE288" i="68"/>
  <c r="BF325" i="68"/>
  <c r="BG314" i="68"/>
  <c r="BG296" i="68"/>
  <c r="BF312" i="68"/>
  <c r="BF307" i="68"/>
  <c r="BE326" i="68"/>
  <c r="BG327" i="68"/>
  <c r="BF322" i="68"/>
  <c r="BG301" i="68"/>
  <c r="BF328" i="68"/>
  <c r="BF302" i="68"/>
  <c r="BE329" i="68"/>
  <c r="BF293" i="68"/>
  <c r="BE320" i="68"/>
  <c r="BF284" i="68"/>
  <c r="BE311" i="68"/>
  <c r="BG280" i="68"/>
  <c r="BE293" i="68"/>
  <c r="BG286" i="68"/>
  <c r="BF313" i="68"/>
  <c r="BE308" i="68"/>
  <c r="BF287" i="68"/>
  <c r="BE314" i="68"/>
  <c r="BG298" i="68"/>
  <c r="BF280" i="68"/>
  <c r="BE317" i="68"/>
  <c r="BG310" i="68"/>
  <c r="BE283" i="68"/>
  <c r="BE332" i="68"/>
  <c r="BG284" i="68"/>
  <c r="BF311" i="68"/>
  <c r="BF285" i="68"/>
  <c r="BE312" i="68"/>
  <c r="BG330" i="68"/>
  <c r="BE303" i="68"/>
  <c r="BG329" i="68"/>
  <c r="BE294" i="68"/>
  <c r="BG295" i="68"/>
  <c r="BF290" i="68"/>
  <c r="BF296" i="68"/>
  <c r="BE323" i="68"/>
  <c r="BG324" i="68"/>
  <c r="BE297" i="68"/>
  <c r="BG289" i="68"/>
  <c r="BF308" i="68"/>
  <c r="BG304" i="68"/>
  <c r="BE284" i="68"/>
  <c r="BE327" i="68"/>
  <c r="BG285" i="68"/>
  <c r="BG293" i="68"/>
  <c r="BF320" i="68"/>
  <c r="BF294" i="68"/>
  <c r="BE321" i="68"/>
  <c r="BG322" i="68"/>
  <c r="BE295" i="68"/>
  <c r="BG321" i="68"/>
  <c r="BE286" i="68"/>
  <c r="BG287" i="68"/>
  <c r="BF282" i="68"/>
  <c r="BE285" i="68"/>
  <c r="BF305" i="68"/>
  <c r="BE300" i="68"/>
  <c r="BG279" i="68"/>
  <c r="BE306" i="68"/>
  <c r="BG307" i="68"/>
  <c r="BE280" i="68"/>
  <c r="BF299" i="68"/>
  <c r="BE318" i="68"/>
  <c r="BG319" i="68"/>
  <c r="BF314" i="68"/>
  <c r="BF286" i="68"/>
  <c r="BE298" i="68"/>
  <c r="BF303" i="68"/>
  <c r="BE330" i="68"/>
  <c r="BG331" i="68"/>
  <c r="BE304" i="68"/>
  <c r="BG313" i="68"/>
  <c r="BF332" i="68"/>
  <c r="BG328" i="68"/>
  <c r="BF331" i="68"/>
  <c r="BF297" i="68"/>
  <c r="BE292" i="68"/>
  <c r="BF288" i="68"/>
  <c r="BE315" i="68"/>
  <c r="BG316" i="68"/>
  <c r="BE289" i="68"/>
  <c r="BG290" i="68"/>
  <c r="BF317" i="68"/>
  <c r="BE309" i="68"/>
  <c r="BG302" i="68"/>
  <c r="BF329" i="68"/>
  <c r="BE324" i="68"/>
  <c r="BE287" i="68"/>
  <c r="BF300" i="68"/>
  <c r="BG323" i="68"/>
  <c r="BE296" i="68"/>
  <c r="BG305" i="68"/>
  <c r="BF324" i="68"/>
  <c r="BG320" i="68"/>
  <c r="BE279" i="68"/>
  <c r="BG326" i="68"/>
  <c r="BE299" i="68"/>
  <c r="BG317" i="68"/>
  <c r="BE290" i="68"/>
  <c r="BG308" i="68"/>
  <c r="BE281" i="68"/>
  <c r="BG282" i="68"/>
  <c r="BF309" i="68"/>
  <c r="BF291" i="68"/>
  <c r="BE310" i="68"/>
  <c r="BG311" i="68"/>
  <c r="BF306" i="68"/>
  <c r="BF295" i="68"/>
  <c r="BE322" i="68"/>
  <c r="BE313" i="68"/>
  <c r="BF326" i="68"/>
  <c r="BG281" i="68"/>
  <c r="V131" i="68"/>
  <c r="V133" i="68" s="1"/>
  <c r="V141" i="68" s="1"/>
  <c r="R239" i="68"/>
  <c r="R249" i="68"/>
  <c r="R259" i="68"/>
  <c r="T220" i="68"/>
  <c r="T219" i="68" s="1"/>
  <c r="T218" i="68" s="1"/>
  <c r="R229" i="68"/>
  <c r="R222" i="68"/>
  <c r="R223" i="68" s="1"/>
  <c r="V138" i="68" l="1"/>
  <c r="V217" i="68" s="1"/>
  <c r="BF333" i="68"/>
  <c r="T253" i="68" s="1"/>
  <c r="BG333" i="68"/>
  <c r="T263" i="68" s="1"/>
  <c r="U238" i="68"/>
  <c r="U258" i="68"/>
  <c r="U248" i="68"/>
  <c r="BE333" i="68"/>
  <c r="T243" i="68" s="1"/>
  <c r="BH287" i="68" l="1"/>
  <c r="BH282" i="68"/>
  <c r="BH305" i="68"/>
  <c r="BH300" i="68"/>
  <c r="BH320" i="68"/>
  <c r="BH289" i="68"/>
  <c r="BH303" i="68"/>
  <c r="BH301" i="68"/>
  <c r="BH312" i="68"/>
  <c r="BH318" i="68"/>
  <c r="BH290" i="68"/>
  <c r="BH285" i="68"/>
  <c r="BH293" i="68"/>
  <c r="BH317" i="68"/>
  <c r="BH313" i="68"/>
  <c r="BH306" i="68"/>
  <c r="BH292" i="68"/>
  <c r="BH304" i="68"/>
  <c r="BH324" i="68"/>
  <c r="BH295" i="68"/>
  <c r="BH294" i="68"/>
  <c r="BH302" i="68"/>
  <c r="BH331" i="68"/>
  <c r="BH319" i="68"/>
  <c r="BH283" i="68"/>
  <c r="BH321" i="68"/>
  <c r="BH288" i="68"/>
  <c r="BH328" i="68"/>
  <c r="BH314" i="68"/>
  <c r="BH311" i="68"/>
  <c r="BH323" i="68"/>
  <c r="BH309" i="68"/>
  <c r="BH310" i="68"/>
  <c r="BH325" i="68"/>
  <c r="BH284" i="68"/>
  <c r="BH307" i="68"/>
  <c r="BH308" i="68"/>
  <c r="BH291" i="68"/>
  <c r="BH329" i="68"/>
  <c r="BH280" i="68"/>
  <c r="BH315" i="68"/>
  <c r="BH286" i="68"/>
  <c r="BH316" i="68"/>
  <c r="BH281" i="68"/>
  <c r="BH298" i="68"/>
  <c r="BH327" i="68"/>
  <c r="BH326" i="68"/>
  <c r="BH297" i="68"/>
  <c r="BH332" i="68"/>
  <c r="BH330" i="68"/>
  <c r="BH279" i="68"/>
  <c r="BH296" i="68"/>
  <c r="BH299" i="68"/>
  <c r="BH322" i="68"/>
  <c r="V220" i="68"/>
  <c r="V219" i="68" s="1"/>
  <c r="V218" i="68" s="1"/>
  <c r="T259" i="68"/>
  <c r="T249" i="68"/>
  <c r="T222" i="68"/>
  <c r="T223" i="68" s="1"/>
  <c r="T239" i="68"/>
  <c r="BH333" i="68" l="1"/>
  <c r="V263" i="68" s="1"/>
  <c r="V265" i="68" s="1"/>
  <c r="U147" i="68" s="1"/>
  <c r="V120" i="2" s="1"/>
  <c r="AB119" i="2" s="1"/>
  <c r="W258" i="68"/>
  <c r="V222" i="68"/>
  <c r="V223" i="68" s="1"/>
  <c r="V259" i="68" l="1"/>
  <c r="AB117" i="2"/>
  <c r="AB118" i="2"/>
  <c r="AI117" i="2"/>
  <c r="AB116" i="2"/>
  <c r="F120" i="2"/>
  <c r="E37" i="51"/>
</calcChain>
</file>

<file path=xl/sharedStrings.xml><?xml version="1.0" encoding="utf-8"?>
<sst xmlns="http://schemas.openxmlformats.org/spreadsheetml/2006/main" count="6249" uniqueCount="3808">
  <si>
    <t>2.</t>
  </si>
  <si>
    <t>3.</t>
  </si>
  <si>
    <t>deduction, check here</t>
  </si>
  <si>
    <t xml:space="preserve">     enter on line 3 …</t>
  </si>
  <si>
    <r>
      <t>Next.</t>
    </r>
    <r>
      <rPr>
        <sz val="10"/>
        <rFont val="Arial"/>
        <family val="2"/>
      </rPr>
      <t xml:space="preserve"> If you checked “No” on line 1a (and “No” on line 1b if married filing jointly), </t>
    </r>
  </si>
  <si>
    <t>Otherwise, go to line 2.</t>
  </si>
  <si>
    <t>that applies to you.</t>
  </si>
  <si>
    <r>
      <t>Subtract line 5 from line 2 in each column.</t>
    </r>
    <r>
      <rPr>
        <sz val="10"/>
        <rFont val="Arial"/>
        <family val="2"/>
      </rPr>
      <t xml:space="preserve">  Follow the instruction below</t>
    </r>
  </si>
  <si>
    <t>If single, head of household, or married filing separately, and the</t>
  </si>
  <si>
    <t>line 7 for that column and go to line 8.</t>
  </si>
  <si>
    <t xml:space="preserve">  correct.  Any needed changes may be made using the manual</t>
  </si>
  <si>
    <r>
      <t xml:space="preserve">Additional tax on IRAs, other qualified retirement plans, etc. Attach Form 5329 if required </t>
    </r>
    <r>
      <rPr>
        <b/>
        <sz val="9"/>
        <rFont val="Arial"/>
        <family val="2"/>
      </rPr>
      <t>.   .   .   .   .   .   .   .   .   .   .   .   .   .   .   .   .   .   .</t>
    </r>
  </si>
  <si>
    <t>.   .   .   .   .   .   .   .   .   .   .   .   .   .   .   .   .</t>
  </si>
  <si>
    <t xml:space="preserve">     Alternative Minimum Tax</t>
  </si>
  <si>
    <t>1099-DIV or</t>
  </si>
  <si>
    <r>
      <t xml:space="preserve">Enter the </t>
    </r>
    <r>
      <rPr>
        <b/>
        <sz val="9"/>
        <rFont val="Arial"/>
        <family val="2"/>
      </rPr>
      <t>smaller</t>
    </r>
    <r>
      <rPr>
        <sz val="9"/>
        <rFont val="Arial"/>
        <family val="2"/>
      </rPr>
      <t xml:space="preserve"> of line 15 or 16 of</t>
    </r>
  </si>
  <si>
    <t>Subtract line 5 from line 4.  If zero or less, enter -0-</t>
  </si>
  <si>
    <t>Subtract line 6 from line 1.  If zero or less, enter -0-</t>
  </si>
  <si>
    <t>1a</t>
  </si>
  <si>
    <t>1a.</t>
  </si>
  <si>
    <t>1b.</t>
  </si>
  <si>
    <t>1b</t>
  </si>
  <si>
    <t>Home mortgage interest not reported to you on Form 1098. If paid</t>
  </si>
  <si>
    <r>
      <t xml:space="preserve">and show that person's name, identifying no., &amp; address   </t>
    </r>
    <r>
      <rPr>
        <sz val="10"/>
        <rFont val="Marlett"/>
        <charset val="2"/>
      </rPr>
      <t>4</t>
    </r>
  </si>
  <si>
    <t>THEN enter on line 3. . .</t>
  </si>
  <si>
    <t>Taxes You</t>
  </si>
  <si>
    <r>
      <t>Yes.</t>
    </r>
    <r>
      <rPr>
        <sz val="10"/>
        <rFont val="Arial"/>
        <family val="2"/>
      </rPr>
      <t xml:space="preserve">  Add</t>
    </r>
  </si>
  <si>
    <r>
      <t xml:space="preserve">No. </t>
    </r>
    <r>
      <rPr>
        <sz val="10"/>
        <rFont val="Arial"/>
        <family val="2"/>
      </rPr>
      <t>Enter</t>
    </r>
  </si>
  <si>
    <r>
      <t xml:space="preserve">Is  your  </t>
    </r>
    <r>
      <rPr>
        <b/>
        <sz val="10"/>
        <rFont val="Arial"/>
        <family val="2"/>
      </rPr>
      <t>earned income*</t>
    </r>
    <r>
      <rPr>
        <sz val="10"/>
        <rFont val="Arial"/>
        <family val="2"/>
      </rPr>
      <t xml:space="preserve"> </t>
    </r>
  </si>
  <si>
    <r>
      <t>No.</t>
    </r>
    <r>
      <rPr>
        <sz val="10"/>
        <rFont val="Arial"/>
        <family val="2"/>
      </rPr>
      <t xml:space="preserve"> Skip lines 18 through 21, and go to line 22.</t>
    </r>
  </si>
  <si>
    <t>instructions</t>
  </si>
  <si>
    <t>Attach Form(s)</t>
  </si>
  <si>
    <t>W-2 here. Also</t>
  </si>
  <si>
    <t>attach Forms</t>
  </si>
  <si>
    <t>W-2G and</t>
  </si>
  <si>
    <t>1099-R if tax</t>
  </si>
  <si>
    <t>was withheld.</t>
  </si>
  <si>
    <t>Some investment is not</t>
  </si>
  <si>
    <t>at risk.</t>
  </si>
  <si>
    <r>
      <t xml:space="preserve">Are lines 15 and 16 </t>
    </r>
    <r>
      <rPr>
        <b/>
        <sz val="10"/>
        <rFont val="Arial"/>
        <family val="2"/>
      </rPr>
      <t>both</t>
    </r>
    <r>
      <rPr>
        <sz val="10"/>
        <rFont val="Arial"/>
        <family val="2"/>
      </rPr>
      <t xml:space="preserve"> gains?</t>
    </r>
  </si>
  <si>
    <r>
      <t xml:space="preserve">Are lines 18 and 19 </t>
    </r>
    <r>
      <rPr>
        <b/>
        <sz val="10"/>
        <rFont val="Arial"/>
        <family val="2"/>
      </rPr>
      <t>both</t>
    </r>
    <r>
      <rPr>
        <sz val="10"/>
        <rFont val="Arial"/>
        <family val="2"/>
      </rPr>
      <t xml:space="preserve"> zero or blank?</t>
    </r>
  </si>
  <si>
    <t>Spouses IRA</t>
  </si>
  <si>
    <t>Repairs and maintenance</t>
  </si>
  <si>
    <t>Single, head of household, qualifying widow(er), or married filing</t>
  </si>
  <si>
    <r>
      <t>l</t>
    </r>
    <r>
      <rPr>
        <sz val="10"/>
        <rFont val="Arial"/>
        <family val="2"/>
      </rPr>
      <t xml:space="preserve"> </t>
    </r>
  </si>
  <si>
    <t>Enter the total of any collectibles gain reported to you on:</t>
  </si>
  <si>
    <t>Note:</t>
  </si>
  <si>
    <t xml:space="preserve"> Spouse .   .   .   .   .   .   .   .   .   .   .   .   .   .   .   .   .   .   .   .   .   .   .   .   .   .   .   .   .   .   .   .   .   .   .   .   .   .   .   .   .   .   .   .</t>
  </si>
  <si>
    <t>Subtract line 10 from line 1. If zero or less, enter -0-</t>
  </si>
  <si>
    <r>
      <t xml:space="preserve">These are your  </t>
    </r>
    <r>
      <rPr>
        <b/>
        <sz val="9"/>
        <rFont val="Arial"/>
        <family val="2"/>
      </rPr>
      <t>total credits   .   .   .   .   .   .   .   .   .   .   .   .   .   .   .   .   .   .   .   .   .</t>
    </r>
  </si>
  <si>
    <t xml:space="preserve"> .   .   .   .   .   .   .   .   .   .   .   .   .   .   .   .   .   .   .   .   .   .   .   .   .   .   .   .   .   .   .   .   .   .   .   .   .   .   .   .</t>
  </si>
  <si>
    <t>dividends shown</t>
  </si>
  <si>
    <t>on that form.</t>
  </si>
  <si>
    <t>5.</t>
  </si>
  <si>
    <t>Travel, meals and entertainment:</t>
  </si>
  <si>
    <t>If Form 8888 is attached, check here</t>
  </si>
  <si>
    <r>
      <t xml:space="preserve">Self-employed SEP, SIMPLE, and qualified plans </t>
    </r>
    <r>
      <rPr>
        <b/>
        <sz val="9"/>
        <rFont val="Arial"/>
        <family val="2"/>
      </rPr>
      <t xml:space="preserve"> .   .   .   .   .   .   .   .   .   .   .   .   .   .   .   .   .   .   .   .   .   .   .   .   .   .   .   .   .   .   .   .   .   .   .   .   .   .   .   .   .</t>
    </r>
  </si>
  <si>
    <r>
      <t xml:space="preserve">Yes. </t>
    </r>
    <r>
      <rPr>
        <sz val="10"/>
        <rFont val="Arial"/>
        <family val="2"/>
      </rPr>
      <t xml:space="preserve"> Subtract line 8 from line 7</t>
    </r>
  </si>
  <si>
    <t>enter the result on line 16. Then go to line 17</t>
  </si>
  <si>
    <r>
      <t xml:space="preserve">Moving expenses. Attach Form 3903 </t>
    </r>
    <r>
      <rPr>
        <b/>
        <sz val="9"/>
        <rFont val="Arial"/>
        <family val="2"/>
      </rPr>
      <t>.   .   .   .   .   .   .   .   .   .   .   .   .   .   .   .   .   .   .   .   .   .   .   .   .   .   .   .   .   .   .   .   .   .   .   .   .   .   .   .   .</t>
    </r>
  </si>
  <si>
    <t>Income</t>
  </si>
  <si>
    <t>a</t>
  </si>
  <si>
    <t>8a</t>
  </si>
  <si>
    <r>
      <t>Tax-exempt</t>
    </r>
    <r>
      <rPr>
        <sz val="9"/>
        <rFont val="Arial"/>
        <family val="2"/>
      </rPr>
      <t xml:space="preserve"> interest.  </t>
    </r>
    <r>
      <rPr>
        <b/>
        <sz val="9"/>
        <rFont val="Arial"/>
        <family val="2"/>
      </rPr>
      <t>Do not</t>
    </r>
    <r>
      <rPr>
        <sz val="9"/>
        <rFont val="Arial"/>
        <family val="2"/>
      </rPr>
      <t xml:space="preserve"> include on line 8a</t>
    </r>
  </si>
  <si>
    <t>8b</t>
  </si>
  <si>
    <t>State distribution</t>
  </si>
  <si>
    <t>Amount</t>
  </si>
  <si>
    <r>
      <t xml:space="preserve">Add the amounts on line 1   </t>
    </r>
    <r>
      <rPr>
        <b/>
        <sz val="9"/>
        <rFont val="Arial"/>
        <family val="2"/>
      </rPr>
      <t>.   .   .   .   .   .   .   .   .   .   .   .   .   .   .   .   .   .   .   .   .   .   .   .   .   .   .   .   .   .   .   .   .   .   .   .</t>
    </r>
  </si>
  <si>
    <t>Expenses</t>
  </si>
  <si>
    <t>7b</t>
  </si>
  <si>
    <r>
      <t xml:space="preserve">If you are married filing separately and you </t>
    </r>
    <r>
      <rPr>
        <b/>
        <sz val="10"/>
        <rFont val="Arial"/>
        <family val="2"/>
      </rPr>
      <t>lived apart</t>
    </r>
    <r>
      <rPr>
        <sz val="10"/>
        <rFont val="Arial"/>
        <family val="2"/>
      </rPr>
      <t xml:space="preserve"> from your spouse for all of</t>
    </r>
  </si>
  <si>
    <t>Schedule K-1 (Form 1041)</t>
  </si>
  <si>
    <t>Ö</t>
  </si>
  <si>
    <t>Add lines 14 and 15 .   .   .   .   .   .   .   .   .   .   .   .   .   .</t>
  </si>
  <si>
    <t>Claimed as dependent by someone else</t>
  </si>
  <si>
    <r>
      <t xml:space="preserve">If you are a minister, member of a religious order, or Christian Science practitioner </t>
    </r>
    <r>
      <rPr>
        <b/>
        <sz val="10"/>
        <rFont val="Arial"/>
        <family val="2"/>
      </rPr>
      <t>and</t>
    </r>
    <r>
      <rPr>
        <sz val="10"/>
        <rFont val="Arial"/>
        <family val="2"/>
      </rPr>
      <t xml:space="preserve"> you filed Form 4361, but you</t>
    </r>
  </si>
  <si>
    <r>
      <t>(1)</t>
    </r>
    <r>
      <rPr>
        <sz val="8"/>
        <rFont val="Arial"/>
        <family val="2"/>
      </rPr>
      <t xml:space="preserve"> First name</t>
    </r>
  </si>
  <si>
    <t>number</t>
  </si>
  <si>
    <r>
      <t xml:space="preserve">Total number of exemptions claimed  </t>
    </r>
    <r>
      <rPr>
        <b/>
        <sz val="9"/>
        <rFont val="Arial"/>
        <family val="2"/>
      </rPr>
      <t>.   .   .   .   .   .   .   .   .   .   .   .   .   .   .   .   .   .   .   .   .   .   .   .   .   .   .</t>
    </r>
  </si>
  <si>
    <t xml:space="preserve">  Tax Computation Using Maximum Capital Gains Rates</t>
  </si>
  <si>
    <t>the qualifying person is a child but not your dependent, enter</t>
  </si>
  <si>
    <t>List name of payer</t>
  </si>
  <si>
    <r>
      <t>Advertising</t>
    </r>
    <r>
      <rPr>
        <b/>
        <sz val="10"/>
        <rFont val="Arial"/>
        <family val="2"/>
      </rPr>
      <t xml:space="preserve"> .   .   .   .   .   .   .   .   .   .   .   .   .   .   .   .   .   .   .   .   .</t>
    </r>
  </si>
  <si>
    <t>Pension and profit sharing plans</t>
  </si>
  <si>
    <t>b</t>
  </si>
  <si>
    <t>c</t>
  </si>
  <si>
    <t>Download Form 1040 from IRS</t>
  </si>
  <si>
    <r>
      <t>Other</t>
    </r>
    <r>
      <rPr>
        <b/>
        <sz val="10"/>
        <rFont val="Arial"/>
        <family val="2"/>
      </rPr>
      <t xml:space="preserve"> .   .   .   .   .   .   .   .   .   .   .   .   .   .   .   .</t>
    </r>
  </si>
  <si>
    <r>
      <t xml:space="preserve">Utilities </t>
    </r>
    <r>
      <rPr>
        <b/>
        <sz val="10"/>
        <rFont val="Arial"/>
        <family val="2"/>
      </rPr>
      <t>.   .   .   .   .   .   .   .   .   .   .</t>
    </r>
  </si>
  <si>
    <r>
      <t>Wages (less employment credits)</t>
    </r>
    <r>
      <rPr>
        <b/>
        <sz val="10"/>
        <rFont val="Arial"/>
        <family val="2"/>
      </rPr>
      <t>.   .</t>
    </r>
  </si>
  <si>
    <r>
      <t>Tax preparation fees</t>
    </r>
    <r>
      <rPr>
        <b/>
        <sz val="9"/>
        <rFont val="Arial"/>
        <family val="2"/>
      </rPr>
      <t xml:space="preserve">   .   .   .   .   .   .   .   .   .   .   .   .   .   .   .   .   .   .   .</t>
    </r>
  </si>
  <si>
    <t>Home mortgage interest and points reported to you on Form 1098.</t>
  </si>
  <si>
    <t>Part I</t>
  </si>
  <si>
    <t>Form 1040, line 44.  If you are filing Form 2555 or 2555-EZ, do not enter this amount on Form</t>
  </si>
  <si>
    <t>Maximum amount of combined wages and self-employment earnings subject to social security</t>
  </si>
  <si>
    <t>Simplified Method</t>
  </si>
  <si>
    <t>39a</t>
  </si>
  <si>
    <t>Last year's amount</t>
  </si>
  <si>
    <t>Name(s) shown on return</t>
  </si>
  <si>
    <t>List name of payer. If any interest is from a seller-financed mortgage and the</t>
  </si>
  <si>
    <t>buyer used the property as a personal residence, see instructions on back and list</t>
  </si>
  <si>
    <t>(See instructions</t>
  </si>
  <si>
    <t>on back and the</t>
  </si>
  <si>
    <t>Form 1040A, or</t>
  </si>
  <si>
    <t>Subtract line 3 from line 2. Enter the result here and on Form 1040A, or Form</t>
  </si>
  <si>
    <t>this interest first. Also, show that buyer’s social security number and address</t>
  </si>
  <si>
    <t>Attach Form 8815</t>
  </si>
  <si>
    <t>1040, line 8a</t>
  </si>
  <si>
    <t xml:space="preserve"> .   .   .   .   .   .   .   .   .   .   .   .   .   .   .   .   .   .   .   .   .   .   .   .   .   .   .   .   .   .   .   .   .   .   .   .   .   .       </t>
  </si>
  <si>
    <t>H</t>
  </si>
  <si>
    <t>24b</t>
  </si>
  <si>
    <t>Subtract line 5 from line 1. If zero or less, enter -0-.</t>
  </si>
  <si>
    <t>Download Form 1040 Schedule D Instructions</t>
  </si>
  <si>
    <t>Download Form 1040 Schedule C</t>
  </si>
  <si>
    <t xml:space="preserve"> Form</t>
  </si>
  <si>
    <r>
      <t xml:space="preserve">Self-employment tax.  Attach Schedule SE </t>
    </r>
    <r>
      <rPr>
        <b/>
        <sz val="9"/>
        <rFont val="Arial"/>
        <family val="2"/>
      </rPr>
      <t xml:space="preserve">  .   .   .   .   .   .   .   .   .   .   .   .   .   .   .   .   .   .   .   .   .   .   .   .   .   .   .   .   .   .   .</t>
    </r>
  </si>
  <si>
    <t>From Sch. F, line 11, and Sch. K-1 (Form 1065), box 14, code B.</t>
  </si>
  <si>
    <t xml:space="preserve">Keep for Your Records          </t>
  </si>
  <si>
    <t>Combine lines 7 and 15 and enter the result.</t>
  </si>
  <si>
    <r>
      <t xml:space="preserve">Subtract line 26 from 24. If line 26 is more than line 24, enter -0-  </t>
    </r>
    <r>
      <rPr>
        <b/>
        <sz val="9"/>
        <rFont val="Arial"/>
        <family val="2"/>
      </rPr>
      <t xml:space="preserve"> .   .   .   .   .   .   .   .   .   .   .   .   .   .   .   .   .   .   .</t>
    </r>
  </si>
  <si>
    <t>payer and enter</t>
  </si>
  <si>
    <t>Max. SS Tax</t>
  </si>
  <si>
    <t>6.</t>
  </si>
  <si>
    <t>7.</t>
  </si>
  <si>
    <t>Single</t>
  </si>
  <si>
    <t>Filing Status</t>
  </si>
  <si>
    <r>
      <t xml:space="preserve">Enter the </t>
    </r>
    <r>
      <rPr>
        <b/>
        <sz val="10"/>
        <rFont val="Arial"/>
        <family val="2"/>
      </rPr>
      <t>smaller</t>
    </r>
    <r>
      <rPr>
        <sz val="10"/>
        <rFont val="Arial"/>
        <family val="2"/>
      </rPr>
      <t xml:space="preserve"> of line 15 or line 16 of Schedule D</t>
    </r>
  </si>
  <si>
    <t>11a.</t>
  </si>
  <si>
    <t>11b.</t>
  </si>
  <si>
    <t>12a.</t>
  </si>
  <si>
    <t>12b.</t>
  </si>
  <si>
    <t>Nontaxable combat pay.</t>
  </si>
  <si>
    <t>All others:</t>
  </si>
  <si>
    <t>The loss on line 16 or</t>
  </si>
  <si>
    <t>Refund</t>
  </si>
  <si>
    <t>Add lines 6 and 9</t>
  </si>
  <si>
    <r>
      <t xml:space="preserve">Credit for child and dependent care expenses.  Attach Form 2441 </t>
    </r>
    <r>
      <rPr>
        <b/>
        <sz val="9"/>
        <rFont val="Arial"/>
        <family val="2"/>
      </rPr>
      <t>.   .   .</t>
    </r>
  </si>
  <si>
    <r>
      <t xml:space="preserve">Subtract line 3 from line 1.  If line 3 is more than line 1, enter -0- </t>
    </r>
    <r>
      <rPr>
        <b/>
        <sz val="9"/>
        <rFont val="Arial"/>
        <family val="2"/>
      </rPr>
      <t xml:space="preserve"> .   .   .   .   .   .   .   .   .   .   .   .   .   .   .   .   .   .   .   .   .   .   .   .   .   .   .   .   .   .   .   .   .   .   .   .   .</t>
    </r>
  </si>
  <si>
    <t>But Less Than</t>
  </si>
  <si>
    <t>Enter your cost in the plan at the annuity starting date</t>
  </si>
  <si>
    <t>Subtract line 10 from line 9. If zero or less, enter -0- .</t>
  </si>
  <si>
    <t>Enter age</t>
  </si>
  <si>
    <t>at annuity</t>
  </si>
  <si>
    <t xml:space="preserve">  OMB No. 1545-0074</t>
  </si>
  <si>
    <r>
      <t>l</t>
    </r>
    <r>
      <rPr>
        <sz val="10"/>
        <rFont val="Arial"/>
        <family val="2"/>
      </rPr>
      <t xml:space="preserve">  The loss on line 16 or</t>
    </r>
  </si>
  <si>
    <r>
      <t>l</t>
    </r>
    <r>
      <rPr>
        <sz val="10"/>
        <rFont val="Arial"/>
        <family val="2"/>
      </rPr>
      <t xml:space="preserve">  ($3,000), or if married filing separately, ($1,500)  </t>
    </r>
  </si>
  <si>
    <r>
      <t xml:space="preserve">Sequence No. </t>
    </r>
    <r>
      <rPr>
        <b/>
        <sz val="10"/>
        <rFont val="Arial"/>
        <family val="2"/>
      </rPr>
      <t>07</t>
    </r>
  </si>
  <si>
    <t>Name(s) shown on Form 1040</t>
  </si>
  <si>
    <t>Your social security number</t>
  </si>
  <si>
    <t>Manual</t>
  </si>
  <si>
    <t>Override</t>
  </si>
  <si>
    <t>d</t>
  </si>
  <si>
    <r>
      <t xml:space="preserve">Column </t>
    </r>
    <r>
      <rPr>
        <b/>
        <sz val="10"/>
        <rFont val="Wingdings"/>
        <charset val="2"/>
      </rPr>
      <t>ê</t>
    </r>
  </si>
  <si>
    <t>the column for the IRA of the person who was not covered by a retirement</t>
  </si>
  <si>
    <t xml:space="preserve">.   .   .   .   .   .   .   .   .   .   .   .   .   .   .   .   .   .   .   .   .   .   . </t>
  </si>
  <si>
    <t>Enter your long-term capital loss carryovers from Schedule D, line 14, and Schedule K-1 (Form 1041),</t>
  </si>
  <si>
    <t>Subtract line 15 from line 14</t>
  </si>
  <si>
    <t>on line 16. Also include this amount on line 4b above</t>
  </si>
  <si>
    <t>8c</t>
  </si>
  <si>
    <t>4c</t>
  </si>
  <si>
    <t>4b</t>
  </si>
  <si>
    <r>
      <t xml:space="preserve">This is the amount you </t>
    </r>
    <r>
      <rPr>
        <b/>
        <sz val="9"/>
        <rFont val="Arial"/>
        <family val="2"/>
      </rPr>
      <t>overpaid</t>
    </r>
  </si>
  <si>
    <t>Amount you owe.</t>
  </si>
  <si>
    <t>Information from Form 1099-R, Retirement</t>
  </si>
  <si>
    <t>Net unrealized appreciation in employer's securities</t>
  </si>
  <si>
    <t>Distribution code</t>
  </si>
  <si>
    <r>
      <t xml:space="preserve">This is your </t>
    </r>
    <r>
      <rPr>
        <b/>
        <sz val="9"/>
        <rFont val="Arial"/>
        <family val="2"/>
      </rPr>
      <t>adjusted gross income.</t>
    </r>
  </si>
  <si>
    <t>social security</t>
  </si>
  <si>
    <t>check here.</t>
  </si>
  <si>
    <t>Net operating loss deduction from Form 1040, line 21.</t>
  </si>
  <si>
    <t>Enter as a positive amount.</t>
  </si>
  <si>
    <t>Adjusted</t>
  </si>
  <si>
    <t>6</t>
  </si>
  <si>
    <t>7</t>
  </si>
  <si>
    <t>8</t>
  </si>
  <si>
    <t>9</t>
  </si>
  <si>
    <t>10</t>
  </si>
  <si>
    <t>Part 2</t>
  </si>
  <si>
    <t>Exercise of incentive stock options (excess of AMT income over regular tax income)</t>
  </si>
  <si>
    <t>You Owe</t>
  </si>
  <si>
    <t>Sign</t>
  </si>
  <si>
    <t>Here</t>
  </si>
  <si>
    <t>Joint return?</t>
  </si>
  <si>
    <t>Your signature</t>
  </si>
  <si>
    <t>Date</t>
  </si>
  <si>
    <t>Your occupation</t>
  </si>
  <si>
    <t>Daytime phone number</t>
  </si>
  <si>
    <t>Spouse's occupation</t>
  </si>
  <si>
    <r>
      <t>Carryover from prior year</t>
    </r>
    <r>
      <rPr>
        <b/>
        <sz val="9"/>
        <rFont val="Arial"/>
        <family val="2"/>
      </rPr>
      <t xml:space="preserve">   .   .   .   .   .   .   .   .   .   .   .   .   .   .   .   .   .   .   .   .   .   .   .   .   .   .   .   .   .   .   .   .   .   .   .   .   .   .</t>
    </r>
  </si>
  <si>
    <t>Add lines 2 and 3</t>
  </si>
  <si>
    <t>4a</t>
  </si>
  <si>
    <t>If joint return, spouse's name &amp; initial</t>
  </si>
  <si>
    <t>Savings</t>
  </si>
  <si>
    <t xml:space="preserve">   .   .   .   .   .   .   .   .   .   .   .   .   .   .   .   .   .   .   .   .</t>
  </si>
  <si>
    <t>Part II</t>
  </si>
  <si>
    <t>Additional no.</t>
  </si>
  <si>
    <t>of qualifying</t>
  </si>
  <si>
    <t xml:space="preserve">Before you begin: </t>
  </si>
  <si>
    <t>h</t>
  </si>
  <si>
    <t xml:space="preserve">    47  a</t>
  </si>
  <si>
    <t>Medical</t>
  </si>
  <si>
    <t>.    .    .    .    .    .    .    .    .    .   .    .    .    .    .    .    .    .    .   .</t>
  </si>
  <si>
    <t>Part V</t>
  </si>
  <si>
    <t>If you elect one or both of the optional methods, enter the total of lines 15 and 17 here</t>
  </si>
  <si>
    <t>Add numbers on lines above</t>
  </si>
  <si>
    <t>Net profit or (loss) from Schedule C, line 31; Schedule C-EZ, line 3; Schedule K-1 (Form 1065),</t>
  </si>
  <si>
    <r>
      <t>Form</t>
    </r>
    <r>
      <rPr>
        <sz val="10"/>
        <rFont val="Arial"/>
        <family val="2"/>
      </rPr>
      <t xml:space="preserve"> </t>
    </r>
    <r>
      <rPr>
        <b/>
        <sz val="10"/>
        <rFont val="Arial"/>
        <family val="2"/>
      </rPr>
      <t>6251</t>
    </r>
  </si>
  <si>
    <t>Dental</t>
  </si>
  <si>
    <t>and full name here.</t>
  </si>
  <si>
    <t>Form 1099-DIV, box 2d;</t>
  </si>
  <si>
    <t>Form 2439, box 1d; and</t>
  </si>
  <si>
    <r>
      <t>Self-employment tax.</t>
    </r>
    <r>
      <rPr>
        <sz val="10"/>
        <rFont val="Arial"/>
        <family val="2"/>
      </rPr>
      <t xml:space="preserve"> If the amount on line 4 is:</t>
    </r>
  </si>
  <si>
    <t>32a</t>
  </si>
  <si>
    <t>Pub. 525 to figure if any of your refund is taxable.</t>
  </si>
  <si>
    <t>Certain business expenses of reservists, performing artists, and 
fee-basis government officials. Attach Form 2106 or 2106-EZ</t>
  </si>
  <si>
    <r>
      <t xml:space="preserve">Accounting method:         </t>
    </r>
    <r>
      <rPr>
        <b/>
        <sz val="9"/>
        <rFont val="Arial"/>
        <family val="2"/>
      </rPr>
      <t>(1)</t>
    </r>
  </si>
  <si>
    <t>Cash</t>
  </si>
  <si>
    <t>Accrual</t>
  </si>
  <si>
    <t>G</t>
  </si>
  <si>
    <t>.   .   .</t>
  </si>
  <si>
    <t>Notice 703</t>
  </si>
  <si>
    <t>(Rev. September 2008)</t>
  </si>
  <si>
    <t>Read This To See If Your Social Security Benefits May Be Taxable</t>
  </si>
  <si>
    <t>Note. If you plan to file a joint income tax return, include your spouse’s amounts, if any, on lines A, C, and D below.</t>
  </si>
  <si>
    <t>Is the amount on line 8 less than the amount on line 7?</t>
  </si>
  <si>
    <t>Qualified Dividends and Capital Gain Tax Worksheet—Line 44</t>
  </si>
  <si>
    <t>Interest from specified private activity bonds exempt from the regular tax</t>
  </si>
  <si>
    <t xml:space="preserve"> .   .   .   .   .   .   .   .</t>
  </si>
  <si>
    <t>Alternative tax net operating loss deduction</t>
  </si>
  <si>
    <t>enter on line 3 …</t>
  </si>
  <si>
    <t>District of Columbia first-time homebuyer credit, Form 8859</t>
  </si>
  <si>
    <r>
      <t xml:space="preserve"> </t>
    </r>
    <r>
      <rPr>
        <sz val="8"/>
        <rFont val="Wingdings"/>
        <charset val="2"/>
      </rPr>
      <t>l</t>
    </r>
  </si>
  <si>
    <r>
      <t xml:space="preserve">Add lines 7 and 8.  </t>
    </r>
    <r>
      <rPr>
        <b/>
        <sz val="9"/>
        <rFont val="Arial"/>
        <family val="2"/>
      </rPr>
      <t xml:space="preserve">  .   .   .   .   .   .   .   .   .   .   .   .   .   .   .   .   .   .   .   .   .   .   .   .   .   .   .   .   .   .   .   .   .   .   .   .   .   .</t>
    </r>
  </si>
  <si>
    <t>.   .   .   .   .   .   .   .   .   .   .   .   .   .   .   .   .   .   .</t>
  </si>
  <si>
    <t xml:space="preserve">  Social security number (SSN)</t>
  </si>
  <si>
    <t>A</t>
  </si>
  <si>
    <t>C</t>
  </si>
  <si>
    <r>
      <t xml:space="preserve">Health savings account deduction.  Attach Form 8889 </t>
    </r>
    <r>
      <rPr>
        <b/>
        <sz val="9"/>
        <rFont val="Arial"/>
        <family val="2"/>
      </rPr>
      <t xml:space="preserve"> .   .   .   .   .   .   .   .   .   .</t>
    </r>
  </si>
  <si>
    <t>Was the total of your wages and tips subject to social security</t>
  </si>
  <si>
    <t>a. The payments are from a qualified employee plan, a qualified employee annuity, or a tax-sheltered annuity.</t>
  </si>
  <si>
    <r>
      <t xml:space="preserve">State and local  </t>
    </r>
    <r>
      <rPr>
        <b/>
        <sz val="9"/>
        <rFont val="Arial"/>
        <family val="2"/>
      </rPr>
      <t>(check only one box):</t>
    </r>
  </si>
  <si>
    <t>this is your (and your spouse’s if filing jointly) net earnings from</t>
  </si>
  <si>
    <t>Phone no.</t>
  </si>
  <si>
    <t>1</t>
  </si>
  <si>
    <t>2</t>
  </si>
  <si>
    <t>3</t>
  </si>
  <si>
    <t>4</t>
  </si>
  <si>
    <t>Qualified small business stock (7% of gain excluded under section 1202)</t>
  </si>
  <si>
    <t>U.S. Individual Income Tax Return</t>
  </si>
  <si>
    <t>OMB No. 1545-0074</t>
  </si>
  <si>
    <t>Did you receive church employee income reported on Form</t>
  </si>
  <si>
    <t xml:space="preserve">    Yes</t>
  </si>
  <si>
    <t xml:space="preserve">   No</t>
  </si>
  <si>
    <r>
      <t xml:space="preserve">   </t>
    </r>
    <r>
      <rPr>
        <b/>
        <sz val="11"/>
        <rFont val="Arial"/>
        <family val="2"/>
      </rPr>
      <t>Information on Your Vehicle.</t>
    </r>
    <r>
      <rPr>
        <sz val="11"/>
        <rFont val="Arial"/>
        <family val="2"/>
      </rPr>
      <t xml:space="preserve">  </t>
    </r>
    <r>
      <rPr>
        <sz val="10"/>
        <rFont val="Arial"/>
        <family val="2"/>
      </rPr>
      <t xml:space="preserve">Complete this part </t>
    </r>
    <r>
      <rPr>
        <b/>
        <sz val="10"/>
        <rFont val="Arial"/>
        <family val="2"/>
      </rPr>
      <t>only</t>
    </r>
    <r>
      <rPr>
        <sz val="10"/>
        <rFont val="Arial"/>
        <family val="2"/>
      </rPr>
      <t xml:space="preserve"> if you are claiming car or truck expenses on line 9</t>
    </r>
  </si>
  <si>
    <t>Download Form 1040 Schedule B</t>
  </si>
  <si>
    <t>Routing number</t>
  </si>
  <si>
    <t>Checking</t>
  </si>
  <si>
    <t>Account number</t>
  </si>
  <si>
    <t>and Certain</t>
  </si>
  <si>
    <t>Enter the amount from Form 1040, line 13</t>
  </si>
  <si>
    <t xml:space="preserve"> .   .   .   .   .   .   .   .   .   .   .   .   . </t>
  </si>
  <si>
    <t>Nontaxable combat pay election</t>
  </si>
  <si>
    <t>Information from Form W-2</t>
  </si>
  <si>
    <t xml:space="preserve"> Exemptions</t>
  </si>
  <si>
    <t>If more than four</t>
  </si>
  <si>
    <t xml:space="preserve">  Yes.</t>
  </si>
  <si>
    <t>Download Form 1040 General Instructions from IRS</t>
  </si>
  <si>
    <r>
      <t>h</t>
    </r>
    <r>
      <rPr>
        <sz val="10"/>
        <rFont val="Arial"/>
        <family val="2"/>
      </rPr>
      <t xml:space="preserve">  You do not have to file Schedule D and you reported capital gain distributions on Form 1040, line 13.</t>
    </r>
  </si>
  <si>
    <r>
      <t>h</t>
    </r>
    <r>
      <rPr>
        <sz val="10"/>
        <rFont val="Arial"/>
        <family val="2"/>
      </rPr>
      <t xml:space="preserve">  You reported qualified dividends on Form 1040, line 9b.</t>
    </r>
  </si>
  <si>
    <t>Cat. No. 11358Z</t>
  </si>
  <si>
    <r>
      <t xml:space="preserve">Page </t>
    </r>
    <r>
      <rPr>
        <b/>
        <sz val="12"/>
        <rFont val="Arial"/>
        <family val="2"/>
      </rPr>
      <t>2</t>
    </r>
  </si>
  <si>
    <t>Section B—Long Schedule SE</t>
  </si>
  <si>
    <t xml:space="preserve">   Self-Employment Tax</t>
  </si>
  <si>
    <r>
      <t>Section A—Short Schedule SE.         Caution.</t>
    </r>
    <r>
      <rPr>
        <sz val="14"/>
        <rFont val="Arial"/>
        <family val="2"/>
      </rPr>
      <t xml:space="preserve"> </t>
    </r>
    <r>
      <rPr>
        <sz val="11"/>
        <rFont val="Arial"/>
        <family val="2"/>
      </rPr>
      <t>Read above to see if you can use Short Schedule SE.</t>
    </r>
  </si>
  <si>
    <t>SCHEDULE SE</t>
  </si>
  <si>
    <t>Self-Employment Tax</t>
  </si>
  <si>
    <t>Wages, tips, other compensation</t>
  </si>
  <si>
    <t>Federal income tax withheld</t>
  </si>
  <si>
    <t xml:space="preserve"> .   .   .   .   .   .   .   .   .   .   .   .   .   .   .   .   .   .   .   .   .   .   .   .   .   .   . </t>
  </si>
  <si>
    <t>Purchases less cost of items withdrawn for personal use.   .   .   .   .   .   .   .   .   .   .   .   .   .   .   .   .   .   .   .   .   .   .   .   .   .   .   .   .   .   .   .   .</t>
  </si>
  <si>
    <t>Your percentage of total distribution</t>
  </si>
  <si>
    <t>NOT required.</t>
  </si>
  <si>
    <r>
      <t>Farm Optional Method.</t>
    </r>
    <r>
      <rPr>
        <sz val="10"/>
        <rFont val="Arial"/>
        <family val="2"/>
      </rPr>
      <t xml:space="preserve"> </t>
    </r>
    <r>
      <rPr>
        <sz val="10"/>
        <rFont val="Arial"/>
        <family val="2"/>
      </rPr>
      <t xml:space="preserve">You may use this method </t>
    </r>
    <r>
      <rPr>
        <b/>
        <sz val="10"/>
        <rFont val="Arial"/>
        <family val="2"/>
      </rPr>
      <t>only</t>
    </r>
    <r>
      <rPr>
        <sz val="10"/>
        <rFont val="Arial"/>
        <family val="2"/>
      </rPr>
      <t xml:space="preserve"> if </t>
    </r>
    <r>
      <rPr>
        <b/>
        <sz val="10"/>
        <rFont val="Arial"/>
        <family val="2"/>
      </rPr>
      <t>(a)</t>
    </r>
    <r>
      <rPr>
        <sz val="10"/>
        <rFont val="Arial"/>
        <family val="2"/>
      </rPr>
      <t xml:space="preserve"> your gross farm income</t>
    </r>
    <r>
      <rPr>
        <vertAlign val="superscript"/>
        <sz val="10"/>
        <rFont val="Arial"/>
        <family val="2"/>
      </rPr>
      <t>1</t>
    </r>
    <r>
      <rPr>
        <sz val="10"/>
        <rFont val="Arial"/>
        <family val="2"/>
      </rPr>
      <t xml:space="preserve"> was not more</t>
    </r>
  </si>
  <si>
    <t xml:space="preserve"> Yes.</t>
  </si>
  <si>
    <t xml:space="preserve">  Apt. no.</t>
  </si>
  <si>
    <t xml:space="preserve">   Last name</t>
  </si>
  <si>
    <t>24a</t>
  </si>
  <si>
    <t>You must use the Simplified Method if either of the following applies.</t>
  </si>
  <si>
    <t>Annuity Starting Date</t>
  </si>
  <si>
    <r>
      <t xml:space="preserve">Enter the </t>
    </r>
    <r>
      <rPr>
        <b/>
        <sz val="10"/>
        <rFont val="Arial"/>
        <family val="2"/>
      </rPr>
      <t>smaller</t>
    </r>
    <r>
      <rPr>
        <sz val="10"/>
        <rFont val="Arial"/>
        <family val="2"/>
      </rPr>
      <t xml:space="preserve"> of line 9 or line 10</t>
    </r>
  </si>
  <si>
    <t>Keep for Your Records</t>
  </si>
  <si>
    <r>
      <t>(2)</t>
    </r>
    <r>
      <rPr>
        <sz val="8"/>
        <rFont val="Arial"/>
        <family val="2"/>
      </rPr>
      <t xml:space="preserve"> Dependent's</t>
    </r>
  </si>
  <si>
    <t>(Form 1040)</t>
  </si>
  <si>
    <t>Department of the Treasury</t>
  </si>
  <si>
    <t>Attachment</t>
  </si>
  <si>
    <t xml:space="preserve">  Be sure to review the Simplified Method Worksheet - Lines 16a </t>
  </si>
  <si>
    <t xml:space="preserve">Net short-term gain or (loss) from partnerships, S corporations, estates, and trusts from </t>
  </si>
  <si>
    <t xml:space="preserve">  No.</t>
  </si>
  <si>
    <t>Domestic production activities deduction.  Attach Form 8903</t>
  </si>
  <si>
    <r>
      <t xml:space="preserve">Enter the </t>
    </r>
    <r>
      <rPr>
        <b/>
        <sz val="10"/>
        <rFont val="Arial"/>
        <family val="2"/>
      </rPr>
      <t>smaller</t>
    </r>
    <r>
      <rPr>
        <sz val="10"/>
        <rFont val="Arial"/>
        <family val="2"/>
      </rPr>
      <t xml:space="preserve"> of line 9 or line 11</t>
    </r>
  </si>
  <si>
    <t>lines 27 and 28. If zero or less, enter -0-.</t>
  </si>
  <si>
    <r>
      <t xml:space="preserve">Yes. </t>
    </r>
    <r>
      <rPr>
        <sz val="10"/>
        <rFont val="Arial"/>
        <family val="2"/>
      </rPr>
      <t>Go to line 18.</t>
    </r>
  </si>
  <si>
    <t>Estates and trusts (amount from Schedule K-1 (Form 1041), box 12, code A)</t>
  </si>
  <si>
    <r>
      <t xml:space="preserve">Gambling, casualty or theft losses </t>
    </r>
    <r>
      <rPr>
        <sz val="8"/>
        <rFont val="Marlett"/>
        <charset val="2"/>
      </rPr>
      <t>4</t>
    </r>
  </si>
  <si>
    <t>Job Expenses</t>
  </si>
  <si>
    <t>State income tax withheld</t>
  </si>
  <si>
    <t>Multiply lines 6a and 6b by the percentage below that applies to you. If the</t>
  </si>
  <si>
    <t>result is not a multiple of $10, increase it to the next multiple of $10 (for</t>
  </si>
  <si>
    <t>Investment interest expense (difference between regular tax and AMT)</t>
  </si>
  <si>
    <t>Depletion (difference between regular tax and AMT)</t>
  </si>
  <si>
    <t>Married filing joint return (even if only one had income)</t>
  </si>
  <si>
    <r>
      <t>Other gains or (losses).  Attach Form 4797</t>
    </r>
    <r>
      <rPr>
        <b/>
        <sz val="9"/>
        <rFont val="Arial"/>
        <family val="2"/>
      </rPr>
      <t>.</t>
    </r>
    <r>
      <rPr>
        <b/>
        <sz val="9"/>
        <rFont val="Arial"/>
        <family val="2"/>
      </rPr>
      <t xml:space="preserve">   .   .   .   .   .   .   .   .   .   .   .   .   .   .   .   .   .   .   .   .   .   .   .   .   .   .   .   .   .   .   .   .   .   .   .   .   .   .   .   .   .</t>
    </r>
  </si>
  <si>
    <t>Payments</t>
  </si>
  <si>
    <t>If you have a</t>
  </si>
  <si>
    <t>Enter the amount shown below for your filing status.</t>
  </si>
  <si>
    <t>16.</t>
  </si>
  <si>
    <r>
      <t>h</t>
    </r>
    <r>
      <rPr>
        <sz val="10"/>
        <rFont val="Arial"/>
        <family val="2"/>
      </rPr>
      <t xml:space="preserve">  You are filing Schedule D and Schedule D, lines 15 and 16, are both more than zero.</t>
    </r>
  </si>
  <si>
    <t>If you have to file Schedule D and Schedule D, line 18 or 19, is more than zero,</t>
  </si>
  <si>
    <r>
      <t xml:space="preserve">  Alternative Minimum Taxable Income </t>
    </r>
    <r>
      <rPr>
        <sz val="12"/>
        <rFont val="Arial"/>
        <family val="2"/>
      </rPr>
      <t xml:space="preserve">   (See instructions for how to complete each line.)</t>
    </r>
  </si>
  <si>
    <t>Affected Sheet</t>
  </si>
  <si>
    <t>Changes Made</t>
  </si>
  <si>
    <r>
      <t>Taxable social security benefits.</t>
    </r>
    <r>
      <rPr>
        <sz val="10"/>
        <rFont val="Arial"/>
        <family val="2"/>
      </rPr>
      <t xml:space="preserve">  Enter the </t>
    </r>
    <r>
      <rPr>
        <b/>
        <sz val="10"/>
        <rFont val="Arial"/>
        <family val="2"/>
      </rPr>
      <t>smaller</t>
    </r>
    <r>
      <rPr>
        <sz val="10"/>
        <rFont val="Arial"/>
        <family val="2"/>
      </rPr>
      <t xml:space="preserve"> of line 16 or line 17</t>
    </r>
  </si>
  <si>
    <t>Are you using one of the optional methods to figure your net</t>
  </si>
  <si>
    <r>
      <t>Commissions and fees</t>
    </r>
    <r>
      <rPr>
        <b/>
        <sz val="10"/>
        <rFont val="Arial"/>
        <family val="2"/>
      </rPr>
      <t xml:space="preserve"> .   .   .   .   .   .   .   .   .</t>
    </r>
  </si>
  <si>
    <t>Supplies (not included in Part III)</t>
  </si>
  <si>
    <t>total payments</t>
  </si>
  <si>
    <t>child, attach</t>
  </si>
  <si>
    <t>Schedule EIC.</t>
  </si>
  <si>
    <t>Cat. No. 13600G</t>
  </si>
  <si>
    <r>
      <t>Net profit or (loss).</t>
    </r>
    <r>
      <rPr>
        <sz val="9"/>
        <rFont val="Arial"/>
        <family val="2"/>
      </rPr>
      <t xml:space="preserve">  Subtract line 30 from line 29.</t>
    </r>
  </si>
  <si>
    <t>Page</t>
  </si>
  <si>
    <t>Was your annuity starting date before 1987?</t>
  </si>
  <si>
    <t xml:space="preserve">       You will need this number when you fill out this worksheet next year</t>
  </si>
  <si>
    <t>5</t>
  </si>
  <si>
    <t>Employer #4</t>
  </si>
  <si>
    <t>Total</t>
  </si>
  <si>
    <t>Excess</t>
  </si>
  <si>
    <r>
      <t xml:space="preserve">Sequence No. </t>
    </r>
    <r>
      <rPr>
        <b/>
        <sz val="10"/>
        <rFont val="Arial"/>
        <family val="2"/>
      </rPr>
      <t>17</t>
    </r>
  </si>
  <si>
    <t>8.</t>
  </si>
  <si>
    <t>9.</t>
  </si>
  <si>
    <t>Keep for your records.</t>
  </si>
  <si>
    <t>If married filing jointly, was your spouse covered by a retirement plan?</t>
  </si>
  <si>
    <t>Enter the earned income you (and your spouse if filing jointly)</t>
  </si>
  <si>
    <t>received as a self-employed individual or a partner. Generally,</t>
  </si>
  <si>
    <t>.   .   .   .   .   .   .   .   .   .   .   .   .   .   .   .   .   .   .   .   .   .   .   .   .</t>
  </si>
  <si>
    <t>name as the</t>
  </si>
  <si>
    <t>the ordinary</t>
  </si>
  <si>
    <t>Disposition of property (difference between AMT and regular tax gain or loss)</t>
  </si>
  <si>
    <t>Before you begin:</t>
  </si>
  <si>
    <t>Annuity starting date</t>
  </si>
  <si>
    <r>
      <t>Business income or (loss).  Attach Schedule C or C-EZ.</t>
    </r>
    <r>
      <rPr>
        <b/>
        <sz val="9"/>
        <rFont val="Arial"/>
        <family val="2"/>
      </rPr>
      <t xml:space="preserve">   .   .   .   .   .   .   .   .   .   .   .   .   .   .   .   .   .   .   .   .   .   .   .   .   .   .   .   .   .   .   .   .   .   .   .   .   .   .   .   .   .</t>
    </r>
  </si>
  <si>
    <t>16a</t>
  </si>
  <si>
    <t>16b</t>
  </si>
  <si>
    <t>20a</t>
  </si>
  <si>
    <t>20b</t>
  </si>
  <si>
    <t>12</t>
  </si>
  <si>
    <t>list the firm's</t>
  </si>
  <si>
    <t>Local tax withheld</t>
  </si>
  <si>
    <t>Name of locality</t>
  </si>
  <si>
    <t>Local distribution</t>
  </si>
  <si>
    <t>Total Distributions</t>
  </si>
  <si>
    <t>Subtract line 12 from line 10</t>
  </si>
  <si>
    <t>Subtract line 13 from line 1. If zero or less, enter -0-</t>
  </si>
  <si>
    <t>.   .   .   .   .   .   .   .   .   .   .   .   .   .   .   .   .   .   .   .</t>
  </si>
  <si>
    <t>Internal Revenue Service (99)</t>
  </si>
  <si>
    <t>Other (attach explanation)</t>
  </si>
  <si>
    <t>http://www.excel1040.com</t>
  </si>
  <si>
    <t>you, complete lines 7 through 10.</t>
  </si>
  <si>
    <r>
      <t xml:space="preserve">If any of the three conditions under </t>
    </r>
    <r>
      <rPr>
        <i/>
        <sz val="9"/>
        <rFont val="Arial"/>
        <family val="2"/>
      </rPr>
      <t>Certain Children Under Age 24</t>
    </r>
    <r>
      <rPr>
        <sz val="9"/>
        <rFont val="Arial"/>
        <family val="2"/>
      </rPr>
      <t xml:space="preserve"> apply to</t>
    </r>
  </si>
  <si>
    <r>
      <t xml:space="preserve">Minimum exemption amount for certain children under age 24 </t>
    </r>
    <r>
      <rPr>
        <b/>
        <sz val="9"/>
        <rFont val="Arial"/>
        <family val="2"/>
      </rPr>
      <t xml:space="preserve"> .   .   .   .   .   .   .   .   .   .   .   .   .   .   .   .   .   .   .   .   .   .   .   .   .   .   .   .   .   .   .   .   .   .   .   .   .   .</t>
    </r>
  </si>
  <si>
    <t>Is the amount on line 6 less than the amount on line 5?</t>
  </si>
  <si>
    <t>If you are:</t>
  </si>
  <si>
    <t>Materials and supplies.   .   .   .   .   .   .   .   .   .   .   .   .   .   .   .   .   .   .   .   .   .   .   .   .   .   .   .   .   .   .   .   .   .   .   .   .   .   .   .   .</t>
  </si>
  <si>
    <t>Add lines 35 through 39  .   .   .   .   .   .   .   .   .   .   .   .   .   .   .   .   .   .   .   .   .   .   .   .   .   .   .   .   .   .   .   .   .   .   .   .   .   .   .   .</t>
  </si>
  <si>
    <t>.   .   .   .   .   .   .   .   .   .   .   .   .   .   .</t>
  </si>
  <si>
    <t>Enter tax from</t>
  </si>
  <si>
    <t>Did you report any wages on Form 8919, Uncollected Social</t>
  </si>
  <si>
    <t>Security and Medicare Tax on Wages?</t>
  </si>
  <si>
    <t>Otherwise, go to line 3.</t>
  </si>
  <si>
    <r>
      <t xml:space="preserve">Enter the </t>
    </r>
    <r>
      <rPr>
        <b/>
        <sz val="10"/>
        <rFont val="Arial"/>
        <family val="2"/>
      </rPr>
      <t>smaller</t>
    </r>
    <r>
      <rPr>
        <sz val="10"/>
        <rFont val="Arial"/>
        <family val="2"/>
      </rPr>
      <t xml:space="preserve"> of line 9 above or Schedule D, line 19</t>
    </r>
  </si>
  <si>
    <t>6a.</t>
  </si>
  <si>
    <t>Employer #2</t>
  </si>
  <si>
    <t>Employer #3</t>
  </si>
  <si>
    <t>Applicable?</t>
  </si>
  <si>
    <t>Your annuity starting date is the later of the first day of:</t>
  </si>
  <si>
    <t>or</t>
  </si>
  <si>
    <t xml:space="preserve"> .   .   .   .   .   .   .   .   .   .   .   .   .   .   .   .   .   .   .   .   .   .   .   .   .   .   .   .   .   .   .   .   .   .   .   .   .   .</t>
  </si>
  <si>
    <t>Download Form 6251</t>
  </si>
  <si>
    <t>Download Form 6251 Instructions</t>
  </si>
  <si>
    <t>foreign trust?  If "Yes," you may have to file Form 3520.  See instructions on back</t>
  </si>
  <si>
    <t xml:space="preserve">.   .   .   .  </t>
  </si>
  <si>
    <t>instructions on</t>
  </si>
  <si>
    <t>back.)</t>
  </si>
  <si>
    <t>.   .   .   .   .   .   .   .   .   .   .   .   .   .   .   .</t>
  </si>
  <si>
    <t>Long-Term Capital Gains and Losses</t>
  </si>
  <si>
    <t>Your IRA</t>
  </si>
  <si>
    <t>SCHEDULE B</t>
  </si>
  <si>
    <t>(Form 1040A or 1040)</t>
  </si>
  <si>
    <t>Interest and Ordinary Dividends</t>
  </si>
  <si>
    <t>Other costs.   .   .   .   .   .   .   .   .   .   .   .   .   .   .   .   .   .   .   .   .   .   .   .   .   .   .   .   .   .   .   .   .   .   .   .   .   .   .   .   .   .   .   .   .   .</t>
  </si>
  <si>
    <t>Also, enter this amount on Form 1040, line 16a</t>
  </si>
  <si>
    <t xml:space="preserve">  .   .   .   .   .   .   .   .   .   .   .   .   .   .   .   .   .   .   .   .   .   .   .   .   .   . </t>
  </si>
  <si>
    <t>If none of your benefits are
taxable, but you must otherwise
file a tax return, do the following:
Enter the total amount from
line A above on Form 1040, line
20a, or Form 1040A, line 14a, 
and enter -0- on Form 1040, line
20b, or Form 1040A, line 14b.</t>
  </si>
  <si>
    <t xml:space="preserve">Excludable interest on series EE and I U.S. savings bonds issued after 1989. </t>
  </si>
  <si>
    <t xml:space="preserve">  .   .   .   .   .   .   .   .   .   .</t>
  </si>
  <si>
    <t xml:space="preserve">  IRA Deduction Worksheet--Line 32  (continued)</t>
  </si>
  <si>
    <t>Form 1040 -- Line 32</t>
  </si>
  <si>
    <t xml:space="preserve">  override cell for Form 1040, Line 16.</t>
  </si>
  <si>
    <t>State and Local Income Tax Refund Worksheet -- Line 10</t>
  </si>
  <si>
    <t>this child’s name here.</t>
  </si>
  <si>
    <t xml:space="preserve"> Summary</t>
  </si>
  <si>
    <t>Employee benefit programs</t>
  </si>
  <si>
    <r>
      <t>(other than on line 19)</t>
    </r>
    <r>
      <rPr>
        <b/>
        <sz val="10"/>
        <rFont val="Arial"/>
        <family val="2"/>
      </rPr>
      <t xml:space="preserve">   .   .   .   .   .   .   .   .   .</t>
    </r>
  </si>
  <si>
    <r>
      <t>Insurance (other than health)</t>
    </r>
    <r>
      <rPr>
        <b/>
        <sz val="10"/>
        <rFont val="Arial"/>
        <family val="2"/>
      </rPr>
      <t>.   .   .   .   .   .   .</t>
    </r>
  </si>
  <si>
    <r>
      <t xml:space="preserve">for special rules </t>
    </r>
    <r>
      <rPr>
        <b/>
        <sz val="9"/>
        <rFont val="Arial"/>
        <family val="2"/>
      </rPr>
      <t>.   .   .   .   .   .   .   .   .   .   .   .   .   .   .   .   .   .   .   .   .   .   .   .   .   .   .   .   .   .   .   .   .   .   .   .   .   .</t>
    </r>
  </si>
  <si>
    <t>Theft Losses</t>
  </si>
  <si>
    <t>Interest:</t>
  </si>
  <si>
    <t>If Schedule D, line 7, is a (loss), enter that (loss) here. Otherwise, enter -0-</t>
  </si>
  <si>
    <t>Combine lines 1 through 6. If zero or less, enter -0-. If more than zero, also enter this amount on</t>
  </si>
  <si>
    <t>Schedule D, line 18</t>
  </si>
  <si>
    <r>
      <t>Caution:</t>
    </r>
    <r>
      <rPr>
        <sz val="9"/>
        <rFont val="Arial"/>
        <family val="2"/>
      </rPr>
      <t xml:space="preserve"> Do not include expenses reimbursed or paid by others.</t>
    </r>
  </si>
  <si>
    <t>and</t>
  </si>
  <si>
    <r>
      <t xml:space="preserve">Other taxes.   List type and amount   </t>
    </r>
    <r>
      <rPr>
        <sz val="10"/>
        <rFont val="Marlett"/>
        <charset val="2"/>
      </rPr>
      <t>4</t>
    </r>
  </si>
  <si>
    <t>Accounts</t>
  </si>
  <si>
    <t>7a</t>
  </si>
  <si>
    <t>Paid</t>
  </si>
  <si>
    <t>Preparer's</t>
  </si>
  <si>
    <t>Use Only</t>
  </si>
  <si>
    <t>Enter the total of your (and your spouse’s if filing jointly):</t>
  </si>
  <si>
    <t>for your records.</t>
  </si>
  <si>
    <t>Information from Form SSA-1099, Social Security Benefit Statement</t>
  </si>
  <si>
    <t>Voluntary Federal income Tax Withheld</t>
  </si>
  <si>
    <t>Status:</t>
  </si>
  <si>
    <t>.</t>
  </si>
  <si>
    <t xml:space="preserve"> .   .   .   .   .   .   .   .   .   .   .   .   .   .</t>
  </si>
  <si>
    <t>Married filing separate return.  Enter spouse's SSN above</t>
  </si>
  <si>
    <t>Yes</t>
  </si>
  <si>
    <t>No</t>
  </si>
  <si>
    <t>Married filing separately</t>
  </si>
  <si>
    <t>Head of household</t>
  </si>
  <si>
    <t>Alternative Minimum Tax—Individuals</t>
  </si>
  <si>
    <r>
      <t xml:space="preserve">Sequence No. </t>
    </r>
    <r>
      <rPr>
        <b/>
        <sz val="8"/>
        <rFont val="Arial"/>
        <family val="2"/>
      </rPr>
      <t>32</t>
    </r>
  </si>
  <si>
    <t xml:space="preserve">.   .   .   .   .   .   .   .   .   .   .   .   .   .   . </t>
  </si>
  <si>
    <t>Standard</t>
  </si>
  <si>
    <t xml:space="preserve"> No.</t>
  </si>
  <si>
    <t>Inventory at beginning of the year.  If different from last year's closing inventory, attach explanation.   .   .   .   .   .   .</t>
  </si>
  <si>
    <t>Form 4563 (exclusion of income for residents of American Samoa)</t>
  </si>
  <si>
    <t xml:space="preserve">No </t>
  </si>
  <si>
    <t>income-producing factor, minus any deductions on Form 1040,</t>
  </si>
  <si>
    <t>Add lines 8 and 9</t>
  </si>
  <si>
    <r>
      <t>stop here</t>
    </r>
    <r>
      <rPr>
        <i/>
        <sz val="10"/>
        <rFont val="Arial"/>
        <family val="2"/>
      </rPr>
      <t xml:space="preserve"> and </t>
    </r>
  </si>
  <si>
    <t>a smaller amount and treat the rest as a nondeductible contribution (see Form 8606).</t>
  </si>
  <si>
    <t>Taxable amount</t>
  </si>
  <si>
    <t>Payer #1</t>
  </si>
  <si>
    <t>Payer #2</t>
  </si>
  <si>
    <t>Payer #3</t>
  </si>
  <si>
    <t>Enter the amount, if any, from Form 1040, line 8b</t>
  </si>
  <si>
    <t>Married filing separately and you lived with your spouse at any time</t>
  </si>
  <si>
    <t>9a</t>
  </si>
  <si>
    <t>9b</t>
  </si>
  <si>
    <t>Your percentage of  total distribution</t>
  </si>
  <si>
    <t>Do you have qualified dividends on Form 1040, line 9b, or Form 1040NR, line 10b?</t>
  </si>
  <si>
    <t>B</t>
  </si>
  <si>
    <t>Enter one-half of the amount on line A</t>
  </si>
  <si>
    <t>Enter any tax-exempt interest such as interest on municipal bonds</t>
  </si>
  <si>
    <t>D</t>
  </si>
  <si>
    <t>IRA distributions</t>
  </si>
  <si>
    <t>Form 2555 or 2555-EZ (relating to foreign earned income)</t>
  </si>
  <si>
    <t>– Best viewed at 1024x768 resolution.</t>
  </si>
  <si>
    <t>Form</t>
  </si>
  <si>
    <t>self-employment if your personal services were a material</t>
  </si>
  <si>
    <t>Are you a minister, member of a religious order, or Christian</t>
  </si>
  <si>
    <t>tax on other earnings?</t>
  </si>
  <si>
    <t>if:</t>
  </si>
  <si>
    <t>Check</t>
  </si>
  <si>
    <t xml:space="preserve">   Income</t>
  </si>
  <si>
    <t>1.</t>
  </si>
  <si>
    <t>10.</t>
  </si>
  <si>
    <t>11.</t>
  </si>
  <si>
    <t>12.</t>
  </si>
  <si>
    <t>Subtract line 6 from line 2.</t>
  </si>
  <si>
    <t xml:space="preserve"> .   .   .   .   .   .   .   .   .   .   .   .   .   .   .   .   .   .   .   .   .   .   .   .   .   .   .   .   .   .   .   .</t>
  </si>
  <si>
    <t>Exemptions.</t>
  </si>
  <si>
    <t xml:space="preserve">.   .   .   .   .   .   .   .   .   .   .   .   .   .   .   .   .   .   .   .   .   .   .   .   .   .   . </t>
  </si>
  <si>
    <r>
      <t>b</t>
    </r>
    <r>
      <rPr>
        <sz val="8"/>
        <rFont val="Arial"/>
        <family val="2"/>
      </rPr>
      <t xml:space="preserve"> Commuting (See instructions)</t>
    </r>
  </si>
  <si>
    <t>Divide line 2 by the number on line 3</t>
  </si>
  <si>
    <t xml:space="preserve">      Attachment</t>
  </si>
  <si>
    <t>Is the amount on line 5 less than the amount on line 2?</t>
  </si>
  <si>
    <t>All investment at risk.</t>
  </si>
  <si>
    <t>32b</t>
  </si>
  <si>
    <t>If your filing status is MFS</t>
  </si>
  <si>
    <t>Mining costs (difference between regular tax and AMT)</t>
  </si>
  <si>
    <t>NOTE:  Check every calculation carefully!!!</t>
  </si>
  <si>
    <t>Social security wages</t>
  </si>
  <si>
    <t>Social security tax withheld</t>
  </si>
  <si>
    <t>Medicare wages and tips</t>
  </si>
  <si>
    <t>Medicare tax withheld</t>
  </si>
  <si>
    <t>Casualty and</t>
  </si>
  <si>
    <r>
      <t xml:space="preserve">Page   </t>
    </r>
    <r>
      <rPr>
        <b/>
        <sz val="10"/>
        <rFont val="Arial"/>
        <family val="2"/>
      </rPr>
      <t>2</t>
    </r>
  </si>
  <si>
    <t>PART III</t>
  </si>
  <si>
    <t>Car and truck expenses</t>
  </si>
  <si>
    <t>Other business property</t>
  </si>
  <si>
    <r>
      <t xml:space="preserve">Enter the income tax refund from </t>
    </r>
    <r>
      <rPr>
        <b/>
        <sz val="10"/>
        <rFont val="Arial"/>
        <family val="2"/>
      </rPr>
      <t>Form(s) 1099-G</t>
    </r>
    <r>
      <rPr>
        <sz val="10"/>
        <rFont val="Arial"/>
        <family val="2"/>
      </rPr>
      <t xml:space="preserve"> (or similar statement).  But </t>
    </r>
    <r>
      <rPr>
        <b/>
        <sz val="10"/>
        <rFont val="Arial"/>
        <family val="2"/>
      </rPr>
      <t>do not</t>
    </r>
    <r>
      <rPr>
        <sz val="10"/>
        <rFont val="Arial"/>
        <family val="2"/>
      </rPr>
      <t xml:space="preserve"> enter more than</t>
    </r>
  </si>
  <si>
    <t>Note.</t>
  </si>
  <si>
    <t>®</t>
  </si>
  <si>
    <t>dependents, see</t>
  </si>
  <si>
    <t>Vehicles, machinery and equipment</t>
  </si>
  <si>
    <t>Form 5329 is</t>
  </si>
  <si>
    <r>
      <t>Taxable</t>
    </r>
    <r>
      <rPr>
        <sz val="9"/>
        <rFont val="Arial"/>
        <family val="2"/>
      </rPr>
      <t xml:space="preserve"> interest.  Attach Schedule B if required.</t>
    </r>
    <r>
      <rPr>
        <b/>
        <sz val="9"/>
        <rFont val="Arial"/>
        <family val="2"/>
      </rPr>
      <t xml:space="preserve">   .   .   .   .   .   .   .   .   .   .   .   .   .   .   .   .   .   .   .   .   .   .   .   .   .   .   .</t>
    </r>
  </si>
  <si>
    <t>.   .   .   .   .   .   .   .   .   .   .   .   .   .   .   .   .   .   .   .   .   .</t>
  </si>
  <si>
    <t xml:space="preserve"> You</t>
  </si>
  <si>
    <t xml:space="preserve"> Spouse</t>
  </si>
  <si>
    <t>If your figures show that part
of your benefits may be taxable,
see Social Security Benefits in
your federal income tax return
instructions. If they do not, none
of your benefits are taxable this
year unless you exclude income
from sources outside the United
States, interest income from
series EE or I U.S. savings
bonds issued after 1989, or
employer-provided adoption
benefits. For more details, see
IRS Pub. 915 or contact the IRS
as explained below.</t>
  </si>
  <si>
    <t>Cost of labor.  Do not include salary paid to yourself.   .   .   .   .   .   .   .   .   .   .   .   .   .   .   .   .   .   .   .   .   .   .   .   .   .   .   .</t>
  </si>
  <si>
    <t>Part III</t>
  </si>
  <si>
    <t>Download Form 1040 Schedule D</t>
  </si>
  <si>
    <t>IRA Deduction Worksheet--Line 32</t>
  </si>
  <si>
    <r>
      <t>Gross income.</t>
    </r>
    <r>
      <rPr>
        <sz val="9"/>
        <rFont val="Arial"/>
        <family val="2"/>
      </rPr>
      <t xml:space="preserve">  Add lines 5 and 6</t>
    </r>
    <r>
      <rPr>
        <b/>
        <sz val="9"/>
        <rFont val="Arial"/>
        <family val="2"/>
      </rPr>
      <t>.   .   .   .   .   .   .   .   .   .   .   .   .   .   .   .   .   .   .   .   .   .   .   .   .   .   .   .   .   .   .   .   .   .   .   .</t>
    </r>
  </si>
  <si>
    <t>Schedule K-1 from a partnership, S corporation, estate, or trust.</t>
  </si>
  <si>
    <t>State/payer's state no.</t>
  </si>
  <si>
    <t>For Paperwork Reduction Act Notice, see Form 1040 instructions.</t>
  </si>
  <si>
    <t>Do you (or your spouse) have another vehicle available for personal use?   .   .   .   .</t>
  </si>
  <si>
    <r>
      <t xml:space="preserve">on earnings from these sources, </t>
    </r>
    <r>
      <rPr>
        <b/>
        <sz val="8"/>
        <rFont val="Arial"/>
        <family val="2"/>
      </rPr>
      <t>but</t>
    </r>
    <r>
      <rPr>
        <sz val="8"/>
        <rFont val="Arial"/>
        <family val="2"/>
      </rPr>
      <t xml:space="preserve"> you owe self-employment</t>
    </r>
  </si>
  <si>
    <r>
      <t xml:space="preserve">that you </t>
    </r>
    <r>
      <rPr>
        <b/>
        <sz val="8"/>
        <rFont val="Arial"/>
        <family val="2"/>
      </rPr>
      <t>did not</t>
    </r>
    <r>
      <rPr>
        <sz val="8"/>
        <rFont val="Arial"/>
        <family val="2"/>
      </rPr>
      <t xml:space="preserve"> report to your employer?</t>
    </r>
  </si>
  <si>
    <t>Social security benefits</t>
  </si>
  <si>
    <t xml:space="preserve">Part I </t>
  </si>
  <si>
    <t xml:space="preserve">complete this </t>
  </si>
  <si>
    <t>worksheet anyway.</t>
  </si>
  <si>
    <t>Check here to</t>
  </si>
  <si>
    <t>.   .   .   .   .   .   .   .</t>
  </si>
  <si>
    <t>Enter the amount shown below that applies to you.</t>
  </si>
  <si>
    <r>
      <t xml:space="preserve">Single, head of household, or married filing separately and you </t>
    </r>
    <r>
      <rPr>
        <b/>
        <sz val="10"/>
        <rFont val="Arial"/>
        <family val="2"/>
      </rPr>
      <t>lived apart</t>
    </r>
  </si>
  <si>
    <t>covered by a plan</t>
  </si>
  <si>
    <t>Enter one-half of line 12   .   .   .   .   .   .   .   .   .   .   .   .</t>
  </si>
  <si>
    <r>
      <t xml:space="preserve">Enter the </t>
    </r>
    <r>
      <rPr>
        <b/>
        <sz val="10"/>
        <rFont val="Arial"/>
        <family val="2"/>
      </rPr>
      <t>smaller</t>
    </r>
    <r>
      <rPr>
        <sz val="10"/>
        <rFont val="Arial"/>
        <family val="2"/>
      </rPr>
      <t xml:space="preserve"> of line 2 or line 13.   .   .   .   .   .   .</t>
    </r>
  </si>
  <si>
    <t>Direct deposit?</t>
  </si>
  <si>
    <r>
      <t xml:space="preserve">Spouse’s signature. If a joint return, </t>
    </r>
    <r>
      <rPr>
        <b/>
        <sz val="7"/>
        <rFont val="Arial"/>
        <family val="2"/>
      </rPr>
      <t>both</t>
    </r>
    <r>
      <rPr>
        <sz val="7"/>
        <rFont val="Arial"/>
        <family val="2"/>
      </rPr>
      <t xml:space="preserve"> must sign.</t>
    </r>
  </si>
  <si>
    <t>Keep a copy</t>
  </si>
  <si>
    <t>Gifts to</t>
  </si>
  <si>
    <t>Charity</t>
  </si>
  <si>
    <t>If you made a</t>
  </si>
  <si>
    <t>gift and got a</t>
  </si>
  <si>
    <t>benefit for it,</t>
  </si>
  <si>
    <t>No. of Employers</t>
  </si>
  <si>
    <r>
      <t>STOP</t>
    </r>
    <r>
      <rPr>
        <sz val="10"/>
        <rFont val="Arial"/>
        <family val="2"/>
      </rPr>
      <t xml:space="preserve">   None of your refund is taxable.</t>
    </r>
  </si>
  <si>
    <t>Alimony paid</t>
  </si>
  <si>
    <t>The number</t>
  </si>
  <si>
    <t>of months</t>
  </si>
  <si>
    <t>more than 12.</t>
  </si>
  <si>
    <t>l</t>
  </si>
  <si>
    <t>2a</t>
  </si>
  <si>
    <t>2b</t>
  </si>
  <si>
    <t>Simplified Method Worksheet–--Lines 16a and 16b</t>
  </si>
  <si>
    <t>Table 2 For Line 3 Above</t>
  </si>
  <si>
    <t>Total social security</t>
  </si>
  <si>
    <t>wages and tips</t>
  </si>
  <si>
    <t>Business name.  If no separate business name, leave blank.</t>
  </si>
  <si>
    <t>Add the amounts on line 5. Enter the total here and on Form 1040A, or Form</t>
  </si>
  <si>
    <t>1040, line 9a</t>
  </si>
  <si>
    <t>20.</t>
  </si>
  <si>
    <t>21.</t>
  </si>
  <si>
    <t>22.</t>
  </si>
  <si>
    <t>23.</t>
  </si>
  <si>
    <t>24.</t>
  </si>
  <si>
    <t>25.</t>
  </si>
  <si>
    <t>26.</t>
  </si>
  <si>
    <t>27.</t>
  </si>
  <si>
    <t>32.</t>
  </si>
  <si>
    <t>33.</t>
  </si>
  <si>
    <t>Enter:</t>
  </si>
  <si>
    <r>
      <t xml:space="preserve">Mortgage (paid to banks, etc.) </t>
    </r>
    <r>
      <rPr>
        <b/>
        <sz val="10"/>
        <rFont val="Arial"/>
        <family val="2"/>
      </rPr>
      <t xml:space="preserve">  .   .   .   .   .   .</t>
    </r>
  </si>
  <si>
    <t>Ordinary</t>
  </si>
  <si>
    <t>Dividends</t>
  </si>
  <si>
    <t>tax credit.</t>
  </si>
  <si>
    <t>This is your child</t>
  </si>
  <si>
    <t>Worksheet</t>
  </si>
  <si>
    <r>
      <t xml:space="preserve">Penalty on early withdrawal of savings </t>
    </r>
    <r>
      <rPr>
        <b/>
        <sz val="9"/>
        <rFont val="Arial"/>
        <family val="2"/>
      </rPr>
      <t xml:space="preserve"> .   .   .   .   .   .   .   .   .   .   .   .   .   .   .   .   .   .   .   .   .   .   .   .   .   .   .   .   .   .   .   .   .   .   .   .   .   .   .   .   .</t>
    </r>
  </si>
  <si>
    <t>2555 or 2555-EZ (relating to foreign earned income), enter the amount from</t>
  </si>
  <si>
    <r>
      <t>Enter the amount from Form 1040, line 9b*</t>
    </r>
    <r>
      <rPr>
        <b/>
        <sz val="9"/>
        <rFont val="Arial"/>
        <family val="2"/>
      </rPr>
      <t xml:space="preserve"> .    .    .    .    .    .    .</t>
    </r>
  </si>
  <si>
    <t>Are you filing Schedule D?*</t>
  </si>
  <si>
    <r>
      <t xml:space="preserve">Enter the </t>
    </r>
    <r>
      <rPr>
        <b/>
        <sz val="10"/>
        <rFont val="Arial"/>
        <family val="2"/>
      </rPr>
      <t>smaller</t>
    </r>
    <r>
      <rPr>
        <sz val="10"/>
        <rFont val="Arial"/>
        <family val="2"/>
      </rPr>
      <t xml:space="preserve"> of: two-thirds (2 ⁄3) of gross nonfarm income</t>
    </r>
    <r>
      <rPr>
        <vertAlign val="superscript"/>
        <sz val="10"/>
        <rFont val="Arial"/>
        <family val="2"/>
      </rPr>
      <t>4</t>
    </r>
    <r>
      <rPr>
        <sz val="10"/>
        <rFont val="Arial"/>
        <family val="2"/>
      </rPr>
      <t xml:space="preserve"> (not less than zero) </t>
    </r>
    <r>
      <rPr>
        <b/>
        <sz val="10"/>
        <rFont val="Arial"/>
        <family val="2"/>
      </rPr>
      <t>or</t>
    </r>
    <r>
      <rPr>
        <sz val="10"/>
        <rFont val="Arial"/>
        <family val="2"/>
      </rPr>
      <t xml:space="preserve"> the amount</t>
    </r>
  </si>
  <si>
    <t>SCHEDULE C</t>
  </si>
  <si>
    <t>Profit or Loss from Business</t>
  </si>
  <si>
    <t>(Sole Proprietorship)</t>
  </si>
  <si>
    <r>
      <t xml:space="preserve">Sequence No. </t>
    </r>
    <r>
      <rPr>
        <b/>
        <sz val="8"/>
        <rFont val="Arial"/>
        <family val="2"/>
      </rPr>
      <t>09</t>
    </r>
  </si>
  <si>
    <t>Name of Proprietor</t>
  </si>
  <si>
    <t>Single, HOH, MFS</t>
  </si>
  <si>
    <t>MFJ, QWidow(er)</t>
  </si>
  <si>
    <t>expense deduction (not included</t>
  </si>
  <si>
    <t>P</t>
  </si>
  <si>
    <t>Payer #4</t>
  </si>
  <si>
    <t>5a</t>
  </si>
  <si>
    <t>5b</t>
  </si>
  <si>
    <t>E</t>
  </si>
  <si>
    <t>City, town or post office, state, and ZIP code</t>
  </si>
  <si>
    <t>F</t>
  </si>
  <si>
    <t xml:space="preserve">.   .   .   .   .   .   .   .   .   .   .   .   .   .   .   .   .   . </t>
  </si>
  <si>
    <t>Depreciation on assets placed in service after 1986 (difference between regular tax and AMT)</t>
  </si>
  <si>
    <t>Part 1</t>
  </si>
  <si>
    <r>
      <t>worksheet last year, enter the amount from line 10 of last year’s worksheet.</t>
    </r>
    <r>
      <rPr>
        <b/>
        <sz val="9"/>
        <rFont val="Arial"/>
        <family val="2"/>
      </rPr>
      <t xml:space="preserve">   .    .    .</t>
    </r>
  </si>
  <si>
    <t>Complete Form 1040, lines 21 and 23 through 32, if they apply to you.</t>
  </si>
  <si>
    <r>
      <t xml:space="preserve">Use this worksheet to figure your tax if </t>
    </r>
    <r>
      <rPr>
        <u/>
        <sz val="10"/>
        <rFont val="Arial"/>
        <family val="2"/>
      </rPr>
      <t>any</t>
    </r>
    <r>
      <rPr>
        <sz val="10"/>
        <rFont val="Arial"/>
        <family val="2"/>
      </rPr>
      <t xml:space="preserve"> of the following apply:</t>
    </r>
  </si>
  <si>
    <t>Third Party</t>
  </si>
  <si>
    <t>Designee</t>
  </si>
  <si>
    <t>Add lines 8a, 8b, and 8c</t>
  </si>
  <si>
    <t>8d</t>
  </si>
  <si>
    <t>Unreported tips subject to social security tax (from Form 4137, line 10)</t>
  </si>
  <si>
    <t>Wages subject to social security tax (from Form 8919, line 10)</t>
  </si>
  <si>
    <t>Subtract line 8d from line 7. If zero or less, enter -0- here and on line 10 and go to line 11.</t>
  </si>
  <si>
    <t>Itemized Deductions</t>
  </si>
  <si>
    <t>SCHEDULE A</t>
  </si>
  <si>
    <t>page A-10.)</t>
  </si>
  <si>
    <t xml:space="preserve">       or</t>
  </si>
  <si>
    <t xml:space="preserve"> Yes</t>
  </si>
  <si>
    <t xml:space="preserve"> No</t>
  </si>
  <si>
    <t>(above)</t>
  </si>
  <si>
    <r>
      <t>and</t>
    </r>
    <r>
      <rPr>
        <sz val="10"/>
        <rFont val="Arial"/>
        <family val="2"/>
      </rPr>
      <t xml:space="preserve"> </t>
    </r>
    <r>
      <rPr>
        <b/>
        <sz val="10"/>
        <rFont val="Arial"/>
        <family val="2"/>
      </rPr>
      <t>both</t>
    </r>
    <r>
      <rPr>
        <sz val="10"/>
        <rFont val="Arial"/>
        <family val="2"/>
      </rPr>
      <t xml:space="preserve"> of the following apply.</t>
    </r>
  </si>
  <si>
    <t>qualifying</t>
  </si>
  <si>
    <t>If "Yes", is the evidence written?</t>
  </si>
  <si>
    <r>
      <t xml:space="preserve">Science practitioner who received IRS approval </t>
    </r>
    <r>
      <rPr>
        <b/>
        <sz val="8"/>
        <rFont val="Arial"/>
        <family val="2"/>
      </rPr>
      <t>not</t>
    </r>
    <r>
      <rPr>
        <sz val="8"/>
        <rFont val="Arial"/>
        <family val="2"/>
      </rPr>
      <t xml:space="preserve"> to be taxed</t>
    </r>
  </si>
  <si>
    <t>1065), box 14, code A</t>
  </si>
  <si>
    <t>Download Form 1040 Schedule A</t>
  </si>
  <si>
    <t>Download Form 1040 Schedule A Instructions</t>
  </si>
  <si>
    <t xml:space="preserve"> </t>
  </si>
  <si>
    <t>Interest</t>
  </si>
  <si>
    <r>
      <t xml:space="preserve">Form 4972 here </t>
    </r>
    <r>
      <rPr>
        <sz val="8"/>
        <rFont val="Symbol"/>
        <family val="1"/>
        <charset val="2"/>
      </rPr>
      <t>¯</t>
    </r>
  </si>
  <si>
    <t>If you did not</t>
  </si>
  <si>
    <t>b. On your annuity starting date, either:</t>
  </si>
  <si>
    <t>If you do not have to file Schedule D and you received capital gain distributions, be sure</t>
  </si>
  <si>
    <t>Spouse's social security number</t>
  </si>
  <si>
    <t>P/A</t>
  </si>
  <si>
    <t xml:space="preserve">  and 16b (on the "Line 16" tab) to verify the taxable amount is </t>
  </si>
  <si>
    <t>.   .   .   .   .   .   .   .   .</t>
  </si>
  <si>
    <t>May I Use Short Schedule SE or Must I Use Long Schedule SE?</t>
  </si>
  <si>
    <r>
      <t xml:space="preserve"> No. </t>
    </r>
    <r>
      <rPr>
        <sz val="10"/>
        <rFont val="Arial"/>
        <family val="2"/>
      </rPr>
      <t xml:space="preserve">  </t>
    </r>
    <r>
      <rPr>
        <b/>
        <sz val="10"/>
        <rFont val="Arial"/>
        <family val="2"/>
      </rPr>
      <t>STOP</t>
    </r>
    <r>
      <rPr>
        <sz val="10"/>
        <rFont val="Arial"/>
        <family val="2"/>
      </rPr>
      <t xml:space="preserve">  None of your social security benefits are taxable.  Enter -0- on Form 1040, line</t>
    </r>
  </si>
  <si>
    <t xml:space="preserve">                    20b.</t>
  </si>
  <si>
    <t>Also, enter this amount on Form 1040, line 20b.</t>
  </si>
  <si>
    <t>Internal Revenue Service</t>
  </si>
  <si>
    <t>Form W-2</t>
  </si>
  <si>
    <t>Download Form 1040 Schedule SE</t>
  </si>
  <si>
    <t>Download Form 1040 Schedule SE Instructions</t>
  </si>
  <si>
    <r>
      <t xml:space="preserve">Page </t>
    </r>
    <r>
      <rPr>
        <sz val="9"/>
        <rFont val="Arial"/>
        <family val="2"/>
      </rPr>
      <t xml:space="preserve"> </t>
    </r>
    <r>
      <rPr>
        <b/>
        <sz val="10"/>
        <rFont val="Arial"/>
        <family val="2"/>
      </rPr>
      <t>2</t>
    </r>
  </si>
  <si>
    <t>4.</t>
  </si>
  <si>
    <t>SCHEDULE D</t>
  </si>
  <si>
    <t>Capital Gains and Losses</t>
  </si>
  <si>
    <t>Other</t>
  </si>
  <si>
    <t>CGTW_Line1</t>
  </si>
  <si>
    <t xml:space="preserve">  .   .</t>
  </si>
  <si>
    <t>Please enter the</t>
  </si>
  <si>
    <t>amount for line 1b</t>
  </si>
  <si>
    <t>as a negative amount.</t>
  </si>
  <si>
    <r>
      <t xml:space="preserve">Enter the amount from Form 4952, line 4e* </t>
    </r>
    <r>
      <rPr>
        <b/>
        <sz val="10"/>
        <rFont val="Arial"/>
        <family val="2"/>
      </rPr>
      <t>.   .   .   .   .   .   .   .   .   .</t>
    </r>
  </si>
  <si>
    <t>Subtract line 5 from line 2. If zero or less, enter -0-**</t>
  </si>
  <si>
    <t>Subtract line 8 from line 7. If zero or less, enter -0-**</t>
  </si>
  <si>
    <t>Add lines 18 and 19 of Schedule D**</t>
  </si>
  <si>
    <t>Amount entered on Form 1040, line 32 --&gt;</t>
  </si>
  <si>
    <t>Figure any write-in adjustments to be entered on the dotted line next to line 36 (see the</t>
  </si>
  <si>
    <t>.   .   .   .   .   .   .   .   .   .   .   .   .   .   .   .   .   .   .   .   .   .   .   .</t>
  </si>
  <si>
    <t>6b.</t>
  </si>
  <si>
    <t>IRA</t>
  </si>
  <si>
    <t>Total Pension / Annunities</t>
  </si>
  <si>
    <r>
      <t xml:space="preserve">Override </t>
    </r>
    <r>
      <rPr>
        <b/>
        <sz val="10"/>
        <rFont val="Wingdings"/>
        <charset val="2"/>
      </rPr>
      <t>ê</t>
    </r>
  </si>
  <si>
    <t>Cat. No. 11320B</t>
  </si>
  <si>
    <t>nondeductible IRA contributions, see Form 8606.</t>
  </si>
  <si>
    <t>Pensions and annuities</t>
  </si>
  <si>
    <t>Enter the amount shown below for the filing status</t>
  </si>
  <si>
    <t>No.</t>
  </si>
  <si>
    <t>Enter -0-.</t>
  </si>
  <si>
    <t>Yes.</t>
  </si>
  <si>
    <t>Qualifying widow(er)</t>
  </si>
  <si>
    <r>
      <t xml:space="preserve"> </t>
    </r>
    <r>
      <rPr>
        <b/>
        <sz val="9"/>
        <rFont val="Arial"/>
        <family val="2"/>
      </rPr>
      <t xml:space="preserve"> a</t>
    </r>
    <r>
      <rPr>
        <sz val="9"/>
        <rFont val="Arial"/>
        <family val="2"/>
      </rPr>
      <t xml:space="preserve">   </t>
    </r>
    <r>
      <rPr>
        <sz val="8"/>
        <rFont val="Arial"/>
        <family val="2"/>
      </rPr>
      <t>Business</t>
    </r>
  </si>
  <si>
    <t>starting date</t>
  </si>
  <si>
    <r>
      <t xml:space="preserve">widow(er), or married filing separately and you </t>
    </r>
    <r>
      <rPr>
        <b/>
        <sz val="10"/>
        <rFont val="Arial"/>
        <family val="2"/>
      </rPr>
      <t>lived apart</t>
    </r>
    <r>
      <rPr>
        <sz val="10"/>
        <rFont val="Arial"/>
        <family val="2"/>
      </rPr>
      <t xml:space="preserve"> from your spouse for all of</t>
    </r>
  </si>
  <si>
    <r>
      <t xml:space="preserve">Ordinary dividends.  Attach Schedule B if required. </t>
    </r>
    <r>
      <rPr>
        <b/>
        <sz val="9"/>
        <rFont val="Arial"/>
        <family val="2"/>
      </rPr>
      <t xml:space="preserve">  .   .   .   .   .   .   .   .   .   .   .   .   .   .   .   .   .   .   .   .   .   .   .   .   .   .   .</t>
    </r>
  </si>
  <si>
    <t>Are you excluding income from Puerto Rico or are you filing any of the following forms?</t>
  </si>
  <si>
    <t xml:space="preserve">· </t>
  </si>
  <si>
    <t>Total employee contributions</t>
  </si>
  <si>
    <t>State tax withheld</t>
  </si>
  <si>
    <t>28% Rate Gain Worksheet — Line 18</t>
  </si>
  <si>
    <r>
      <t>box 11, code C</t>
    </r>
    <r>
      <rPr>
        <b/>
        <sz val="10"/>
        <rFont val="Arial"/>
        <family val="2"/>
      </rPr>
      <t xml:space="preserve"> .   .   .   .   .   .   .   .   .   .   .   .   .   .   .   .   .   .   .   .   .   .   .   .   .   .   .   .   .   .   .   .   .   .   .   .   .   .   .   .   .   .   .   .   .   .   .</t>
    </r>
  </si>
  <si>
    <t>Long-term contracts (difference between AMT and regular tax income)</t>
  </si>
  <si>
    <t xml:space="preserve">Circulation costs (difference between regular tax and AMT) </t>
  </si>
  <si>
    <t xml:space="preserve">Loss limitations (difference between AMT and regular tax income or loss) </t>
  </si>
  <si>
    <t>children.</t>
  </si>
  <si>
    <t>Depreciation and section 179</t>
  </si>
  <si>
    <r>
      <t xml:space="preserve">value closing inventory       </t>
    </r>
    <r>
      <rPr>
        <b/>
        <sz val="9"/>
        <rFont val="Arial"/>
        <family val="2"/>
      </rPr>
      <t>a</t>
    </r>
  </si>
  <si>
    <r>
      <t xml:space="preserve">or railroad retirement (tier 1) tax </t>
    </r>
    <r>
      <rPr>
        <b/>
        <sz val="8"/>
        <rFont val="Arial"/>
        <family val="2"/>
      </rPr>
      <t>plus</t>
    </r>
    <r>
      <rPr>
        <sz val="8"/>
        <rFont val="Arial"/>
        <family val="2"/>
      </rPr>
      <t xml:space="preserve"> your net earnings from</t>
    </r>
  </si>
  <si>
    <t>box 14, code A (other than farming); and Schedule K-1 (Form 1065-B), box 9, code J1.</t>
  </si>
  <si>
    <t xml:space="preserve">.   .   .   .   .   .   .   .   .   .   .   .   .   .   .   .   .   .   .   .   .   .   .   . </t>
  </si>
  <si>
    <t xml:space="preserve"> .   .   .   .   .   .   .   .   .   .   .   .   .   .   .   .   .   .   .   .   .   .   .   .   .   .   .   .   . </t>
  </si>
  <si>
    <r>
      <t xml:space="preserve">  </t>
    </r>
    <r>
      <rPr>
        <b/>
        <sz val="9"/>
        <rFont val="Marlett"/>
        <charset val="2"/>
      </rPr>
      <t>4</t>
    </r>
    <r>
      <rPr>
        <b/>
        <sz val="9"/>
        <rFont val="Arial"/>
        <family val="2"/>
      </rPr>
      <t xml:space="preserve">  Attach to Form 1040 or Form 1040NR.</t>
    </r>
  </si>
  <si>
    <t>Name(s) shown on Form 1040 or Form 1040NR</t>
  </si>
  <si>
    <t>If you elect to itemize deductions even though they are less than your standard</t>
  </si>
  <si>
    <t>6a</t>
  </si>
  <si>
    <t xml:space="preserve">Number of qualifying children:  </t>
  </si>
  <si>
    <t>13.</t>
  </si>
  <si>
    <t>14.</t>
  </si>
  <si>
    <t>15.</t>
  </si>
  <si>
    <t>Miscellaneous</t>
  </si>
  <si>
    <t>Deductions</t>
  </si>
  <si>
    <t>Research and experimental costs (difference between regular tax and AMT)</t>
  </si>
  <si>
    <t>use the Schedule D Tax Worksheet on page D-10 of the Instructions for Schedule D to figure your tax.</t>
  </si>
  <si>
    <t>Taxable income.</t>
  </si>
  <si>
    <t>(See</t>
  </si>
  <si>
    <t>You Paid</t>
  </si>
  <si>
    <t>Income taxes, or</t>
  </si>
  <si>
    <t>you checked the box on line 13 of Form 1040.</t>
  </si>
  <si>
    <t>after</t>
  </si>
  <si>
    <t>before</t>
  </si>
  <si>
    <t>Method(s) used to</t>
  </si>
  <si>
    <t>Cost</t>
  </si>
  <si>
    <t>Lower cost or market</t>
  </si>
  <si>
    <t>Table 1 For Line 3 Above</t>
  </si>
  <si>
    <t>AND your annuity starting date was----</t>
  </si>
  <si>
    <t xml:space="preserve"> (used to figure investment interest expense deduction)</t>
  </si>
  <si>
    <t>If your filing status is MFJ or QW</t>
  </si>
  <si>
    <t>.   .   .   .   .   .   .   .   .   .</t>
  </si>
  <si>
    <r>
      <t>Note.</t>
    </r>
    <r>
      <rPr>
        <sz val="10"/>
        <rFont val="Arial"/>
        <family val="2"/>
      </rPr>
      <t xml:space="preserve"> When figuring which amount is smaller, treat both amounts as positive numbers.</t>
    </r>
  </si>
  <si>
    <r>
      <t>Page</t>
    </r>
    <r>
      <rPr>
        <sz val="9"/>
        <rFont val="Arial"/>
        <family val="2"/>
      </rPr>
      <t xml:space="preserve"> </t>
    </r>
    <r>
      <rPr>
        <sz val="12"/>
        <rFont val="Arial"/>
        <family val="2"/>
      </rPr>
      <t xml:space="preserve"> </t>
    </r>
    <r>
      <rPr>
        <b/>
        <sz val="12"/>
        <rFont val="Arial"/>
        <family val="2"/>
      </rPr>
      <t>2</t>
    </r>
  </si>
  <si>
    <r>
      <t>enter -0-</t>
    </r>
    <r>
      <rPr>
        <b/>
        <sz val="9"/>
        <rFont val="Arial"/>
        <family val="2"/>
      </rPr>
      <t xml:space="preserve"> .   .   .   .   .   .   .   .   .   .   .   .   .   .   .   .   .   .   .   .   .   .   .   .   .   .   .   .   .   .   .   .   .   .   .   .   .   .</t>
    </r>
  </si>
  <si>
    <t>Short-Term Capital Gains and Losses</t>
  </si>
  <si>
    <r>
      <t>Farm income or (loss).  Attach Schedule F</t>
    </r>
    <r>
      <rPr>
        <b/>
        <sz val="9"/>
        <rFont val="Arial"/>
        <family val="2"/>
      </rPr>
      <t>.</t>
    </r>
    <r>
      <rPr>
        <sz val="9"/>
        <rFont val="Arial"/>
        <family val="2"/>
      </rPr>
      <t xml:space="preserve"> </t>
    </r>
    <r>
      <rPr>
        <b/>
        <sz val="9"/>
        <rFont val="Arial"/>
        <family val="2"/>
      </rPr>
      <t xml:space="preserve">  .   .   .   .   .   .   .   .   .   .   .   .   .   .   .   .   .   .   .   .   .   .   .   .   .   .   .   .   .   .   .   .   .   .   .   .   .   .   .   .   .</t>
    </r>
  </si>
  <si>
    <t>Foreign</t>
  </si>
  <si>
    <t>instructions for</t>
  </si>
  <si>
    <t>Form 1040,</t>
  </si>
  <si>
    <t>line 8a.)</t>
  </si>
  <si>
    <t>received a Form</t>
  </si>
  <si>
    <t>substitute</t>
  </si>
  <si>
    <t>statement from</t>
  </si>
  <si>
    <t>a brokerage firm,</t>
  </si>
  <si>
    <t xml:space="preserve">.   .   .   .   .   .   .   .   .   .   .   .   .   .   .   .   .   .   . </t>
  </si>
  <si>
    <t>line next to Form 1040, line 32. If you do not, you may get a math error notice from the IRS.</t>
  </si>
  <si>
    <t>If married filing jointly or qualifying widow(er), and the result is</t>
  </si>
  <si>
    <t>a person who was not covered by a retirement plan), enter the</t>
  </si>
  <si>
    <t>applicable amount below on line 7 for that column and go to</t>
  </si>
  <si>
    <t>line 8.</t>
  </si>
  <si>
    <t>If you received social security retirement or disability benefits, enter the amount of Conservation Reserve</t>
  </si>
  <si>
    <r>
      <t>No.</t>
    </r>
    <r>
      <rPr>
        <sz val="10"/>
        <rFont val="Arial"/>
        <family val="2"/>
      </rPr>
      <t xml:space="preserve">  Add lines 6 and 8.  This is the </t>
    </r>
    <r>
      <rPr>
        <b/>
        <sz val="10"/>
        <rFont val="Arial"/>
        <family val="2"/>
      </rPr>
      <t>amount you have recovered tax free</t>
    </r>
    <r>
      <rPr>
        <sz val="10"/>
        <rFont val="Arial"/>
        <family val="2"/>
      </rPr>
      <t xml:space="preserve"> through</t>
    </r>
  </si>
  <si>
    <t>Itemized</t>
  </si>
  <si>
    <t>MFS</t>
  </si>
  <si>
    <t>Head-o-H</t>
  </si>
  <si>
    <t>Your first name and initial</t>
  </si>
  <si>
    <t>Last name</t>
  </si>
  <si>
    <t>get a W-2,</t>
  </si>
  <si>
    <t>Enter number of months for which</t>
  </si>
  <si>
    <t>this year's payments were made.</t>
  </si>
  <si>
    <r>
      <t xml:space="preserve">Name of person with </t>
    </r>
    <r>
      <rPr>
        <b/>
        <sz val="9"/>
        <rFont val="Arial"/>
        <family val="2"/>
      </rPr>
      <t>self-employment</t>
    </r>
    <r>
      <rPr>
        <sz val="9"/>
        <rFont val="Arial"/>
        <family val="2"/>
      </rPr>
      <t xml:space="preserve"> income (as shown on Form 1040)</t>
    </r>
  </si>
  <si>
    <t>Enter this amount on</t>
  </si>
  <si>
    <t>At Least</t>
  </si>
  <si>
    <t>Married filing jointly</t>
  </si>
  <si>
    <t>TOTALs</t>
  </si>
  <si>
    <t>.   .   .   .   .   .   .   .   .   .   .   .   .   .   .   .   .   .   .   .   .   .   .   .   .   .   .   .   .   .   .   .   .   .   .   .</t>
  </si>
  <si>
    <t>Did you receive tips subject to social security or Medicare tax</t>
  </si>
  <si>
    <t>Other adjustments, including income-based related adjustments</t>
  </si>
  <si>
    <t>Intangible drilling costs preference</t>
  </si>
  <si>
    <t>Income from certain installment sales before January 1, 1987</t>
  </si>
  <si>
    <t>Part IV</t>
  </si>
  <si>
    <t>Gross distribution</t>
  </si>
  <si>
    <r>
      <t xml:space="preserve">had $400 or more of </t>
    </r>
    <r>
      <rPr>
        <b/>
        <sz val="10"/>
        <rFont val="Arial"/>
        <family val="2"/>
      </rPr>
      <t>other</t>
    </r>
    <r>
      <rPr>
        <sz val="10"/>
        <rFont val="Arial"/>
        <family val="2"/>
      </rPr>
      <t xml:space="preserve"> net earnings from self-employment, check here and continue with Part I</t>
    </r>
  </si>
  <si>
    <t>Schedule D Tax Worksheet</t>
  </si>
  <si>
    <t>Attachment Sequence No.</t>
  </si>
  <si>
    <r>
      <t>Alimony received</t>
    </r>
    <r>
      <rPr>
        <b/>
        <sz val="9"/>
        <rFont val="Arial"/>
        <family val="2"/>
      </rPr>
      <t xml:space="preserve"> .   .   .   .   .   .   .   .   .   .   .   .   .   .   .   .   .   .   .   .   .   .   .   .   .   .   .   .   .   .   .   .   .   .   .   .   .   .   .   .   .</t>
    </r>
  </si>
  <si>
    <t>Subtract line 3 from line 2. If zero or less,</t>
  </si>
  <si>
    <t>Are you claiming any of the following credits?</t>
  </si>
  <si>
    <t>Social Security Benefits Worksheet – Lines 20a and 20b</t>
  </si>
  <si>
    <t>Maximum income for optional methods</t>
  </si>
  <si>
    <t>include this amount on line 4b above</t>
  </si>
  <si>
    <t>Total          IRAs</t>
  </si>
  <si>
    <t>Total      Pension / Annunities</t>
  </si>
  <si>
    <t>Inventory at end of year.   .   .   .   .   .   .   .   .   .   .   .   .   .   .   .   .   .   .   .   .   .   .   .   .   .   .   .   .   .   .   .   .   .   .   .   .   .   .   .   .</t>
  </si>
  <si>
    <t>Code</t>
  </si>
  <si>
    <t>Q</t>
  </si>
  <si>
    <t>17.</t>
  </si>
  <si>
    <t>18.</t>
  </si>
  <si>
    <t>19.</t>
  </si>
  <si>
    <t>Married filing          separately</t>
  </si>
  <si>
    <t>Enter the amount from Form 1040, line 38,</t>
  </si>
  <si>
    <t>Single, head of household, or</t>
  </si>
  <si>
    <r>
      <t xml:space="preserve">Enter the </t>
    </r>
    <r>
      <rPr>
        <b/>
        <sz val="10"/>
        <rFont val="Arial"/>
        <family val="2"/>
      </rPr>
      <t>smaller</t>
    </r>
    <r>
      <rPr>
        <sz val="10"/>
        <rFont val="Arial"/>
        <family val="2"/>
      </rPr>
      <t xml:space="preserve"> of line 3 or line 4</t>
    </r>
  </si>
  <si>
    <t>For Paperwork Reduction Act Notice, see your tax return instructions.</t>
  </si>
  <si>
    <t>instructions.</t>
  </si>
  <si>
    <t>Make sure the SSN(s) above
and on line 6c are correct.</t>
  </si>
  <si>
    <t>Home address (number and street). If you have a P.O. box, see instructions.</t>
  </si>
  <si>
    <t>Head of household (with qualifying person). (See instructions.) If</t>
  </si>
  <si>
    <t>Qualifying widow(er) with dependent child</t>
  </si>
  <si>
    <r>
      <t xml:space="preserve">If someone can claim you as a dependent, </t>
    </r>
    <r>
      <rPr>
        <b/>
        <sz val="8"/>
        <rFont val="Arial"/>
        <family val="2"/>
      </rPr>
      <t>do not</t>
    </r>
    <r>
      <rPr>
        <sz val="8"/>
        <rFont val="Arial"/>
        <family val="2"/>
      </rPr>
      <t xml:space="preserve"> check box 6a</t>
    </r>
    <r>
      <rPr>
        <b/>
        <sz val="8"/>
        <rFont val="Arial"/>
        <family val="2"/>
      </rPr>
      <t xml:space="preserve"> .   .   .   .   .   .   .   .   .   .   .   .   .   .   .   .   .   .   .   .   .   .   .   .   .   .   .   .   .   .   .</t>
    </r>
  </si>
  <si>
    <t>instructions and</t>
  </si>
  <si>
    <t>qualifying for child tax credit</t>
  </si>
  <si>
    <t>Check only one</t>
  </si>
  <si>
    <t>box.</t>
  </si>
  <si>
    <t>Qualified dividends</t>
  </si>
  <si>
    <r>
      <t xml:space="preserve">Taxable refunds, credits, or offsets of state and local income taxes </t>
    </r>
    <r>
      <rPr>
        <b/>
        <sz val="9"/>
        <rFont val="Arial"/>
        <family val="2"/>
      </rPr>
      <t xml:space="preserve">  .   .   .   .   .   .   .   .   .   .   .   .   .   .   .   .   .   .   .   .   .   .   .   .   .   .   .   .   .   .</t>
    </r>
  </si>
  <si>
    <t>7a.</t>
  </si>
  <si>
    <t>7b.</t>
  </si>
  <si>
    <t>Part of your social security benefits may be taxable.</t>
  </si>
  <si>
    <r>
      <t xml:space="preserve">Depletion  </t>
    </r>
    <r>
      <rPr>
        <b/>
        <sz val="10"/>
        <rFont val="Arial"/>
        <family val="2"/>
      </rPr>
      <t xml:space="preserve">  .   .   .   .   .   .   .   .   .   .   .   .   .</t>
    </r>
  </si>
  <si>
    <t>Taxes and licenses</t>
  </si>
  <si>
    <t>Schedules(s) K-1</t>
  </si>
  <si>
    <t>Local income tax withheld</t>
  </si>
  <si>
    <t>Enter the amount, if any, recovered tax free in years after 1986. If you completed this</t>
  </si>
  <si>
    <t>Miscellaneous deductions from Schedule A (Form 1040), line 27</t>
  </si>
  <si>
    <t>Subtract line 4 from line 3. If zero or less, enter -0-</t>
  </si>
  <si>
    <r>
      <t xml:space="preserve">Unemployment compensation .  </t>
    </r>
    <r>
      <rPr>
        <b/>
        <sz val="9"/>
        <rFont val="Arial"/>
        <family val="2"/>
      </rPr>
      <t xml:space="preserve"> .   .   .   .   .   .   .   .   .   .   .   .   .   .   .   .   .   .   .   .   .   .   .   .   .   .   .   .   .   .   .   .   .   .   .   .   .   .   .   .   .</t>
    </r>
  </si>
  <si>
    <t>Other income.  List type and amount.</t>
  </si>
  <si>
    <t>Self-employed health insurance deduction</t>
  </si>
  <si>
    <t xml:space="preserve">  .   .   .   .   .   .   .   .   .   .   .   . </t>
  </si>
  <si>
    <t>IRA deduction</t>
  </si>
  <si>
    <t>For Disclosure, Privacy Act, and Paperwork Reduction Act Notice, see separate instructions.</t>
  </si>
  <si>
    <t>If your spouse itemizes on a separate return or you were a dual-status alien, check here</t>
  </si>
  <si>
    <t>Social Security Tips</t>
  </si>
  <si>
    <t>Allocated Tips</t>
  </si>
  <si>
    <t>Advance EIC payment</t>
  </si>
  <si>
    <t>Dependent Care Benefits</t>
  </si>
  <si>
    <t>Nonqualified plans</t>
  </si>
  <si>
    <t>See instructions for box 12</t>
  </si>
  <si>
    <t>12a</t>
  </si>
  <si>
    <t>12b</t>
  </si>
  <si>
    <t>12c</t>
  </si>
  <si>
    <t>12d</t>
  </si>
  <si>
    <t>Stat Emp / Retire / 3rd Party Sick</t>
  </si>
  <si>
    <t xml:space="preserve">State wages, tips, etc. </t>
  </si>
  <si>
    <t>Local wages, tips, etc.</t>
  </si>
  <si>
    <t>Residential energy credits.  Attach Form 5695</t>
  </si>
  <si>
    <t>Federal income tax withheld from Forms W-2 and 1099</t>
  </si>
  <si>
    <t xml:space="preserve"> .   .   .   .   .   .   .  </t>
  </si>
  <si>
    <t>Earned income credit (EIC)</t>
  </si>
  <si>
    <t>Amount paid with request for extension to file</t>
  </si>
  <si>
    <t>Excess social security and tier 1 RRTA tax withheld</t>
  </si>
  <si>
    <t>Credit for federal tax on fuels. Attach Form 4136</t>
  </si>
  <si>
    <r>
      <t xml:space="preserve">Credits from Form: </t>
    </r>
    <r>
      <rPr>
        <b/>
        <sz val="8"/>
        <rFont val="Arial"/>
        <family val="2"/>
      </rPr>
      <t>a</t>
    </r>
  </si>
  <si>
    <r>
      <t xml:space="preserve">2439   </t>
    </r>
    <r>
      <rPr>
        <b/>
        <sz val="8"/>
        <rFont val="Arial"/>
        <family val="2"/>
      </rPr>
      <t>b</t>
    </r>
  </si>
  <si>
    <t xml:space="preserve">Unreported social security and Medicare tax from Form: </t>
  </si>
  <si>
    <t xml:space="preserve">  .   .   .   .   .   .   .   .   .  </t>
  </si>
  <si>
    <t xml:space="preserve">  .   .   .   .   .   .   .   .   .   .  </t>
  </si>
  <si>
    <t xml:space="preserve"> .   .   .   .   .   .   .   .   .   .  </t>
  </si>
  <si>
    <t xml:space="preserve">  .   .   .   .   .   .   .  </t>
  </si>
  <si>
    <t xml:space="preserve">  .   .   .   .   .   .   .   .  </t>
  </si>
  <si>
    <t xml:space="preserve"> .  </t>
  </si>
  <si>
    <t>Capital gain or (loss). Attach Schedule D if required. If not required, check here.</t>
  </si>
  <si>
    <r>
      <t>Taxable amount</t>
    </r>
    <r>
      <rPr>
        <b/>
        <sz val="9"/>
        <rFont val="Arial"/>
        <family val="2"/>
      </rPr>
      <t xml:space="preserve"> .   .   .   .   .   .   .</t>
    </r>
  </si>
  <si>
    <r>
      <t xml:space="preserve">   </t>
    </r>
    <r>
      <rPr>
        <b/>
        <sz val="8"/>
        <rFont val="Arial"/>
        <family val="2"/>
      </rPr>
      <t xml:space="preserve">   (3)</t>
    </r>
    <r>
      <rPr>
        <sz val="8"/>
        <rFont val="Arial"/>
        <family val="2"/>
      </rPr>
      <t xml:space="preserve"> Dependent's</t>
    </r>
  </si>
  <si>
    <t xml:space="preserve">     relationship to</t>
  </si>
  <si>
    <t xml:space="preserve">    you</t>
  </si>
  <si>
    <t xml:space="preserve">   .   .   .   .   .</t>
  </si>
  <si>
    <r>
      <t>4</t>
    </r>
    <r>
      <rPr>
        <b/>
        <sz val="9"/>
        <rFont val="Arial"/>
        <family val="2"/>
      </rPr>
      <t xml:space="preserve">c </t>
    </r>
    <r>
      <rPr>
        <sz val="9"/>
        <rFont val="Arial"/>
        <family val="2"/>
      </rPr>
      <t>Type:</t>
    </r>
  </si>
  <si>
    <t>See</t>
  </si>
  <si>
    <t>refunded to you.</t>
  </si>
  <si>
    <t xml:space="preserve">  No</t>
  </si>
  <si>
    <r>
      <rPr>
        <b/>
        <sz val="9"/>
        <rFont val="Arial"/>
        <family val="2"/>
      </rPr>
      <t>Yes.</t>
    </r>
    <r>
      <rPr>
        <sz val="9"/>
        <rFont val="Arial"/>
        <family val="2"/>
      </rPr>
      <t xml:space="preserve">  Complete below.</t>
    </r>
  </si>
  <si>
    <t>Do you want to allow another person to discuss this return with the IRS (see instructions)?</t>
  </si>
  <si>
    <t>Phone
no.</t>
  </si>
  <si>
    <t>Designee's name</t>
  </si>
  <si>
    <t>Print/Type preparer’s name</t>
  </si>
  <si>
    <t>Preparer’s signature</t>
  </si>
  <si>
    <t>PTIN</t>
  </si>
  <si>
    <t>Firm's EIN</t>
  </si>
  <si>
    <t>Firm’s name</t>
  </si>
  <si>
    <t>Firm’s address</t>
  </si>
  <si>
    <t xml:space="preserve">  .   .   .   .   .   .   .   .   .   .   .   .</t>
  </si>
  <si>
    <t>No. of children 
on 6c who:</t>
  </si>
  <si>
    <t>Wages, salaries, tips, etc. Attach Form(s) W-2</t>
  </si>
  <si>
    <t>Combine the amounts in the far right column for lines 7 through 21.</t>
  </si>
  <si>
    <t xml:space="preserve">.   .   .   .   .  </t>
  </si>
  <si>
    <t xml:space="preserve">.   .   .   .   .   .  </t>
  </si>
  <si>
    <t xml:space="preserve">.   .   .   .   .   .   .   .   .   .   .   .   .   .   .   .  </t>
  </si>
  <si>
    <t xml:space="preserve">.   .   .   .   .   .   .   .   .   .   .   .   .   .   .   .   .   .   .   .   .   .   .   .   .   .   .   .   .  </t>
  </si>
  <si>
    <t>Medical and dental expenses (see instructions)</t>
  </si>
  <si>
    <t>to the person from whom you bought the home, see instructions</t>
  </si>
  <si>
    <t>Your mortgage</t>
  </si>
  <si>
    <t>interest</t>
  </si>
  <si>
    <t>deduction may</t>
  </si>
  <si>
    <t>be limited (see</t>
  </si>
  <si>
    <t>instructions).</t>
  </si>
  <si>
    <t>Points not reported to you on Form 1098. See instructions</t>
  </si>
  <si>
    <t>Investment interest. Attach Form 4952 if required. (See instructions)</t>
  </si>
  <si>
    <t>Gifts by cash or check.  If you made any gift of $250 or more</t>
  </si>
  <si>
    <r>
      <t xml:space="preserve">see instructions  </t>
    </r>
    <r>
      <rPr>
        <b/>
        <sz val="9"/>
        <rFont val="Arial"/>
        <family val="2"/>
      </rPr>
      <t>.   .   .   .   .   .   .   .   .   .   .   .   .   .   .   .   .   .   .   .</t>
    </r>
  </si>
  <si>
    <r>
      <t>Casualty or theft loss(es). Attach Form 4684. (See instructions.)</t>
    </r>
    <r>
      <rPr>
        <b/>
        <sz val="9"/>
        <rFont val="Arial"/>
        <family val="2"/>
      </rPr>
      <t xml:space="preserve">   .   .   .   .   .   .   .   .   .   .   .   .   .   .   .   .   .   .   .</t>
    </r>
  </si>
  <si>
    <r>
      <t xml:space="preserve">(See instructions.) </t>
    </r>
    <r>
      <rPr>
        <sz val="9"/>
        <rFont val="Marlett"/>
        <charset val="2"/>
      </rPr>
      <t>4</t>
    </r>
  </si>
  <si>
    <t>job education, etc. Attach Form 2106 or 2106-EZ if required.</t>
  </si>
  <si>
    <t xml:space="preserve">Unreimbursed employee expenses—job travel, union dues, </t>
  </si>
  <si>
    <t>Other than by cash or check. If any gift of $250 or more, see</t>
  </si>
  <si>
    <r>
      <t xml:space="preserve">instructions. You </t>
    </r>
    <r>
      <rPr>
        <b/>
        <sz val="9"/>
        <rFont val="Arial"/>
        <family val="2"/>
      </rPr>
      <t>must</t>
    </r>
    <r>
      <rPr>
        <sz val="9"/>
        <rFont val="Arial"/>
        <family val="2"/>
      </rPr>
      <t xml:space="preserve"> attach Form 8283 if over $500 </t>
    </r>
    <r>
      <rPr>
        <b/>
        <sz val="9"/>
        <rFont val="Arial"/>
        <family val="2"/>
      </rPr>
      <t>.   .   .   .   .</t>
    </r>
  </si>
  <si>
    <t>Other expenses -- investment, safe deposit box, etc.  List type</t>
  </si>
  <si>
    <r>
      <t xml:space="preserve">and amount </t>
    </r>
    <r>
      <rPr>
        <sz val="9"/>
        <rFont val="Marlett"/>
        <charset val="2"/>
      </rPr>
      <t>4</t>
    </r>
  </si>
  <si>
    <r>
      <t xml:space="preserve">Other--from list in instructions.  List type and amount. </t>
    </r>
    <r>
      <rPr>
        <sz val="12"/>
        <rFont val="Marlett"/>
        <charset val="2"/>
      </rPr>
      <t>4</t>
    </r>
  </si>
  <si>
    <t>see instructions.</t>
  </si>
  <si>
    <t>Section A—If your filing status is Single</t>
  </si>
  <si>
    <t>Section B</t>
  </si>
  <si>
    <t>Section C</t>
  </si>
  <si>
    <t>Section D</t>
  </si>
  <si>
    <t>entertainment (see instructions)</t>
  </si>
  <si>
    <t>If you have a loss, check the box that describes your investment in this activity (see instructions).</t>
  </si>
  <si>
    <t xml:space="preserve">   Cost of Goods Sold  (see instructions)</t>
  </si>
  <si>
    <t>MFJ or QW</t>
  </si>
  <si>
    <t>Tax is from →</t>
  </si>
  <si>
    <t>Cat. No. 11338H</t>
  </si>
  <si>
    <t>line 22.</t>
  </si>
  <si>
    <t>1040NR, line 14. Then go to line 22.</t>
  </si>
  <si>
    <r>
      <t xml:space="preserve">If line 16 is a </t>
    </r>
    <r>
      <rPr>
        <b/>
        <sz val="9"/>
        <rFont val="Arial"/>
        <family val="2"/>
      </rPr>
      <t>loss</t>
    </r>
    <r>
      <rPr>
        <sz val="9"/>
        <rFont val="Arial"/>
        <family val="2"/>
      </rPr>
      <t>, skip lines 17 through 20 below. Then go to line 21. Also be sure to complete</t>
    </r>
  </si>
  <si>
    <r>
      <t xml:space="preserve">If line 16 is </t>
    </r>
    <r>
      <rPr>
        <b/>
        <sz val="9"/>
        <rFont val="Arial"/>
        <family val="2"/>
      </rPr>
      <t>zero</t>
    </r>
    <r>
      <rPr>
        <sz val="9"/>
        <rFont val="Arial"/>
        <family val="2"/>
      </rPr>
      <t>, skip lines 17 through 21 below and enter -0- on Form 1040, line 13, or Form</t>
    </r>
  </si>
  <si>
    <r>
      <t xml:space="preserve">No. </t>
    </r>
    <r>
      <rPr>
        <sz val="10"/>
        <rFont val="Arial"/>
        <family val="2"/>
      </rPr>
      <t>Complete the rest of Form 1040 or Form 1040NR.</t>
    </r>
  </si>
  <si>
    <r>
      <t>stop</t>
    </r>
    <r>
      <rPr>
        <sz val="10"/>
        <rFont val="Arial"/>
        <family val="2"/>
      </rPr>
      <t xml:space="preserve">; you do not owe self-employment tax. </t>
    </r>
  </si>
  <si>
    <r>
      <rPr>
        <b/>
        <sz val="10"/>
        <rFont val="Arial"/>
        <family val="2"/>
      </rPr>
      <t>Exception.</t>
    </r>
    <r>
      <rPr>
        <sz val="10"/>
        <rFont val="Arial"/>
        <family val="2"/>
      </rPr>
      <t xml:space="preserve"> If less than $400 and you had church employee income, enter -0- and continue</t>
    </r>
  </si>
  <si>
    <r>
      <t xml:space="preserve">Enter your </t>
    </r>
    <r>
      <rPr>
        <b/>
        <sz val="10"/>
        <rFont val="Arial"/>
        <family val="2"/>
      </rPr>
      <t>church employee income</t>
    </r>
    <r>
      <rPr>
        <sz val="10"/>
        <rFont val="Arial"/>
        <family val="2"/>
      </rPr>
      <t xml:space="preserve"> from Form W-2. See</t>
    </r>
  </si>
  <si>
    <t>Add lines 4c and 5b</t>
  </si>
  <si>
    <t>Total social security wages and tips (total of boxes 3 and 7 on</t>
  </si>
  <si>
    <t xml:space="preserve">.   .   .   .   .   .   .   . </t>
  </si>
  <si>
    <t>Form(s) W-2) and railroad retirement (tier 1) compensation.</t>
  </si>
  <si>
    <t>Railroad retirement (tier 1) compensation</t>
  </si>
  <si>
    <t>you due to divorce
or separation 
(see instructions)</t>
  </si>
  <si>
    <t>Dependents on 6c
not entered above</t>
  </si>
  <si>
    <t xml:space="preserve">.   .   .   .   .   .   .   .  </t>
  </si>
  <si>
    <r>
      <t>Retirement savings contributions credit.  Attach Form 8880.</t>
    </r>
    <r>
      <rPr>
        <b/>
        <sz val="9"/>
        <rFont val="Arial"/>
        <family val="2"/>
      </rPr>
      <t xml:space="preserve"> </t>
    </r>
  </si>
  <si>
    <t>Foreign tax credit.  Attach Form 1116 if required</t>
  </si>
  <si>
    <t xml:space="preserve"> .   .   .  </t>
  </si>
  <si>
    <r>
      <t xml:space="preserve">8801  </t>
    </r>
    <r>
      <rPr>
        <b/>
        <sz val="8"/>
        <rFont val="Arial"/>
        <family val="2"/>
      </rPr>
      <t xml:space="preserve"> c</t>
    </r>
  </si>
  <si>
    <t xml:space="preserve">    These are your</t>
  </si>
  <si>
    <t>.   .   .   .   .   .   .   .   .   .   .   .   .   .   .   .   .   .   .   .   .   .   .   .   .   .   .   .   .</t>
  </si>
  <si>
    <t xml:space="preserve">  .   .   .   .   .   .   .   .   .   .   .   .   .   .   .   .   .   .   .   .   .   .   .   .   .   .   .   .</t>
  </si>
  <si>
    <t>.   .   .   .   .   .   .   .   .   .   .   .   .   .   .   .   .   .   .   .   .   .   .   .   .   .   .   .</t>
  </si>
  <si>
    <r>
      <t xml:space="preserve">Be sure you have read the </t>
    </r>
    <r>
      <rPr>
        <b/>
        <sz val="10"/>
        <rFont val="Arial"/>
        <family val="2"/>
      </rPr>
      <t>Exception</t>
    </r>
    <r>
      <rPr>
        <sz val="10"/>
        <rFont val="Arial"/>
        <family val="2"/>
      </rPr>
      <t xml:space="preserve"> above to see if you can use this worksheet instead of</t>
    </r>
  </si>
  <si>
    <t xml:space="preserve"> .   .   .   .   .   .</t>
  </si>
  <si>
    <t xml:space="preserve"> .   .   .   .   .   .   . </t>
  </si>
  <si>
    <t xml:space="preserve"> .   .   .   .   .   .   .   .   .   .   .   .   .   .   .   .   .   . </t>
  </si>
  <si>
    <t xml:space="preserve"> .   .   .   .   .   .   .   .   .   .   .   .   .   .   .   .   . </t>
  </si>
  <si>
    <t>Tax refund from Form 1040, line 10 or line 21</t>
  </si>
  <si>
    <t xml:space="preserve"> .   .   .   .   .   .   .   .   .   .   .   .   .   .   . </t>
  </si>
  <si>
    <t xml:space="preserve">  .   .   .   .   .   .   .   .   . </t>
  </si>
  <si>
    <r>
      <t>Electing large partnerships (amount from Schedule K-1 (Form 1065-B), box 6)</t>
    </r>
    <r>
      <rPr>
        <b/>
        <sz val="9"/>
        <rFont val="Arial"/>
        <family val="2"/>
      </rPr>
      <t xml:space="preserve"> </t>
    </r>
  </si>
  <si>
    <r>
      <t>Passive activities (difference between AMT and regular tax income or loss)</t>
    </r>
    <r>
      <rPr>
        <b/>
        <sz val="9"/>
        <rFont val="Arial"/>
        <family val="2"/>
      </rPr>
      <t xml:space="preserve"> </t>
    </r>
  </si>
  <si>
    <t xml:space="preserve">.   .   .   .   .   . </t>
  </si>
  <si>
    <t xml:space="preserve"> .   .   .   .   .   .   .   .   .   .   .   .   .   .   .   .   .   .   .   .   .   .   .   .   .   .   .   .   .   .   .   .   . </t>
  </si>
  <si>
    <t>instructions for the amount to enter</t>
  </si>
  <si>
    <r>
      <t xml:space="preserve">Enter the </t>
    </r>
    <r>
      <rPr>
        <b/>
        <sz val="9"/>
        <rFont val="Arial"/>
        <family val="2"/>
      </rPr>
      <t>smaller</t>
    </r>
    <r>
      <rPr>
        <sz val="9"/>
        <rFont val="Arial"/>
        <family val="2"/>
      </rPr>
      <t xml:space="preserve"> of line 36 or line 39</t>
    </r>
  </si>
  <si>
    <t xml:space="preserve"> .   .   .   .   .   .   .   .   .   .   .   .   .   .   .   .   .   .   .   .   .   .   .   .   .   .   .   .   .   .   .   .   .   .   .   .   .   . </t>
  </si>
  <si>
    <t xml:space="preserve">.   .   .   .   .   .   .   .   .   .   .   .   .   .   .   .   .   .   .   .   .   .   .   .   .   .   .   .   .   .   . </t>
  </si>
  <si>
    <t>Subtract line 44 from line 43. If zero or less, enter -0-</t>
  </si>
  <si>
    <r>
      <t xml:space="preserve">Enter the </t>
    </r>
    <r>
      <rPr>
        <b/>
        <sz val="9"/>
        <rFont val="Arial"/>
        <family val="2"/>
      </rPr>
      <t>smaller</t>
    </r>
    <r>
      <rPr>
        <sz val="9"/>
        <rFont val="Arial"/>
        <family val="2"/>
      </rPr>
      <t xml:space="preserve"> of line 36 or line 37</t>
    </r>
  </si>
  <si>
    <t xml:space="preserve">  .   .   .   .   .   .   .   . </t>
  </si>
  <si>
    <t>Enter your alternative minimum taxable income</t>
  </si>
  <si>
    <r>
      <t>(AMTI) from Form 6251, line 28</t>
    </r>
    <r>
      <rPr>
        <b/>
        <sz val="9"/>
        <rFont val="Arial"/>
        <family val="2"/>
      </rPr>
      <t xml:space="preserve"> .   .   .   .   .   .   .   .   .   .   .  </t>
    </r>
  </si>
  <si>
    <t>separately</t>
  </si>
  <si>
    <r>
      <t>and go to Form 6251, line 30</t>
    </r>
    <r>
      <rPr>
        <b/>
        <sz val="9"/>
        <rFont val="Arial"/>
        <family val="2"/>
      </rPr>
      <t xml:space="preserve"> .   .   .   .   .   .   .   .   .   .   .   .   .   .   .   .   .   .   .   .   .   .  </t>
    </r>
  </si>
  <si>
    <t>any death benefit exclusion that you are entitled to (up to $5,000) in the amount entered on line 2 below.</t>
  </si>
  <si>
    <r>
      <t xml:space="preserve">If you are the beneficiary of a deceased employee or former employee who died </t>
    </r>
    <r>
      <rPr>
        <b/>
        <sz val="10"/>
        <rFont val="Arial"/>
        <family val="2"/>
      </rPr>
      <t>before</t>
    </r>
    <r>
      <rPr>
        <sz val="10"/>
        <rFont val="Arial"/>
        <family val="2"/>
      </rPr>
      <t xml:space="preserve"> August 21, 1996, include</t>
    </r>
  </si>
  <si>
    <r>
      <t xml:space="preserve">Enter the appropriate number from </t>
    </r>
    <r>
      <rPr>
        <b/>
        <sz val="9"/>
        <rFont val="Arial"/>
        <family val="2"/>
      </rPr>
      <t>Table 1</t>
    </r>
    <r>
      <rPr>
        <sz val="9"/>
        <rFont val="Arial"/>
        <family val="2"/>
      </rPr>
      <t xml:space="preserve"> below. </t>
    </r>
    <r>
      <rPr>
        <b/>
        <sz val="9"/>
        <rFont val="Arial"/>
        <family val="2"/>
      </rPr>
      <t>But</t>
    </r>
    <r>
      <rPr>
        <sz val="9"/>
        <rFont val="Arial"/>
        <family val="2"/>
      </rPr>
      <t xml:space="preserve"> if your annuity starting date was </t>
    </r>
    <r>
      <rPr>
        <b/>
        <sz val="9"/>
        <rFont val="Arial"/>
        <family val="2"/>
      </rPr>
      <t>after</t>
    </r>
  </si>
  <si>
    <r>
      <t xml:space="preserve">1997 </t>
    </r>
    <r>
      <rPr>
        <b/>
        <sz val="9"/>
        <rFont val="Arial"/>
        <family val="2"/>
      </rPr>
      <t>and</t>
    </r>
    <r>
      <rPr>
        <sz val="9"/>
        <rFont val="Arial"/>
        <family val="2"/>
      </rPr>
      <t xml:space="preserve"> the payments are for your life and that of your beneficiary, enter the appropriate number</t>
    </r>
  </si>
  <si>
    <r>
      <t xml:space="preserve">from </t>
    </r>
    <r>
      <rPr>
        <b/>
        <sz val="9"/>
        <rFont val="Arial"/>
        <family val="2"/>
      </rPr>
      <t>Table 2</t>
    </r>
    <r>
      <rPr>
        <sz val="9"/>
        <rFont val="Arial"/>
        <family val="2"/>
      </rPr>
      <t xml:space="preserve"> below</t>
    </r>
  </si>
  <si>
    <r>
      <t xml:space="preserve">Enter the </t>
    </r>
    <r>
      <rPr>
        <b/>
        <sz val="9"/>
        <rFont val="Arial"/>
        <family val="2"/>
      </rPr>
      <t>smaller</t>
    </r>
    <r>
      <rPr>
        <sz val="9"/>
        <rFont val="Arial"/>
        <family val="2"/>
      </rPr>
      <t xml:space="preserve"> of line 5 or line 7</t>
    </r>
  </si>
  <si>
    <r>
      <t xml:space="preserve">Enter the total amount from </t>
    </r>
    <r>
      <rPr>
        <b/>
        <sz val="9"/>
        <rFont val="Arial"/>
        <family val="2"/>
      </rPr>
      <t>box 5</t>
    </r>
    <r>
      <rPr>
        <sz val="9"/>
        <rFont val="Arial"/>
        <family val="2"/>
      </rPr>
      <t xml:space="preserve"> of </t>
    </r>
    <r>
      <rPr>
        <b/>
        <sz val="9"/>
        <rFont val="Arial"/>
        <family val="2"/>
      </rPr>
      <t>all</t>
    </r>
    <r>
      <rPr>
        <sz val="9"/>
        <rFont val="Arial"/>
        <family val="2"/>
      </rPr>
      <t xml:space="preserve"> your </t>
    </r>
    <r>
      <rPr>
        <b/>
        <sz val="9"/>
        <rFont val="Arial"/>
        <family val="2"/>
      </rPr>
      <t>Forms SSA-1099</t>
    </r>
    <r>
      <rPr>
        <sz val="9"/>
        <rFont val="Arial"/>
        <family val="2"/>
      </rPr>
      <t xml:space="preserve"> and</t>
    </r>
  </si>
  <si>
    <r>
      <t xml:space="preserve">Forms RRB-1099. </t>
    </r>
    <r>
      <rPr>
        <sz val="9"/>
        <rFont val="Arial"/>
        <family val="2"/>
      </rPr>
      <t xml:space="preserve"> Also, enter this amount on Form 1040, line 20a .</t>
    </r>
  </si>
  <si>
    <t>Combine the amounts from Form 1040, lines 7, 8a, 9a, 10 through 14, 15b, 16b, 17 through 19,</t>
  </si>
  <si>
    <t>and 21</t>
  </si>
  <si>
    <t>Combine lines 2, 3, and 4</t>
  </si>
  <si>
    <t>Enter the total of the amounts from Form 1040, lines 23 through 32, plus any write-in</t>
  </si>
  <si>
    <t xml:space="preserve">No.  Stop.  </t>
  </si>
  <si>
    <t>None of your IRA contributions are deductible. For details on</t>
  </si>
  <si>
    <t xml:space="preserve">Nontaxable combat pay. This amount should be </t>
  </si>
  <si>
    <t>reported in box 12 of Form W-2 with code Q</t>
  </si>
  <si>
    <t>Enter the smaller of line 1 or line 8</t>
  </si>
  <si>
    <t>Enter the smaller of line 7 or line 9</t>
  </si>
  <si>
    <t>Subtract line 10 from line 9. This amount is taxed at 0%</t>
  </si>
  <si>
    <t>Figure the tax on the amount on line 7. If the amount on line 7 is less than $100,000, use the Tax</t>
  </si>
  <si>
    <t>Table to figure this tax. If the amount on line 7 is $100,000 or more, use the Tax Computation</t>
  </si>
  <si>
    <t>Figure the tax on the amount on line 1. If the amount on line 1 is less than $100,000, use the Tax</t>
  </si>
  <si>
    <t>Table to figure this tax. If the amount on line 1 is $100,000 or more, use the Tax Computation</t>
  </si>
  <si>
    <r>
      <t>Enter your</t>
    </r>
    <r>
      <rPr>
        <b/>
        <sz val="10"/>
        <rFont val="Arial"/>
        <family val="2"/>
      </rPr>
      <t xml:space="preserve"> total income</t>
    </r>
    <r>
      <rPr>
        <sz val="10"/>
        <rFont val="Arial"/>
        <family val="2"/>
      </rPr>
      <t xml:space="preserve"> that is taxable, such as pensions, wages, interest, ordinary
dividends, and capital gain distributions. Do not reduce your income by any items such
as student loan interest deduction, the standard deduction (or itemized deductions), or
exemptions</t>
    </r>
  </si>
  <si>
    <r>
      <t xml:space="preserve">Enter the total amount from </t>
    </r>
    <r>
      <rPr>
        <b/>
        <sz val="10"/>
        <rFont val="Arial"/>
        <family val="2"/>
      </rPr>
      <t>box 5</t>
    </r>
    <r>
      <rPr>
        <sz val="10"/>
        <rFont val="Arial"/>
        <family val="2"/>
      </rPr>
      <t xml:space="preserve"> of all your Forms SSA-1099</t>
    </r>
  </si>
  <si>
    <r>
      <t xml:space="preserve">Add lines B, C, and D, and enter the total here. </t>
    </r>
    <r>
      <rPr>
        <b/>
        <sz val="10"/>
        <rFont val="Arial"/>
        <family val="2"/>
      </rPr>
      <t>Then, read the information below</t>
    </r>
  </si>
  <si>
    <r>
      <t xml:space="preserve">Manual
Override
</t>
    </r>
    <r>
      <rPr>
        <b/>
        <sz val="10"/>
        <rFont val="Wingdings"/>
        <charset val="2"/>
      </rPr>
      <t>ê</t>
    </r>
  </si>
  <si>
    <r>
      <t xml:space="preserve">Line 15 or line 16 of Schedule D is zero or less </t>
    </r>
    <r>
      <rPr>
        <b/>
        <sz val="9"/>
        <rFont val="Arial"/>
        <family val="2"/>
      </rPr>
      <t>and</t>
    </r>
    <r>
      <rPr>
        <sz val="9"/>
        <rFont val="Arial"/>
        <family val="2"/>
      </rPr>
      <t xml:space="preserve"> you have no qualified dividends on Form 1040, line 9b, (or Form 1040NR, line 10b);</t>
    </r>
  </si>
  <si>
    <t>Instead, see the instructions for Form 1040, line 44 (or Form 1040NR, line 42).</t>
  </si>
  <si>
    <t>*If applicable, enter instead the smaller amount you entered on the dotted line next to line 4e of Form 4952.</t>
  </si>
  <si>
    <t>**If you are filing Form 2555 or 2555-EZ, see the footnote in the Foreign Earned Income Tax Worksheet in the Instructions for</t>
  </si>
  <si>
    <t>Form 1040, line 44, before completing this line.</t>
  </si>
  <si>
    <r>
      <t xml:space="preserve">Enter the </t>
    </r>
    <r>
      <rPr>
        <b/>
        <sz val="10"/>
        <rFont val="Arial"/>
        <family val="2"/>
      </rPr>
      <t>smaller</t>
    </r>
    <r>
      <rPr>
        <sz val="10"/>
        <rFont val="Arial"/>
        <family val="2"/>
      </rPr>
      <t xml:space="preserve"> of line 1 or line 15</t>
    </r>
  </si>
  <si>
    <r>
      <t>Enter the</t>
    </r>
    <r>
      <rPr>
        <b/>
        <sz val="10"/>
        <rFont val="Arial"/>
        <family val="2"/>
      </rPr>
      <t xml:space="preserve"> smaller</t>
    </r>
    <r>
      <rPr>
        <sz val="10"/>
        <rFont val="Arial"/>
        <family val="2"/>
      </rPr>
      <t xml:space="preserve"> of line 14 or line 16</t>
    </r>
  </si>
  <si>
    <t xml:space="preserve"> .   .   .   .   .   .   .   .   .   .   .   .   .   .   .   .   .   .   .   .   .   .   .   .   .   .   .   . </t>
  </si>
  <si>
    <t>Enter the larger of line 17 or line 18</t>
  </si>
  <si>
    <t>Subtract line 17 from line 16. This amount is taxed at 0%.</t>
  </si>
  <si>
    <t xml:space="preserve"> .   .   .   .   .   .   .   .   .   .   .   .   .   .   .   .   .   .   . </t>
  </si>
  <si>
    <r>
      <t xml:space="preserve">Enter the </t>
    </r>
    <r>
      <rPr>
        <b/>
        <sz val="10"/>
        <rFont val="Arial"/>
        <family val="2"/>
      </rPr>
      <t>smaller</t>
    </r>
    <r>
      <rPr>
        <sz val="10"/>
        <rFont val="Arial"/>
        <family val="2"/>
      </rPr>
      <t xml:space="preserve"> of line 1 or line 13 </t>
    </r>
  </si>
  <si>
    <t>Enter the amount from line 20 (if line 20 is blank, enter -0-)</t>
  </si>
  <si>
    <t>Subtract line 22 from line 21. If zero or less, enter -0-</t>
  </si>
  <si>
    <t xml:space="preserve">.   .   .   .   .   .   .   .   .   . </t>
  </si>
  <si>
    <t>Add lines 10 and 19</t>
  </si>
  <si>
    <t>Enter the amount from line 1 above</t>
  </si>
  <si>
    <t xml:space="preserve">.   .   .   .   .   .   .   .   .   .   .   .   .   .   .   .   .   .   .   .   .   .   .   .   .   .   .   .   .   .   .   .   .   .   .  </t>
  </si>
  <si>
    <t>SchDTW_Line19</t>
  </si>
  <si>
    <t>SchDTW_Line1</t>
  </si>
  <si>
    <r>
      <t>on Form 1040, line 44. Instead, enter it on line 4 of the Foreign Earned Income Tax Worksheet in the Form 1040 instructions)</t>
    </r>
    <r>
      <rPr>
        <b/>
        <sz val="9"/>
        <rFont val="Arial"/>
        <family val="2"/>
      </rPr>
      <t xml:space="preserve"> .   .   .   .   .   .</t>
    </r>
  </si>
  <si>
    <t>↓  Income Tax Override</t>
  </si>
  <si>
    <t>calculated using:</t>
  </si>
  <si>
    <t>Your deduction is being</t>
  </si>
  <si>
    <t xml:space="preserve">.   .   .   .   .   .   .   .   .   .   .   .   .   .   .   .   .   .   .   . </t>
  </si>
  <si>
    <t xml:space="preserve">.   .   .   .   .   .   .   .   .   .   .   .   .   .   .   .   . </t>
  </si>
  <si>
    <t xml:space="preserve"> .   .   .   .   .   .   .   .   .   . </t>
  </si>
  <si>
    <t xml:space="preserve">   .   .   .   .   .   .   .   .   .   .   .   .   .   .   .   .   .   .   .   .   . </t>
  </si>
  <si>
    <t xml:space="preserve">.   .   .   .   .   .   .   .   .   .   .   .   .   . </t>
  </si>
  <si>
    <t xml:space="preserve">.   .   .   .   .   .   .   .   .   .   .   .   . </t>
  </si>
  <si>
    <t xml:space="preserve">.   .   .   .   .   .   .   .   .   .   .   . </t>
  </si>
  <si>
    <t xml:space="preserve">.   .   .   .   .   .   . </t>
  </si>
  <si>
    <t xml:space="preserve">  .   .   .   .   .   .   .   .   .   .   .   .   .   . </t>
  </si>
  <si>
    <t xml:space="preserve">  .   .   .   .   .   .   .   .   .   .   .   .   . </t>
  </si>
  <si>
    <t>Download Form 1040 Schedule C Instructions</t>
  </si>
  <si>
    <t>Gross</t>
  </si>
  <si>
    <t xml:space="preserve">.   .   .   .   .   .   .   .   .   .   .   .   .   .   .   .   .   .   .   .   .   .   .   .   .   .   .   .   .   .   .   .   .   .   . </t>
  </si>
  <si>
    <r>
      <t>Enter</t>
    </r>
    <r>
      <rPr>
        <sz val="9"/>
        <rFont val="Arial"/>
        <family val="2"/>
      </rPr>
      <t>:</t>
    </r>
  </si>
  <si>
    <t>Enter the amount from line 11</t>
  </si>
  <si>
    <t xml:space="preserve">.    .    .    .    .    .    .    .    .    .    .    .    .    .    .    .    . </t>
  </si>
  <si>
    <t xml:space="preserve"> .    .    .    .    .    .    .    .    .    .    .    .    .    .    .    .    . </t>
  </si>
  <si>
    <t xml:space="preserve"> .    .    .    .    .    .    .    . </t>
  </si>
  <si>
    <t xml:space="preserve"> .    .    .    .    .    .    .    .    .    .    .    . </t>
  </si>
  <si>
    <t xml:space="preserve"> .    .    .    .    .    .    .    .    .    .    .    .    . </t>
  </si>
  <si>
    <t xml:space="preserve">   .    .    .    .    .    .    .    .    .    .    .    .    .    .    .    .    .    .    .    .    .    .    .    .    .    .    .    .    .    .    .    .    .    . </t>
  </si>
  <si>
    <t>Rental real estate, royalties, partnerships, S corporations, trusts, etc.     Attach Schedule E.</t>
  </si>
  <si>
    <r>
      <t>Enter your</t>
    </r>
    <r>
      <rPr>
        <b/>
        <sz val="9"/>
        <rFont val="Arial"/>
        <family val="2"/>
      </rPr>
      <t xml:space="preserve"> earned income</t>
    </r>
    <r>
      <rPr>
        <sz val="9"/>
        <rFont val="Arial"/>
        <family val="2"/>
      </rPr>
      <t>, if any (see instructions)</t>
    </r>
    <r>
      <rPr>
        <b/>
        <sz val="9"/>
        <rFont val="Arial"/>
        <family val="2"/>
      </rPr>
      <t xml:space="preserve">  .   .   .   .   .   .   .   .   .   .   .   .   .   .   .   .   .   .   .   .   .   .   .   .   .   .   .   .   .   .   .   .   .   .   .   .   .   .</t>
    </r>
  </si>
  <si>
    <t>City, town or post office, state, and ZIP code. If you have a foreign address, also complete spaces below (see instructions).</t>
  </si>
  <si>
    <t>Foreign country name</t>
  </si>
  <si>
    <t>Foreign postal code</t>
  </si>
  <si>
    <t>See separate instructions.</t>
  </si>
  <si>
    <t>Presidential Election Campaign</t>
  </si>
  <si>
    <t xml:space="preserve">Check here if you, or your spouse if filing
jointly, want $3 to go to this fund. Checking
a box below will not change your tax or </t>
  </si>
  <si>
    <t>refund.</t>
  </si>
  <si>
    <t>Boxes checked
on 6a and 6b.</t>
  </si>
  <si>
    <r>
      <t xml:space="preserve">Form 4972  </t>
    </r>
    <r>
      <rPr>
        <b/>
        <sz val="8"/>
        <rFont val="Arial"/>
        <family val="2"/>
      </rPr>
      <t>c</t>
    </r>
  </si>
  <si>
    <r>
      <t xml:space="preserve">Blind. </t>
    </r>
    <r>
      <rPr>
        <b/>
        <sz val="9"/>
        <rFont val="Arial"/>
        <family val="2"/>
      </rPr>
      <t xml:space="preserve">  checked </t>
    </r>
  </si>
  <si>
    <r>
      <t xml:space="preserve">Blind.   </t>
    </r>
    <r>
      <rPr>
        <b/>
        <sz val="9"/>
        <rFont val="Arial"/>
        <family val="2"/>
      </rPr>
      <t>Total boxes</t>
    </r>
  </si>
  <si>
    <t>Household employment taxes from Schedule H</t>
  </si>
  <si>
    <t>First-time homebuyer credit repayment. Attach Form 5405 if required</t>
  </si>
  <si>
    <r>
      <t xml:space="preserve">This is your  </t>
    </r>
    <r>
      <rPr>
        <b/>
        <sz val="9"/>
        <rFont val="Arial"/>
        <family val="2"/>
      </rPr>
      <t>total tax</t>
    </r>
  </si>
  <si>
    <t xml:space="preserve"> .   .   .   .   .   .   .   .   .   .   .   .   .   .   .   .   .   .   .   .     </t>
  </si>
  <si>
    <t xml:space="preserve">b  </t>
  </si>
  <si>
    <t xml:space="preserve">  Tax and</t>
  </si>
  <si>
    <t xml:space="preserve">  Credits</t>
  </si>
  <si>
    <t>Deduction for --</t>
  </si>
  <si>
    <t>Single or Married filing separately,</t>
  </si>
  <si>
    <t>Married filing jointly or qualifying widow(er)</t>
  </si>
  <si>
    <r>
      <t>Tax</t>
    </r>
    <r>
      <rPr>
        <sz val="7"/>
        <rFont val="Arial"/>
        <family val="2"/>
      </rPr>
      <t xml:space="preserve"> (see instructions). </t>
    </r>
    <r>
      <rPr>
        <sz val="8"/>
        <rFont val="Arial"/>
        <family val="2"/>
      </rPr>
      <t xml:space="preserve">Check if any tax is from: </t>
    </r>
    <r>
      <rPr>
        <b/>
        <sz val="8"/>
        <rFont val="Arial"/>
        <family val="2"/>
      </rPr>
      <t>a</t>
    </r>
  </si>
  <si>
    <r>
      <t xml:space="preserve">Form(s) 8814      </t>
    </r>
    <r>
      <rPr>
        <b/>
        <sz val="8"/>
        <rFont val="Arial"/>
        <family val="2"/>
      </rPr>
      <t>b</t>
    </r>
  </si>
  <si>
    <t xml:space="preserve"> .   .   .   .   .   .  </t>
  </si>
  <si>
    <t>See instructions.</t>
  </si>
  <si>
    <t>If the IRS sent you an Identity Protection PIN,</t>
  </si>
  <si>
    <t>enter it here.</t>
  </si>
  <si>
    <t>if</t>
  </si>
  <si>
    <t xml:space="preserve">Check </t>
  </si>
  <si>
    <t xml:space="preserve">   self-employed</t>
  </si>
  <si>
    <t xml:space="preserve">    Standard Deduction Worksheet for Dependents -- Line 40</t>
  </si>
  <si>
    <r>
      <t xml:space="preserve">Use the worksheet </t>
    </r>
    <r>
      <rPr>
        <b/>
        <sz val="10"/>
        <rFont val="Arial"/>
        <family val="2"/>
      </rPr>
      <t>only</t>
    </r>
    <r>
      <rPr>
        <sz val="10"/>
        <rFont val="Arial"/>
        <family val="2"/>
      </rPr>
      <t xml:space="preserve"> if someone can claim you, or your spouse, if filing jointly, as a dependent.</t>
    </r>
  </si>
  <si>
    <t>Standard deduction.</t>
  </si>
  <si>
    <t>c.</t>
  </si>
  <si>
    <t>a.</t>
  </si>
  <si>
    <t>enter this amount on Form 1040, line 40. Otherwise, go to line 3b</t>
  </si>
  <si>
    <t>b.</t>
  </si>
  <si>
    <t>Add lines 3a and 3b. Enter the total here and on Form 1040, line 40</t>
  </si>
  <si>
    <t>•</t>
  </si>
  <si>
    <r>
      <t>Enter the</t>
    </r>
    <r>
      <rPr>
        <b/>
        <sz val="10"/>
        <rFont val="Arial"/>
        <family val="2"/>
      </rPr>
      <t xml:space="preserve"> smaller</t>
    </r>
    <r>
      <rPr>
        <sz val="10"/>
        <rFont val="Arial"/>
        <family val="2"/>
      </rPr>
      <t xml:space="preserve"> of line 1 or line 2.</t>
    </r>
  </si>
  <si>
    <t>If born after January</t>
  </si>
  <si>
    <t>3a.</t>
  </si>
  <si>
    <t>3b.</t>
  </si>
  <si>
    <t>3c.</t>
  </si>
  <si>
    <r>
      <t xml:space="preserve">blind, </t>
    </r>
    <r>
      <rPr>
        <b/>
        <sz val="10"/>
        <rFont val="Arial"/>
        <family val="2"/>
      </rPr>
      <t>stop here</t>
    </r>
    <r>
      <rPr>
        <sz val="10"/>
        <rFont val="Arial"/>
        <family val="2"/>
      </rPr>
      <t xml:space="preserve"> and</t>
    </r>
  </si>
  <si>
    <r>
      <t xml:space="preserve">Personal property taxes   </t>
    </r>
    <r>
      <rPr>
        <b/>
        <sz val="9"/>
        <rFont val="Arial"/>
        <family val="2"/>
      </rPr>
      <t>.   .   .   .   .   .   .   .   .   .   .   .   .   .   .   .   .   .   .</t>
    </r>
  </si>
  <si>
    <t>Cat. No. 17145C</t>
  </si>
  <si>
    <t xml:space="preserve">Real estate taxes (see instructions) </t>
  </si>
  <si>
    <t xml:space="preserve">.   .   .   .   .   .   .   .   .   .   .   .   .   .   </t>
  </si>
  <si>
    <t>account (such as a bank account, securities account, or brokerage account) located in a foreign</t>
  </si>
  <si>
    <t>country? See instructions</t>
  </si>
  <si>
    <t xml:space="preserve"> .   .   .   .   .   .   .   .   .   .   .   .   .   .   .   .   .   .   .   .   .   .   .   .   .   .   .   .   .   .   .   .   .   .   .   .   .   .   </t>
  </si>
  <si>
    <t>financial account is located</t>
  </si>
  <si>
    <t>and Trusts</t>
  </si>
  <si>
    <t>Cat. No. 17146N</t>
  </si>
  <si>
    <r>
      <t xml:space="preserve">account; or </t>
    </r>
    <r>
      <rPr>
        <b/>
        <sz val="9"/>
        <rFont val="Arial"/>
        <family val="2"/>
      </rPr>
      <t>(c)</t>
    </r>
    <r>
      <rPr>
        <sz val="9"/>
        <rFont val="Arial"/>
        <family val="2"/>
      </rPr>
      <t xml:space="preserve"> received a distribution from, or were a grantor of, or a transferor to, a foreign trust.</t>
    </r>
  </si>
  <si>
    <r>
      <t xml:space="preserve">For information on Schedule C and its instructions, go to </t>
    </r>
    <r>
      <rPr>
        <b/>
        <i/>
        <sz val="9"/>
        <rFont val="Arial"/>
        <family val="2"/>
      </rPr>
      <t>www.irs.gov/schedulec</t>
    </r>
  </si>
  <si>
    <t>Attach to Form 1040, 1040NR, or 1041; partnerships generally must file Form 1065.</t>
  </si>
  <si>
    <t>Department of the Treasury Internal Revenue Service  (99)</t>
  </si>
  <si>
    <t>B  Enter code from instructions</t>
  </si>
  <si>
    <t>D  Employer ID number (EIN), see instructions</t>
  </si>
  <si>
    <t>Business address (including suite/room no.)</t>
  </si>
  <si>
    <t>Other (specify)</t>
  </si>
  <si>
    <t>I</t>
  </si>
  <si>
    <t>J</t>
  </si>
  <si>
    <t>If "Yes," did you or will you file all required Forms 1099?</t>
  </si>
  <si>
    <t xml:space="preserve">.   .   .   .   .   .   .   .   .   .   .   .   .   .   .   .   .   .   .   .   .  </t>
  </si>
  <si>
    <t xml:space="preserve">.   .   .   .   .   .   .   .   .   .   .   .   .   .   .   .   .   .   .   .   .   .   .   .  </t>
  </si>
  <si>
    <t>Cost of goods sold  (from line 42)</t>
  </si>
  <si>
    <t>Legal and professional services</t>
  </si>
  <si>
    <t>in Part III) (see instructions)</t>
  </si>
  <si>
    <t xml:space="preserve">   .   .   .   .   .   .   .   .</t>
  </si>
  <si>
    <t>Office Expense (See instructions)</t>
  </si>
  <si>
    <t>Rent or lease (see instructions):</t>
  </si>
  <si>
    <t>Other expenses (from line 48)</t>
  </si>
  <si>
    <t>Reserved for future use</t>
  </si>
  <si>
    <t>27a</t>
  </si>
  <si>
    <t>27b</t>
  </si>
  <si>
    <t>Contract labor (see instructions)</t>
  </si>
  <si>
    <t xml:space="preserve">If "Yes", attach explanation.   .   .   .   .   .   .   .   .   .   .   .   .   .   .   .   .   .   .   .   .   .   .   .   .   . </t>
  </si>
  <si>
    <t>Was there any change in determining quantities, cost or valuations between opening and closing inventory?</t>
  </si>
  <si>
    <t>Was your vehicle available for use during off-duty hours?</t>
  </si>
  <si>
    <t xml:space="preserve">Do you have evidence to support your deduction?     .    .    .    .    .    .    .    .    .    . </t>
  </si>
  <si>
    <r>
      <t>Total other expenses.</t>
    </r>
    <r>
      <rPr>
        <sz val="9"/>
        <rFont val="Arial"/>
        <family val="2"/>
      </rPr>
      <t xml:space="preserve">  Enter here and on page 1, line 27a  .   .   .   .   .   .   .   .   .   .   .   .   .   .   .   .   .   .    .   .   .   .   .   .   .</t>
    </r>
  </si>
  <si>
    <t xml:space="preserve">Cat. No. 11334P   </t>
  </si>
  <si>
    <r>
      <t xml:space="preserve">   </t>
    </r>
    <r>
      <rPr>
        <b/>
        <sz val="11"/>
        <rFont val="Arial"/>
        <family val="2"/>
      </rPr>
      <t>Other expenses.</t>
    </r>
    <r>
      <rPr>
        <sz val="11"/>
        <rFont val="Arial"/>
        <family val="2"/>
      </rPr>
      <t xml:space="preserve"> </t>
    </r>
    <r>
      <rPr>
        <sz val="12"/>
        <rFont val="Arial"/>
        <family val="2"/>
      </rPr>
      <t xml:space="preserve"> List below business expenses not included on lines 8-26 or line 30.</t>
    </r>
  </si>
  <si>
    <r>
      <rPr>
        <sz val="8"/>
        <rFont val="Arial"/>
        <family val="2"/>
      </rPr>
      <t>Form</t>
    </r>
    <r>
      <rPr>
        <sz val="10"/>
        <rFont val="Arial"/>
        <family val="2"/>
      </rPr>
      <t xml:space="preserve"> </t>
    </r>
    <r>
      <rPr>
        <b/>
        <sz val="26"/>
        <rFont val="Arial"/>
        <family val="2"/>
      </rPr>
      <t>8949</t>
    </r>
  </si>
  <si>
    <t>Sales and Other Dispositions of Capital Assets</t>
  </si>
  <si>
    <r>
      <rPr>
        <b/>
        <sz val="8"/>
        <rFont val="Arial"/>
        <family val="2"/>
      </rPr>
      <t>(a)</t>
    </r>
    <r>
      <rPr>
        <sz val="8"/>
        <rFont val="Arial"/>
        <family val="2"/>
      </rPr>
      <t xml:space="preserve">
Description of property
(Example: 100 sh. XYZ Co.)</t>
    </r>
  </si>
  <si>
    <t>Cat. No. 37768Z</t>
  </si>
  <si>
    <r>
      <t xml:space="preserve">Page </t>
    </r>
    <r>
      <rPr>
        <b/>
        <sz val="12"/>
        <rFont val="Arial"/>
        <family val="2"/>
      </rPr>
      <t>2</t>
    </r>
  </si>
  <si>
    <r>
      <t xml:space="preserve">Attachment Sequence No. </t>
    </r>
    <r>
      <rPr>
        <b/>
        <sz val="12"/>
        <rFont val="Arial"/>
        <family val="2"/>
      </rPr>
      <t>12A</t>
    </r>
  </si>
  <si>
    <r>
      <rPr>
        <b/>
        <sz val="7"/>
        <rFont val="Arial"/>
        <family val="2"/>
      </rPr>
      <t>(h)</t>
    </r>
    <r>
      <rPr>
        <sz val="7"/>
        <rFont val="Arial"/>
        <family val="2"/>
      </rPr>
      <t xml:space="preserve"> Gain or (loss)
Combine columns (e),
(f), and (g)</t>
    </r>
  </si>
  <si>
    <r>
      <t xml:space="preserve">Short-term capital loss carryover. Enter the amount, if any, from line 8 of your </t>
    </r>
    <r>
      <rPr>
        <b/>
        <sz val="9"/>
        <rFont val="Arial"/>
        <family val="2"/>
      </rPr>
      <t>Capital Loss Carryover</t>
    </r>
  </si>
  <si>
    <r>
      <t>Worksheet</t>
    </r>
    <r>
      <rPr>
        <sz val="10"/>
        <rFont val="Arial"/>
        <family val="2"/>
      </rPr>
      <t xml:space="preserve"> in the instructions</t>
    </r>
  </si>
  <si>
    <t>.   .   .   .   .   .   .   .   .   .   .   .   .   .   .   .   .   .   .   .   .   .   .   .   .   .   .</t>
  </si>
  <si>
    <r>
      <t xml:space="preserve">Long-term capital loss carryover. Enter the amount, if any, from line 13 of your </t>
    </r>
    <r>
      <rPr>
        <b/>
        <sz val="9"/>
        <rFont val="Arial"/>
        <family val="2"/>
      </rPr>
      <t>Capital Loss Carryover</t>
    </r>
  </si>
  <si>
    <t>Capital gain distributions. See the instructions</t>
  </si>
  <si>
    <t>14.  Then go to line 17 below.</t>
  </si>
  <si>
    <r>
      <t xml:space="preserve">If line 16 is a </t>
    </r>
    <r>
      <rPr>
        <b/>
        <sz val="9"/>
        <rFont val="Arial"/>
        <family val="2"/>
      </rPr>
      <t>gain</t>
    </r>
    <r>
      <rPr>
        <sz val="9"/>
        <rFont val="Arial"/>
        <family val="2"/>
      </rPr>
      <t>, enter the amount from line 16 on Form 1040, line 13, or Form 1040NR, line</t>
    </r>
  </si>
  <si>
    <r>
      <t xml:space="preserve">Enter the amount, if any, from line 18 of the </t>
    </r>
    <r>
      <rPr>
        <b/>
        <sz val="10"/>
        <rFont val="Arial"/>
        <family val="2"/>
      </rPr>
      <t>Unrecaptured Section 1250 Gain Worksheet</t>
    </r>
    <r>
      <rPr>
        <sz val="10"/>
        <rFont val="Arial"/>
        <family val="2"/>
      </rPr>
      <t xml:space="preserve"> in the</t>
    </r>
  </si>
  <si>
    <r>
      <t xml:space="preserve">Enter the amount, if any, from line 7 of the </t>
    </r>
    <r>
      <rPr>
        <b/>
        <sz val="10"/>
        <rFont val="Arial"/>
        <family val="2"/>
      </rPr>
      <t>28% Rate Gain Worksheet</t>
    </r>
    <r>
      <rPr>
        <sz val="10"/>
        <rFont val="Arial"/>
        <family val="2"/>
      </rPr>
      <t xml:space="preserve"> in the instructions</t>
    </r>
  </si>
  <si>
    <t xml:space="preserve"> .   .   .   .   .   . </t>
  </si>
  <si>
    <r>
      <t xml:space="preserve">If line 16 is a loss, enter here and on Form 1040, line 13, or Form 1040NR, line 14, the </t>
    </r>
    <r>
      <rPr>
        <b/>
        <sz val="10"/>
        <rFont val="Arial"/>
        <family val="2"/>
      </rPr>
      <t>smaller</t>
    </r>
    <r>
      <rPr>
        <sz val="10"/>
        <rFont val="Arial"/>
        <family val="2"/>
      </rPr>
      <t xml:space="preserve"> of</t>
    </r>
  </si>
  <si>
    <t>Form 1040, line 43 (or Form 1040NR, line 41) is zero or less.</t>
  </si>
  <si>
    <t>earnings (see instructions)?</t>
  </si>
  <si>
    <t>Net farm profit or (loss) from Schedule F, line 34, and farm partnerships, Schedule K-1 (Form</t>
  </si>
  <si>
    <t>Ministers and members of religious orders, see instructions for types of income to report on</t>
  </si>
  <si>
    <t>this line.  See instructions for other income to report</t>
  </si>
  <si>
    <t xml:space="preserve">Combine lines 1a, 1b, and 2. </t>
  </si>
  <si>
    <t xml:space="preserve"> .   .   .   .   .   .   .   .   .   .   .   .   .   .   .   .   .   .   .   .   .   . </t>
  </si>
  <si>
    <r>
      <rPr>
        <b/>
        <sz val="10"/>
        <rFont val="Arial"/>
        <family val="2"/>
      </rPr>
      <t>do not</t>
    </r>
    <r>
      <rPr>
        <sz val="10"/>
        <rFont val="Arial"/>
        <family val="2"/>
      </rPr>
      <t xml:space="preserve"> file this schedule unless you have an amount on line 1b</t>
    </r>
  </si>
  <si>
    <r>
      <rPr>
        <b/>
        <sz val="10"/>
        <rFont val="Arial"/>
        <family val="2"/>
      </rPr>
      <t xml:space="preserve">Note.   </t>
    </r>
    <r>
      <rPr>
        <sz val="10"/>
        <rFont val="Arial"/>
        <family val="2"/>
      </rPr>
      <t xml:space="preserve"> If line 4 is less than</t>
    </r>
  </si>
  <si>
    <t xml:space="preserve"> .   .   .   .   .   .   .   .   .   .   .   .</t>
  </si>
  <si>
    <t xml:space="preserve">   .   .   .   .   .   .   .   .   .   .   .   .   .   .</t>
  </si>
  <si>
    <r>
      <t>Note.</t>
    </r>
    <r>
      <rPr>
        <sz val="10"/>
        <rFont val="Arial"/>
        <family val="2"/>
      </rPr>
      <t xml:space="preserve"> If your only income subject to self-employment tax is </t>
    </r>
    <r>
      <rPr>
        <b/>
        <sz val="10"/>
        <rFont val="Arial"/>
        <family val="2"/>
      </rPr>
      <t>church employee income</t>
    </r>
    <r>
      <rPr>
        <sz val="10"/>
        <rFont val="Arial"/>
        <family val="2"/>
      </rPr>
      <t>, see instructions. Also, see instructions for</t>
    </r>
  </si>
  <si>
    <t>the definition of church employee income.</t>
  </si>
  <si>
    <t xml:space="preserve">.   .   .   .   .   .   .   .   . </t>
  </si>
  <si>
    <t>Net farm profit or (loss) from Schedule F, line 34, and farm partnerships, Schedule K-1 (Form 1065),</t>
  </si>
  <si>
    <r>
      <t xml:space="preserve">box 14, code A. </t>
    </r>
    <r>
      <rPr>
        <b/>
        <sz val="10"/>
        <rFont val="Arial"/>
        <family val="2"/>
      </rPr>
      <t>Note.</t>
    </r>
    <r>
      <rPr>
        <sz val="10"/>
        <rFont val="Arial"/>
        <family val="2"/>
      </rPr>
      <t xml:space="preserve"> Skip lines 1a and 1b if you use the farm optional method (see instructions)</t>
    </r>
  </si>
  <si>
    <t>.   .</t>
  </si>
  <si>
    <r>
      <rPr>
        <b/>
        <sz val="9"/>
        <rFont val="Arial"/>
        <family val="2"/>
      </rPr>
      <t>Note.</t>
    </r>
    <r>
      <rPr>
        <sz val="9"/>
        <rFont val="Arial"/>
        <family val="2"/>
      </rPr>
      <t xml:space="preserve"> If line 4a is less than $400 due to Conservation Reserve Program payments on line 1b, see instructions.</t>
    </r>
  </si>
  <si>
    <t>instructions for definition of church employee income</t>
  </si>
  <si>
    <r>
      <t xml:space="preserve">Multiply the </t>
    </r>
    <r>
      <rPr>
        <b/>
        <sz val="10"/>
        <rFont val="Arial"/>
        <family val="2"/>
      </rPr>
      <t xml:space="preserve">smaller </t>
    </r>
    <r>
      <rPr>
        <sz val="10"/>
        <rFont val="Arial"/>
        <family val="2"/>
      </rPr>
      <t>of line 6 or line 9 by</t>
    </r>
  </si>
  <si>
    <t xml:space="preserve"> .   . </t>
  </si>
  <si>
    <r>
      <t xml:space="preserve">Social security number of person
with </t>
    </r>
    <r>
      <rPr>
        <b/>
        <sz val="9"/>
        <rFont val="Arial"/>
        <family val="2"/>
      </rPr>
      <t>self-employment</t>
    </r>
    <r>
      <rPr>
        <sz val="9"/>
        <rFont val="Arial"/>
        <family val="2"/>
      </rPr>
      <t xml:space="preserve"> income</t>
    </r>
  </si>
  <si>
    <t>From Sch. F, line 34, and Sch. K-1 (Form 1065),  box 14, code A -- minus the amount you would have entered on line 1b had you not used the optional method.</t>
  </si>
  <si>
    <t>You may use Short Schedule SE below</t>
  </si>
  <si>
    <t xml:space="preserve">   You must use Long Schedule SE on page 2</t>
  </si>
  <si>
    <t>Also</t>
  </si>
  <si>
    <t>Combine lines 1a, 1b, and 2.</t>
  </si>
  <si>
    <t xml:space="preserve">.   .   .   .   .   .   .   .   .   .   .   .   .   .   .   .   .   .   .   .   .   .   .   .   .   .   .  </t>
  </si>
  <si>
    <t xml:space="preserve">. </t>
  </si>
  <si>
    <r>
      <t xml:space="preserve">Override  </t>
    </r>
    <r>
      <rPr>
        <b/>
        <sz val="10"/>
        <rFont val="Wingdings"/>
        <charset val="2"/>
      </rPr>
      <t>è</t>
    </r>
  </si>
  <si>
    <t>Taxes from Schedule A (Form 1040), line 9</t>
  </si>
  <si>
    <r>
      <t xml:space="preserve"> </t>
    </r>
    <r>
      <rPr>
        <sz val="8"/>
        <rFont val="Wingdings"/>
        <charset val="2"/>
      </rPr>
      <t>l</t>
    </r>
    <r>
      <rPr>
        <sz val="8"/>
        <rFont val="Arial"/>
        <family val="2"/>
      </rPr>
      <t xml:space="preserve">  </t>
    </r>
    <r>
      <rPr>
        <sz val="9"/>
        <rFont val="Arial"/>
        <family val="2"/>
      </rPr>
      <t>If you are filing Form 2555 or 2555-EZ, see instructions for the amount to enter.</t>
    </r>
  </si>
  <si>
    <r>
      <rPr>
        <sz val="8"/>
        <rFont val="Arial"/>
        <family val="2"/>
      </rPr>
      <t xml:space="preserve">Form </t>
    </r>
    <r>
      <rPr>
        <b/>
        <sz val="12"/>
        <rFont val="Arial"/>
        <family val="2"/>
      </rPr>
      <t>8949</t>
    </r>
  </si>
  <si>
    <t xml:space="preserve"> .   .   .   .   .   .   .   .   .   .   .   .   .   .   .   .   .   .   .   .   .   .   .   .   .   .   .   .   .   . </t>
  </si>
  <si>
    <t>Complete Part III only if you are required to do so by line 31 or by the Foreign Earned Income Tax Worksheet in the instructions.</t>
  </si>
  <si>
    <t xml:space="preserve">.   .   .   .   .   .   .   .   .   .   .   .   .   .   .   .   .   .   .   .   .   .   .   .   .   . </t>
  </si>
  <si>
    <t xml:space="preserve">.   .   .   .   .   .   .   .   .   .   .   .   .   .   .   .   .   .   .   .   .   .   .   .   .   .   .   .   . </t>
  </si>
  <si>
    <t>.   .   .   .   .   .</t>
  </si>
  <si>
    <t xml:space="preserve"> .   .   .   .   .   .   .   .   .   .   .   .   .   . </t>
  </si>
  <si>
    <t xml:space="preserve"> .   .   .   .   .   .   .   .   .   .   .   .   .   .   .   .   .   .   .   .   .   .</t>
  </si>
  <si>
    <t>status was single or head of household).</t>
  </si>
  <si>
    <t>Multiply line 4 by the number of months for which this year’s payments were made. If your</t>
  </si>
  <si>
    <t>annuity starting date was before 1987, skip lines 6 and 7 and enter this amount on line 8.</t>
  </si>
  <si>
    <t>Otherwise, go to line 6</t>
  </si>
  <si>
    <r>
      <t xml:space="preserve">Form 1099-R. If you are a retired public safety officer, see </t>
    </r>
    <r>
      <rPr>
        <i/>
        <sz val="9"/>
        <rFont val="Arial"/>
        <family val="2"/>
      </rPr>
      <t>Insurance Premiums for Retired Public Safety Officers</t>
    </r>
  </si>
  <si>
    <t>before entering an amount on line 16b</t>
  </si>
  <si>
    <t>IF the age at annuity starting</t>
  </si>
  <si>
    <t>date was …</t>
  </si>
  <si>
    <t>IF the combined ages at annuity</t>
  </si>
  <si>
    <t xml:space="preserve"> starting date were . . .</t>
  </si>
  <si>
    <t>instructions for line 36).</t>
  </si>
  <si>
    <t>use this worksheet instead of a publication to find out if any of your benefits are taxable.</t>
  </si>
  <si>
    <t>enter "D" to the right of the word "benefits" on line 20a.  If you do not, you may get a math</t>
  </si>
  <si>
    <t>error notice from the IRS.</t>
  </si>
  <si>
    <r>
      <t xml:space="preserve">No.   STOP   </t>
    </r>
    <r>
      <rPr>
        <sz val="10"/>
        <rFont val="Arial"/>
        <family val="2"/>
      </rPr>
      <t>None of your social security benefits are taxable. Enter -0- on Form 1040, line 20b.</t>
    </r>
  </si>
  <si>
    <t xml:space="preserve"> .   .   .   .   .   .   .   .   .   .   .   .   .   .   .   .   .   .   .   .</t>
  </si>
  <si>
    <t xml:space="preserve">  .   .   .   .   .   .   .   .   .   .   .   .   .   .   .   .   .   .   .   .   .   .   .   .   .   .   .   .   .   .   .   .   .   .</t>
  </si>
  <si>
    <t>adjustments you entered on the dotted line next to line 36</t>
  </si>
  <si>
    <t xml:space="preserve"> .   .   .   .   .   .   .   .   .   .   .   .   .   .   .   .   .</t>
  </si>
  <si>
    <r>
      <t xml:space="preserve"> Yes.</t>
    </r>
    <r>
      <rPr>
        <sz val="10"/>
        <rFont val="Arial"/>
        <family val="2"/>
      </rPr>
      <t xml:space="preserve">  Subtract line 6 from line 5</t>
    </r>
    <r>
      <rPr>
        <b/>
        <sz val="10"/>
        <rFont val="Arial"/>
        <family val="2"/>
      </rPr>
      <t>.   .   .   .   .   .   .   .   .   .</t>
    </r>
  </si>
  <si>
    <t>Figure any write-in adjustments to be entered on the dotted line next to line 36 (see the instructions for line 36).</t>
  </si>
  <si>
    <t xml:space="preserve">.   .   .   .   .   .   .   .   .   .   .   .   .   .   .   .   .   .  </t>
  </si>
  <si>
    <t>skip lines 2 through 6, enter the applicable amount below on line 7a (and line 7b if</t>
  </si>
  <si>
    <t>applicable), and go to line 8.</t>
  </si>
  <si>
    <r>
      <t xml:space="preserve">Enter the amount from Form 1040, line 22 </t>
    </r>
    <r>
      <rPr>
        <b/>
        <sz val="10"/>
        <rFont val="Arial"/>
        <family val="2"/>
      </rPr>
      <t xml:space="preserve">.   .   .   .   .   .   .   .   .   .   .   .   .   .   .   .   .   . </t>
    </r>
    <r>
      <rPr>
        <sz val="10"/>
        <rFont val="Arial"/>
        <family val="2"/>
      </rPr>
      <t xml:space="preserve"> </t>
    </r>
  </si>
  <si>
    <t>Subtract line 4 from line 3. If married filing jointly, enter the result in both columns</t>
  </si>
  <si>
    <t xml:space="preserve"> .   .   .   .   .   .   .   .  </t>
  </si>
  <si>
    <t>Otherwise, go to line 7.</t>
  </si>
  <si>
    <t>Wages, salaries, tips, etc. Generally, this is the</t>
  </si>
  <si>
    <t>amount reported in box 1 of Form W-2. Exceptions</t>
  </si>
  <si>
    <t>are explained earlier in these instructions for line 32</t>
  </si>
  <si>
    <t>.   .   .   .   .   .   .   .   .   .   .   .   .   .   .   .   .   .   .   .   .</t>
  </si>
  <si>
    <t>line 3 of the Foreign Earned Income Tax Worksheet</t>
  </si>
  <si>
    <t xml:space="preserve"> .    .    .    .    .    .    .    .    .    .    . </t>
  </si>
  <si>
    <t>Enter the smaller of line 1 or line 6</t>
  </si>
  <si>
    <t>Subtract line 13 from line 12</t>
  </si>
  <si>
    <t>1040, line 44. Instead, enter it on line 4 of the Foreign Earned Income Tax Worksheet</t>
  </si>
  <si>
    <t xml:space="preserve">.    .    .    .    .    .    .    .    .    .    . </t>
  </si>
  <si>
    <t>* If you are filing Form 2555 or 2555-EZ, see the footnote in the Foreign Earned Income Tax Worksheet before completing this line.</t>
  </si>
  <si>
    <t>NOTICE !</t>
  </si>
  <si>
    <r>
      <t>1040 Filers.</t>
    </r>
    <r>
      <rPr>
        <sz val="10"/>
        <rFont val="Arial"/>
        <family val="2"/>
      </rPr>
      <t xml:space="preserve">  Enter the total of any—</t>
    </r>
  </si>
  <si>
    <t>Exclusion of income from Puerto Rico, and</t>
  </si>
  <si>
    <t>Amounts from Form 2555, lines 45 and 50;</t>
  </si>
  <si>
    <r>
      <t xml:space="preserve">1040A and 1040NR Filers.  </t>
    </r>
    <r>
      <rPr>
        <sz val="10"/>
        <rFont val="Arial"/>
        <family val="2"/>
      </rPr>
      <t>Enter -0-.</t>
    </r>
  </si>
  <si>
    <t>Add lines 2 and 3. Enter the total.</t>
  </si>
  <si>
    <t>Enter the amount shown below for your</t>
  </si>
  <si>
    <t>filing status.</t>
  </si>
  <si>
    <t>Is the amount on line 4 more than the amount on line 5?</t>
  </si>
  <si>
    <t>Leave line 6 blank. Enter -0- on line 7.</t>
  </si>
  <si>
    <t>Subtract line 5 from line 4.</t>
  </si>
  <si>
    <t xml:space="preserve">  If the result is not a multiple of $1,000,</t>
  </si>
  <si>
    <t xml:space="preserve">  increase it to the next multiple of $1,000</t>
  </si>
  <si>
    <t xml:space="preserve">  (for example, increase $425 to $1,000,</t>
  </si>
  <si>
    <t xml:space="preserve">  increase $1,025 to $2,000, etc.).</t>
  </si>
  <si>
    <t>Is the amount on line 1 more than the amount on line 7?</t>
  </si>
  <si>
    <t xml:space="preserve"> No. </t>
  </si>
  <si>
    <t xml:space="preserve">  Form 1040, 1040A, or Form 1040NR.</t>
  </si>
  <si>
    <t>Subtract line 7 from line 1. Enter the result.</t>
  </si>
  <si>
    <t>Go to Part 2 on the next page.</t>
  </si>
  <si>
    <t>Page 4</t>
  </si>
  <si>
    <t>Add the amounts from—</t>
  </si>
  <si>
    <t>Form 1040NR</t>
  </si>
  <si>
    <t>Line 47</t>
  </si>
  <si>
    <t>Line 48</t>
  </si>
  <si>
    <t>-----------</t>
  </si>
  <si>
    <t xml:space="preserve">+ </t>
  </si>
  <si>
    <t>Line 49</t>
  </si>
  <si>
    <t>Line 31</t>
  </si>
  <si>
    <t>Line 46</t>
  </si>
  <si>
    <t>Enter the total.</t>
  </si>
  <si>
    <t>Mortgage interest credit, Form 8396</t>
  </si>
  <si>
    <t>11</t>
  </si>
  <si>
    <t>to figure the amount to enter here.</t>
  </si>
  <si>
    <t>Subtract line 11 from line 9. Enter the result.</t>
  </si>
  <si>
    <t>Is the amount on line 8 of this worksheet more than the amount on line 12?</t>
  </si>
  <si>
    <t>13</t>
  </si>
  <si>
    <r>
      <t xml:space="preserve">See the </t>
    </r>
    <r>
      <rPr>
        <b/>
        <sz val="10"/>
        <rFont val="Arial"/>
        <family val="2"/>
      </rPr>
      <t>TIP</t>
    </r>
    <r>
      <rPr>
        <sz val="10"/>
        <rFont val="Arial"/>
        <family val="2"/>
      </rPr>
      <t xml:space="preserve"> below.</t>
    </r>
  </si>
  <si>
    <r>
      <t xml:space="preserve">  You may be able to take the </t>
    </r>
    <r>
      <rPr>
        <b/>
        <sz val="10"/>
        <rFont val="Arial"/>
        <family val="2"/>
      </rPr>
      <t>additional child tax credit</t>
    </r>
    <r>
      <rPr>
        <sz val="10"/>
        <rFont val="Arial"/>
        <family val="2"/>
      </rPr>
      <t xml:space="preserve"> on</t>
    </r>
  </si>
  <si>
    <t>Page 5</t>
  </si>
  <si>
    <r>
      <t xml:space="preserve">Before you begin: </t>
    </r>
    <r>
      <rPr>
        <sz val="12"/>
        <rFont val="Arial"/>
        <family val="2"/>
      </rPr>
      <t xml:space="preserve"> </t>
    </r>
    <r>
      <rPr>
        <sz val="12"/>
        <rFont val="Wingdings"/>
        <charset val="2"/>
      </rPr>
      <t>ü</t>
    </r>
  </si>
  <si>
    <t>Leave line 3 blank, enter -0- on line 4, and</t>
  </si>
  <si>
    <t>go to line 5.</t>
  </si>
  <si>
    <t>Enter the result.</t>
  </si>
  <si>
    <t>If married filing</t>
  </si>
  <si>
    <t>jointly, include your</t>
  </si>
  <si>
    <t>Social security taxes from box 4, and</t>
  </si>
  <si>
    <t>spouse's amounts</t>
  </si>
  <si>
    <t>Medicare taxes from box 6.</t>
  </si>
  <si>
    <t>with yours when</t>
  </si>
  <si>
    <t>Add lines 6 and 7. Enter the total.</t>
  </si>
  <si>
    <t>Page 6</t>
  </si>
  <si>
    <t>Subtract line 9 from line 8. If the result is zero or less, enter -0-.</t>
  </si>
  <si>
    <r>
      <t xml:space="preserve">   Enter the </t>
    </r>
    <r>
      <rPr>
        <b/>
        <sz val="10"/>
        <rFont val="Arial"/>
        <family val="2"/>
      </rPr>
      <t>larger</t>
    </r>
    <r>
      <rPr>
        <sz val="10"/>
        <rFont val="Arial"/>
        <family val="2"/>
      </rPr>
      <t xml:space="preserve"> of line 4 or line 10.</t>
    </r>
  </si>
  <si>
    <t>`</t>
  </si>
  <si>
    <t>from Form 1040, line 53, Form 1040A, line 33, or Form 1040NR, line 48.</t>
  </si>
  <si>
    <t xml:space="preserve">  Enter the total of the amounts from—</t>
  </si>
  <si>
    <t>14</t>
  </si>
  <si>
    <t>15</t>
  </si>
  <si>
    <t>Tax Credit Worksheet</t>
  </si>
  <si>
    <t>Page 7</t>
  </si>
  <si>
    <t>This worksheet will work in place of the simplified worksheets in the 1040 instructions.</t>
  </si>
  <si>
    <t>If you do not have a qualifying child, you cannot claim the child tax credit.</t>
  </si>
  <si>
    <t>Line 50</t>
  </si>
  <si>
    <r>
      <rPr>
        <b/>
        <sz val="10"/>
        <rFont val="Arial"/>
        <family val="2"/>
      </rPr>
      <t>Schedule R</t>
    </r>
    <r>
      <rPr>
        <sz val="10"/>
        <rFont val="Arial"/>
        <family val="2"/>
      </rPr>
      <t>, line 22</t>
    </r>
  </si>
  <si>
    <t>Form 1040  or</t>
  </si>
  <si>
    <t xml:space="preserve"> Form 1040A          or</t>
  </si>
  <si>
    <t>or Form 1040NR, line</t>
  </si>
  <si>
    <t>Enter the amount from line 8 of the Child Tax Credit Worksheet.</t>
  </si>
  <si>
    <t>Enter your earned income from the Earned Income</t>
  </si>
  <si>
    <t>Worksheet that applies to you.</t>
  </si>
  <si>
    <t>Any taxes that you identified using code</t>
  </si>
  <si>
    <r>
      <rPr>
        <b/>
        <sz val="10"/>
        <rFont val="Arial"/>
        <family val="2"/>
      </rPr>
      <t>Next,</t>
    </r>
    <r>
      <rPr>
        <sz val="10"/>
        <rFont val="Arial"/>
        <family val="2"/>
      </rPr>
      <t xml:space="preserve"> figure the amount of any of the following credits that you are claiming.</t>
    </r>
  </si>
  <si>
    <t>Then, go to line 13.</t>
  </si>
  <si>
    <t>Line 11</t>
  </si>
  <si>
    <r>
      <t xml:space="preserve">Otherwise, see 1040 filers, 1040A </t>
    </r>
    <r>
      <rPr>
        <i/>
        <sz val="10"/>
        <rFont val="Arial"/>
        <family val="2"/>
      </rPr>
      <t>filers</t>
    </r>
    <r>
      <rPr>
        <sz val="10"/>
        <rFont val="Arial"/>
        <family val="2"/>
      </rPr>
      <t xml:space="preserve">, and </t>
    </r>
    <r>
      <rPr>
        <i/>
        <sz val="10"/>
        <rFont val="Arial"/>
        <family val="2"/>
      </rPr>
      <t>1040NR filers</t>
    </r>
    <r>
      <rPr>
        <sz val="10"/>
        <rFont val="Arial"/>
        <family val="2"/>
      </rPr>
      <t xml:space="preserve"> later and then go to line 6.</t>
    </r>
  </si>
  <si>
    <t>Maximum SS Tax Earnings</t>
  </si>
  <si>
    <t xml:space="preserve">SCHEDULE E  </t>
  </si>
  <si>
    <t>Supplemental Income and Loss</t>
  </si>
  <si>
    <t xml:space="preserve"> (Form 1040)</t>
  </si>
  <si>
    <t>Internal Revenue Service      (99)</t>
  </si>
  <si>
    <r>
      <t xml:space="preserve">Sequence No. </t>
    </r>
    <r>
      <rPr>
        <b/>
        <sz val="10"/>
        <rFont val="Arial"/>
        <family val="2"/>
      </rPr>
      <t>13</t>
    </r>
  </si>
  <si>
    <t>Income or Loss From Rental Real Estate and Royalties</t>
  </si>
  <si>
    <r>
      <t>Note.</t>
    </r>
    <r>
      <rPr>
        <sz val="10"/>
        <rFont val="Arial"/>
        <family val="2"/>
      </rPr>
      <t xml:space="preserve">  If you are in the business of renting personal property, use</t>
    </r>
  </si>
  <si>
    <t>Expenses:</t>
  </si>
  <si>
    <t>Advertising</t>
  </si>
  <si>
    <t>Cleaning and maintenance</t>
  </si>
  <si>
    <t>Commissions</t>
  </si>
  <si>
    <t>Insurance</t>
  </si>
  <si>
    <t>Legal and other professional fees</t>
  </si>
  <si>
    <t>Management fees</t>
  </si>
  <si>
    <t>Other interest</t>
  </si>
  <si>
    <t>Repairs</t>
  </si>
  <si>
    <t>Supplies</t>
  </si>
  <si>
    <t>Taxes</t>
  </si>
  <si>
    <t>Utilities</t>
  </si>
  <si>
    <t>Depreciation expense or depletion</t>
  </si>
  <si>
    <t>Line 22</t>
  </si>
  <si>
    <r>
      <t>Total rental real estate and royalty income or (loss).</t>
    </r>
    <r>
      <rPr>
        <sz val="9"/>
        <rFont val="Arial"/>
        <family val="2"/>
      </rPr>
      <t xml:space="preserve">   Combine lines 24 and 25.   Enter the result here.</t>
    </r>
  </si>
  <si>
    <t>If Parts II, III, IV, and line 40 on page 2 do not apply to you, also enter this amount on Form 1040,</t>
  </si>
  <si>
    <t>Cat. No. 11344L</t>
  </si>
  <si>
    <t>Download Form 1040 Schedule E</t>
  </si>
  <si>
    <t>Download Form 1040 Schedule E Instructions</t>
  </si>
  <si>
    <r>
      <t xml:space="preserve">Attachment Sequence No. </t>
    </r>
    <r>
      <rPr>
        <b/>
        <sz val="9"/>
        <rFont val="Arial"/>
        <family val="2"/>
      </rPr>
      <t>13</t>
    </r>
  </si>
  <si>
    <r>
      <t xml:space="preserve">Page </t>
    </r>
    <r>
      <rPr>
        <b/>
        <sz val="9"/>
        <rFont val="Arial"/>
        <family val="2"/>
      </rPr>
      <t>2</t>
    </r>
  </si>
  <si>
    <t>Name(s) shown on return.  Do not enter name and social security number if shown on other side.</t>
  </si>
  <si>
    <r>
      <t>Caution.</t>
    </r>
    <r>
      <rPr>
        <sz val="10"/>
        <rFont val="Arial"/>
        <family val="2"/>
      </rPr>
      <t xml:space="preserve">  The IRS compares amounts reported on your tax return with amounts shown on Schedule(s) K-1.</t>
    </r>
  </si>
  <si>
    <t xml:space="preserve">   Part II</t>
  </si>
  <si>
    <r>
      <t>(b)</t>
    </r>
    <r>
      <rPr>
        <sz val="8"/>
        <rFont val="Arial"/>
        <family val="2"/>
      </rPr>
      <t xml:space="preserve"> Enter </t>
    </r>
    <r>
      <rPr>
        <b/>
        <sz val="8"/>
        <rFont val="Arial"/>
        <family val="2"/>
      </rPr>
      <t>P</t>
    </r>
    <r>
      <rPr>
        <sz val="8"/>
        <rFont val="Arial"/>
        <family val="2"/>
      </rPr>
      <t xml:space="preserve"> for</t>
    </r>
  </si>
  <si>
    <r>
      <t xml:space="preserve">    (d)</t>
    </r>
    <r>
      <rPr>
        <sz val="8"/>
        <rFont val="Arial"/>
        <family val="2"/>
      </rPr>
      <t xml:space="preserve"> Employer</t>
    </r>
  </si>
  <si>
    <r>
      <t>(e)</t>
    </r>
    <r>
      <rPr>
        <sz val="8"/>
        <rFont val="Arial"/>
        <family val="2"/>
      </rPr>
      <t xml:space="preserve"> Check if</t>
    </r>
  </si>
  <si>
    <r>
      <t>(a)</t>
    </r>
    <r>
      <rPr>
        <sz val="8"/>
        <rFont val="Arial"/>
        <family val="2"/>
      </rPr>
      <t xml:space="preserve"> Name</t>
    </r>
  </si>
  <si>
    <r>
      <t xml:space="preserve">partnership; </t>
    </r>
    <r>
      <rPr>
        <b/>
        <sz val="8"/>
        <rFont val="Arial"/>
        <family val="2"/>
      </rPr>
      <t>S</t>
    </r>
  </si>
  <si>
    <t xml:space="preserve">       identification</t>
  </si>
  <si>
    <t>any amount is</t>
  </si>
  <si>
    <t>for S corporation</t>
  </si>
  <si>
    <t xml:space="preserve">          number</t>
  </si>
  <si>
    <t>not at risk</t>
  </si>
  <si>
    <t>Passive Income and Loss</t>
  </si>
  <si>
    <t>Nonpassive Income and Loss</t>
  </si>
  <si>
    <r>
      <t xml:space="preserve">from </t>
    </r>
    <r>
      <rPr>
        <b/>
        <sz val="8"/>
        <rFont val="Arial"/>
        <family val="2"/>
      </rPr>
      <t>Schedule K-1</t>
    </r>
  </si>
  <si>
    <r>
      <t>a</t>
    </r>
    <r>
      <rPr>
        <sz val="10"/>
        <rFont val="Arial"/>
        <family val="2"/>
      </rPr>
      <t xml:space="preserve"> Totals</t>
    </r>
  </si>
  <si>
    <r>
      <t>b</t>
    </r>
    <r>
      <rPr>
        <sz val="10"/>
        <rFont val="Arial"/>
        <family val="2"/>
      </rPr>
      <t xml:space="preserve"> Totals</t>
    </r>
  </si>
  <si>
    <r>
      <t xml:space="preserve">   Add columns (g) and (j) of line 29a </t>
    </r>
    <r>
      <rPr>
        <b/>
        <sz val="10"/>
        <rFont val="Arial"/>
        <family val="2"/>
      </rPr>
      <t xml:space="preserve">  .   .   .   .   .   .   .   .   .   .   .   .   .   .   .   .   .   .   .   .   .   .   .   .   .   .   .   .   .</t>
    </r>
  </si>
  <si>
    <r>
      <t xml:space="preserve">   Add columns (f), (h),  and (i) of line 29b</t>
    </r>
    <r>
      <rPr>
        <b/>
        <sz val="10"/>
        <rFont val="Arial"/>
        <family val="2"/>
      </rPr>
      <t xml:space="preserve"> .   .   .   .   .   .   .   .   .   .   .   .   .   .   .   .   .   .   .   .   .   .   .   .   .   .   .   .</t>
    </r>
  </si>
  <si>
    <r>
      <t xml:space="preserve">   </t>
    </r>
    <r>
      <rPr>
        <b/>
        <sz val="10"/>
        <rFont val="Arial"/>
        <family val="2"/>
      </rPr>
      <t>Total partnership and S corporation income or (loss).</t>
    </r>
    <r>
      <rPr>
        <sz val="10"/>
        <rFont val="Arial"/>
        <family val="2"/>
      </rPr>
      <t xml:space="preserve">  Combine lines 30 and 31.  Enter the</t>
    </r>
  </si>
  <si>
    <r>
      <t xml:space="preserve">  result here and include in the total on line 41 below</t>
    </r>
    <r>
      <rPr>
        <b/>
        <sz val="10"/>
        <rFont val="Arial"/>
        <family val="2"/>
      </rPr>
      <t xml:space="preserve"> .   .   .   .   .   .   .   .   .   .   .   .   .   .   .   .   .   .   .   .   .   .   .   .   .   .   .</t>
    </r>
  </si>
  <si>
    <t xml:space="preserve">   Part III</t>
  </si>
  <si>
    <t xml:space="preserve">    Income or Loss From Estates and Trusts</t>
  </si>
  <si>
    <r>
      <t xml:space="preserve">   (e)</t>
    </r>
    <r>
      <rPr>
        <sz val="8"/>
        <rFont val="Arial"/>
        <family val="2"/>
      </rPr>
      <t xml:space="preserve"> Deductions or loss</t>
    </r>
  </si>
  <si>
    <r>
      <t xml:space="preserve">   Add columns (d) and (f) of line 34a </t>
    </r>
    <r>
      <rPr>
        <b/>
        <sz val="10"/>
        <rFont val="Arial"/>
        <family val="2"/>
      </rPr>
      <t xml:space="preserve">  .   .   .   .   .   .   .   .   .   .   .   .   .   .   .   .   .   .   .   .   .   .   .   .   .   .   .   .   .</t>
    </r>
  </si>
  <si>
    <r>
      <t xml:space="preserve">   Add columns (c) and (e) of line 34b</t>
    </r>
    <r>
      <rPr>
        <b/>
        <sz val="10"/>
        <rFont val="Arial"/>
        <family val="2"/>
      </rPr>
      <t xml:space="preserve"> .   .   .   .   .   .   .   .   .   .   .   .   .   .   .   .   .   .   .   .   .   .   .   .   .   .   .   .   .</t>
    </r>
  </si>
  <si>
    <r>
      <t xml:space="preserve">   Total estate and trust income or (loss).</t>
    </r>
    <r>
      <rPr>
        <sz val="10"/>
        <rFont val="Arial"/>
        <family val="2"/>
      </rPr>
      <t xml:space="preserve"> Combine lines 35 and 36. Enter the result here and</t>
    </r>
  </si>
  <si>
    <r>
      <t xml:space="preserve">    include in the total on line 41 below</t>
    </r>
    <r>
      <rPr>
        <b/>
        <sz val="10"/>
        <rFont val="Arial"/>
        <family val="2"/>
      </rPr>
      <t xml:space="preserve"> .   .   .   .   .   .   .   .   .   .   .   .   .   .   .   .   .   .   .   .   .   .   .   .   .   .   .   .   .   .   .   .</t>
    </r>
  </si>
  <si>
    <t xml:space="preserve">   Part IV</t>
  </si>
  <si>
    <t xml:space="preserve">    Income or Loss From Real Estate Mortgage Investment Conduits (REMICs) -- Residual Holder</t>
  </si>
  <si>
    <r>
      <t xml:space="preserve">(b) </t>
    </r>
    <r>
      <rPr>
        <sz val="8"/>
        <rFont val="Arial"/>
        <family val="2"/>
      </rPr>
      <t>Employer                       identification number</t>
    </r>
  </si>
  <si>
    <r>
      <t>(d)</t>
    </r>
    <r>
      <rPr>
        <sz val="7"/>
        <rFont val="Arial"/>
        <family val="2"/>
      </rPr>
      <t xml:space="preserve"> Taxable income (net loss) from </t>
    </r>
    <r>
      <rPr>
        <b/>
        <sz val="7"/>
        <rFont val="Arial"/>
        <family val="2"/>
      </rPr>
      <t>Schedules Q</t>
    </r>
    <r>
      <rPr>
        <sz val="7"/>
        <rFont val="Arial"/>
        <family val="2"/>
      </rPr>
      <t>, line 1b</t>
    </r>
  </si>
  <si>
    <r>
      <t xml:space="preserve">                (a)</t>
    </r>
    <r>
      <rPr>
        <sz val="8"/>
        <rFont val="Arial"/>
        <family val="2"/>
      </rPr>
      <t xml:space="preserve"> Name</t>
    </r>
  </si>
  <si>
    <t xml:space="preserve">   Combine columns (d) and (e) only.  Enter the result here and include in the total on line 41 below</t>
  </si>
  <si>
    <t xml:space="preserve">   Part V</t>
  </si>
  <si>
    <t xml:space="preserve">     Summary</t>
  </si>
  <si>
    <r>
      <t xml:space="preserve">   Net farm rental income or (loss) from </t>
    </r>
    <r>
      <rPr>
        <b/>
        <sz val="10"/>
        <rFont val="Arial"/>
        <family val="2"/>
      </rPr>
      <t>Form 4835.</t>
    </r>
    <r>
      <rPr>
        <sz val="10"/>
        <rFont val="Arial"/>
        <family val="2"/>
      </rPr>
      <t xml:space="preserve">  Also, complete line 42 below</t>
    </r>
    <r>
      <rPr>
        <b/>
        <sz val="10"/>
        <rFont val="Arial"/>
        <family val="2"/>
      </rPr>
      <t xml:space="preserve"> .   .   .   .   .   .   .   .   .   .   .   .   .   .   .   .   .   .   .   .   .   .   . </t>
    </r>
  </si>
  <si>
    <t xml:space="preserve">   anywhere on Form 1040 or 1040NR from all rental real estate activities</t>
  </si>
  <si>
    <r>
      <t xml:space="preserve">   in which you materially participated under the passive activity loss rules</t>
    </r>
    <r>
      <rPr>
        <b/>
        <sz val="10"/>
        <rFont val="Arial"/>
        <family val="2"/>
      </rPr>
      <t xml:space="preserve">  .   .   .   .   .   .   .   .   .   .   .</t>
    </r>
  </si>
  <si>
    <r>
      <t>4</t>
    </r>
    <r>
      <rPr>
        <b/>
        <sz val="8"/>
        <rFont val="Arial"/>
        <family val="2"/>
      </rPr>
      <t>Attach to Form 1040, 1040NR, or Form 1041.</t>
    </r>
  </si>
  <si>
    <t>If “Yes,” did you or will you file all required Forms 1099?</t>
  </si>
  <si>
    <t>QJV</t>
  </si>
  <si>
    <t>Personal Use Days</t>
  </si>
  <si>
    <t>Type of Property:</t>
  </si>
  <si>
    <t>1 Single Family Residence</t>
  </si>
  <si>
    <t>3 Vacation/Short-Term Rental</t>
  </si>
  <si>
    <t>5 Land</t>
  </si>
  <si>
    <t>7 Self-Rental</t>
  </si>
  <si>
    <t>2 Multi-Family Residence</t>
  </si>
  <si>
    <t>4 Commercial</t>
  </si>
  <si>
    <t>6 Royalties</t>
  </si>
  <si>
    <t>8 Other (describe)</t>
  </si>
  <si>
    <r>
      <t>Other (list)</t>
    </r>
    <r>
      <rPr>
        <sz val="9"/>
        <rFont val="Marlett"/>
        <charset val="2"/>
      </rPr>
      <t>4</t>
    </r>
  </si>
  <si>
    <t>Auto and travel (see instructions)</t>
  </si>
  <si>
    <t>Mortgage interest paid to banks, etc. (see instructions)</t>
  </si>
  <si>
    <t>Total expenses. Add lines 5 through 19</t>
  </si>
  <si>
    <t>23a</t>
  </si>
  <si>
    <t>23b</t>
  </si>
  <si>
    <t xml:space="preserve">    b</t>
  </si>
  <si>
    <t xml:space="preserve">    c</t>
  </si>
  <si>
    <t xml:space="preserve">    d</t>
  </si>
  <si>
    <t xml:space="preserve">    e</t>
  </si>
  <si>
    <t>Total of all amounts reported on line 4 for all royalty properties</t>
  </si>
  <si>
    <t>Total of all amounts reported on line 12 for all properties</t>
  </si>
  <si>
    <t>Total of all amounts reported on line 18 for all properties</t>
  </si>
  <si>
    <t>Total of all amounts reported on line 20 for all properties</t>
  </si>
  <si>
    <r>
      <rPr>
        <b/>
        <sz val="9"/>
        <rFont val="Arial"/>
        <family val="2"/>
      </rPr>
      <t>Losses.</t>
    </r>
    <r>
      <rPr>
        <sz val="9"/>
        <rFont val="Arial"/>
        <family val="2"/>
      </rPr>
      <t xml:space="preserve"> Add royalty losses from line 21 and rental real estate losses from line 22. Enter total losses here</t>
    </r>
  </si>
  <si>
    <r>
      <rPr>
        <b/>
        <sz val="9"/>
        <rFont val="Arial"/>
        <family val="2"/>
      </rPr>
      <t>Income.</t>
    </r>
    <r>
      <rPr>
        <sz val="9"/>
        <rFont val="Arial"/>
        <family val="2"/>
      </rPr>
      <t xml:space="preserve"> Add positive amounts shown on line 21. </t>
    </r>
    <r>
      <rPr>
        <b/>
        <sz val="9"/>
        <rFont val="Arial"/>
        <family val="2"/>
      </rPr>
      <t>Do not</t>
    </r>
    <r>
      <rPr>
        <sz val="9"/>
        <rFont val="Arial"/>
        <family val="2"/>
      </rPr>
      <t xml:space="preserve"> include any losses</t>
    </r>
  </si>
  <si>
    <t>23c</t>
  </si>
  <si>
    <t>23d</t>
  </si>
  <si>
    <t>23e</t>
  </si>
  <si>
    <r>
      <t xml:space="preserve">line 17, or Form 1040NR, line 18. Otherwise, include this amount in the total on line 41 on page 2  </t>
    </r>
    <r>
      <rPr>
        <b/>
        <sz val="9"/>
        <rFont val="Arial"/>
        <family val="2"/>
      </rPr>
      <t>.   .   .   .   .   .   .   .   .   .   .   .   .   .   .</t>
    </r>
  </si>
  <si>
    <t xml:space="preserve">.   .   .   . </t>
  </si>
  <si>
    <t xml:space="preserve">.   .   .   .   .   .   .   .   .   .   . </t>
  </si>
  <si>
    <t>Gains</t>
  </si>
  <si>
    <t>Losses</t>
  </si>
  <si>
    <t>Royalty losses</t>
  </si>
  <si>
    <t>Line 21</t>
  </si>
  <si>
    <t>Rental Real Estate Losses</t>
  </si>
  <si>
    <r>
      <t xml:space="preserve">Overrides </t>
    </r>
    <r>
      <rPr>
        <b/>
        <sz val="10"/>
        <rFont val="Wingdings"/>
        <charset val="2"/>
      </rPr>
      <t>ê</t>
    </r>
  </si>
  <si>
    <r>
      <t xml:space="preserve">   Reconciliation for real estate professionals.</t>
    </r>
    <r>
      <rPr>
        <sz val="10"/>
        <rFont val="Arial"/>
        <family val="2"/>
      </rPr>
      <t xml:space="preserve">  If you were a real estate</t>
    </r>
  </si>
  <si>
    <t xml:space="preserve">   professional (see instructions), enter the net income or (loss) you reported</t>
  </si>
  <si>
    <t>Capital gain (not included in box 2a)</t>
  </si>
  <si>
    <t>Employee contributions / Insurance premiums / 
Designated Roth IRA contributions</t>
  </si>
  <si>
    <t>Distribution code(s)</t>
  </si>
  <si>
    <t>Amount allocable to IRR within 5 years</t>
  </si>
  <si>
    <t>1st year of desig. Roth contrib.</t>
  </si>
  <si>
    <r>
      <t xml:space="preserve">  Only </t>
    </r>
    <r>
      <rPr>
        <b/>
        <sz val="10"/>
        <color indexed="10"/>
        <rFont val="Arial"/>
        <family val="2"/>
      </rPr>
      <t>bolded</t>
    </r>
    <r>
      <rPr>
        <sz val="10"/>
        <color indexed="10"/>
        <rFont val="Arial"/>
        <family val="2"/>
      </rPr>
      <t xml:space="preserve"> amounts are used in this spreadsheet.</t>
    </r>
  </si>
  <si>
    <t>---</t>
  </si>
  <si>
    <t>Check here to hide red formatting.   &gt;</t>
  </si>
  <si>
    <t xml:space="preserve">Complete this worksheet only if line 18 or line 19 of Schedule D is more than zero. </t>
  </si>
  <si>
    <r>
      <t xml:space="preserve">Deductible part of self-employment tax. Attach Schedule SE </t>
    </r>
    <r>
      <rPr>
        <b/>
        <sz val="9"/>
        <rFont val="Arial"/>
        <family val="2"/>
      </rPr>
      <t xml:space="preserve"> .   .   .   .   .   .   .   .   .   .   .   .   .   .   .   .   .   .   .   .   .   .   .   .   .   .   .   .   .   .   .   .   .   .   .   .   .   .   .   .   .</t>
    </r>
  </si>
  <si>
    <t>(a)
Description of property
(Example: 100 sh. XYZ Co.)</t>
  </si>
  <si>
    <t>Paste data from other spreadsheets, reports, etc. here.</t>
  </si>
  <si>
    <t>Personal Identification no.(PIN)</t>
  </si>
  <si>
    <t>Foreign province/state/county</t>
  </si>
  <si>
    <r>
      <rPr>
        <sz val="6"/>
        <rFont val="Arial"/>
        <family val="2"/>
      </rPr>
      <t>Resvd</t>
    </r>
    <r>
      <rPr>
        <sz val="8"/>
        <rFont val="Arial"/>
        <family val="2"/>
      </rPr>
      <t xml:space="preserve"> </t>
    </r>
    <r>
      <rPr>
        <b/>
        <sz val="8"/>
        <rFont val="Arial"/>
        <family val="2"/>
      </rPr>
      <t>c</t>
    </r>
  </si>
  <si>
    <r>
      <t xml:space="preserve">   </t>
    </r>
    <r>
      <rPr>
        <b/>
        <sz val="9"/>
        <rFont val="Marlett"/>
        <charset val="2"/>
      </rPr>
      <t>4</t>
    </r>
    <r>
      <rPr>
        <b/>
        <sz val="9"/>
        <rFont val="Arial"/>
        <family val="2"/>
      </rPr>
      <t xml:space="preserve"> Attach to Form 1040.</t>
    </r>
  </si>
  <si>
    <t>Check here to remove blue &amp; green colors.</t>
  </si>
  <si>
    <t>from all sheets.</t>
  </si>
  <si>
    <r>
      <t xml:space="preserve">      </t>
    </r>
    <r>
      <rPr>
        <b/>
        <sz val="8"/>
        <rFont val="Marlett"/>
        <charset val="2"/>
      </rPr>
      <t>4</t>
    </r>
    <r>
      <rPr>
        <b/>
        <sz val="8"/>
        <rFont val="Arial"/>
        <family val="2"/>
      </rPr>
      <t xml:space="preserve"> Attach to Form 1040A or 1040.</t>
    </r>
  </si>
  <si>
    <t>received a Form 1099-INT, Form 1099-OID, or substitute
statement from a brokerage firm, 
list the firm’s 
name as the 
payer and enter 
the total interest shown on that 
form.</t>
  </si>
  <si>
    <t>Gross receipts or sales. See instructions for line 1 and check the box if this income was reported to you on</t>
  </si>
  <si>
    <t>Form W-2 and the “Statutory employee” box on that form was checked</t>
  </si>
  <si>
    <t>Subtract line 2 from line 1</t>
  </si>
  <si>
    <r>
      <t xml:space="preserve">   </t>
    </r>
    <r>
      <rPr>
        <b/>
        <sz val="11"/>
        <rFont val="Arial"/>
        <family val="2"/>
      </rPr>
      <t>Expenses</t>
    </r>
  </si>
  <si>
    <r>
      <t>(see instructions)</t>
    </r>
    <r>
      <rPr>
        <b/>
        <sz val="10"/>
        <rFont val="Arial"/>
        <family val="2"/>
      </rPr>
      <t xml:space="preserve">  .   .   .   .   .   .   .   .   .   .   .   .</t>
    </r>
  </si>
  <si>
    <t xml:space="preserve">.   .   .   .   . </t>
  </si>
  <si>
    <t xml:space="preserve"> .   .   .   .   .   .   .   .   . </t>
  </si>
  <si>
    <t>Travel</t>
  </si>
  <si>
    <r>
      <t>Cost of goods sold.</t>
    </r>
    <r>
      <rPr>
        <sz val="9"/>
        <rFont val="Arial"/>
        <family val="2"/>
      </rPr>
      <t xml:space="preserve">   Subtract line 41 from line 40.  Enter the result here and on line 4  .   .   .   .   .   .   .   .   .   .   .   .   .   .   .   .   .   .   </t>
    </r>
  </si>
  <si>
    <r>
      <t xml:space="preserve">Enter the </t>
    </r>
    <r>
      <rPr>
        <b/>
        <sz val="10"/>
        <rFont val="Arial"/>
        <family val="2"/>
      </rPr>
      <t>smaller</t>
    </r>
    <r>
      <rPr>
        <sz val="10"/>
        <rFont val="Arial"/>
        <family val="2"/>
      </rPr>
      <t xml:space="preserve"> of: two-thirds(2 ⁄3) of gross farm income</t>
    </r>
    <r>
      <rPr>
        <vertAlign val="superscript"/>
        <sz val="10"/>
        <rFont val="Arial"/>
        <family val="2"/>
      </rPr>
      <t>1</t>
    </r>
    <r>
      <rPr>
        <sz val="10"/>
        <rFont val="Arial"/>
        <family val="2"/>
      </rPr>
      <t xml:space="preserve">(not less than zero) </t>
    </r>
    <r>
      <rPr>
        <b/>
        <sz val="10"/>
        <rFont val="Arial"/>
        <family val="2"/>
      </rPr>
      <t>or</t>
    </r>
  </si>
  <si>
    <r>
      <t xml:space="preserve">    Attachment
    Sequence No. </t>
    </r>
    <r>
      <rPr>
        <b/>
        <sz val="8"/>
        <rFont val="Arial"/>
        <family val="2"/>
      </rPr>
      <t>12</t>
    </r>
  </si>
  <si>
    <r>
      <rPr>
        <b/>
        <sz val="7"/>
        <rFont val="Arial"/>
        <family val="2"/>
      </rPr>
      <t>(g)</t>
    </r>
    <r>
      <rPr>
        <sz val="7"/>
        <rFont val="Arial"/>
        <family val="2"/>
      </rPr>
      <t xml:space="preserve"> Adjustments to
gain or loss from
Form(s) 8949, Part I,
line 2, column (g)</t>
    </r>
  </si>
  <si>
    <r>
      <rPr>
        <b/>
        <sz val="7"/>
        <rFont val="Arial"/>
        <family val="2"/>
      </rPr>
      <t>(d)</t>
    </r>
    <r>
      <rPr>
        <sz val="7"/>
        <rFont val="Arial"/>
        <family val="2"/>
      </rPr>
      <t xml:space="preserve"> Proceeds (sales
price) from Form(s)
8949, Part I, line 2,
column (d)</t>
    </r>
  </si>
  <si>
    <r>
      <rPr>
        <b/>
        <sz val="7"/>
        <rFont val="Arial"/>
        <family val="2"/>
      </rPr>
      <t xml:space="preserve">(h) Gain or (loss) </t>
    </r>
    <r>
      <rPr>
        <sz val="7"/>
        <rFont val="Arial"/>
        <family val="2"/>
      </rPr>
      <t xml:space="preserve">
Subtract column (e) from
column (d) and combine
the result with column (g)</t>
    </r>
  </si>
  <si>
    <t>Short-term gain from Form 6252, and short-term gain or (loss) from Forms 4684, 6781, and 8824</t>
  </si>
  <si>
    <r>
      <rPr>
        <b/>
        <sz val="7"/>
        <rFont val="Arial"/>
        <family val="2"/>
      </rPr>
      <t>(d)</t>
    </r>
    <r>
      <rPr>
        <sz val="7"/>
        <rFont val="Arial"/>
        <family val="2"/>
      </rPr>
      <t xml:space="preserve"> Proceeds (sales
price) from Form(s)
8949, Part II, line 4,
column (d)</t>
    </r>
  </si>
  <si>
    <t>Net long-term gain or (loss) from partnerships, S corporations, estates, and trusts from Schedules(s) K-1</t>
  </si>
  <si>
    <r>
      <t>Yes.</t>
    </r>
    <r>
      <rPr>
        <sz val="10"/>
        <rFont val="Arial"/>
        <family val="2"/>
      </rPr>
      <t xml:space="preserve">Complete the </t>
    </r>
    <r>
      <rPr>
        <b/>
        <sz val="10"/>
        <rFont val="Arial"/>
        <family val="2"/>
      </rPr>
      <t>Qualified Dividends and Capital Gain Tax Worksheet</t>
    </r>
    <r>
      <rPr>
        <sz val="10"/>
        <rFont val="Arial"/>
        <family val="2"/>
      </rPr>
      <t xml:space="preserve"> in the instructions</t>
    </r>
  </si>
  <si>
    <r>
      <t xml:space="preserve">for Form 1040, line 44 (or in the instructions for Form 1040NR, line 42). </t>
    </r>
    <r>
      <rPr>
        <b/>
        <sz val="10"/>
        <rFont val="Arial"/>
        <family val="2"/>
      </rPr>
      <t>Do not</t>
    </r>
    <r>
      <rPr>
        <sz val="10"/>
        <rFont val="Arial"/>
        <family val="2"/>
      </rPr>
      <t xml:space="preserve"> complete lines</t>
    </r>
  </si>
  <si>
    <t>21 and 22 below.</t>
  </si>
  <si>
    <r>
      <t xml:space="preserve">No. </t>
    </r>
    <r>
      <rPr>
        <sz val="10"/>
        <rFont val="Arial"/>
        <family val="2"/>
      </rPr>
      <t xml:space="preserve">Complete the </t>
    </r>
    <r>
      <rPr>
        <b/>
        <sz val="10"/>
        <rFont val="Arial"/>
        <family val="2"/>
      </rPr>
      <t>Schedule D Tax Worksheet</t>
    </r>
    <r>
      <rPr>
        <sz val="10"/>
        <rFont val="Arial"/>
        <family val="2"/>
      </rPr>
      <t xml:space="preserve"> in the instructions. </t>
    </r>
    <r>
      <rPr>
        <b/>
        <sz val="10"/>
        <rFont val="Arial"/>
        <family val="2"/>
      </rPr>
      <t>Do not</t>
    </r>
    <r>
      <rPr>
        <sz val="10"/>
        <rFont val="Arial"/>
        <family val="2"/>
      </rPr>
      <t xml:space="preserve"> complete lines 21</t>
    </r>
  </si>
  <si>
    <t>and 22 below.</t>
  </si>
  <si>
    <r>
      <t>Gain from Form 4797, Part I; long-term gain from Forms 2439 and 6252; and long-term gain or (loss)
from Forms 4684, 6781, and 8824</t>
    </r>
    <r>
      <rPr>
        <b/>
        <sz val="9"/>
        <rFont val="Arial"/>
        <family val="2"/>
      </rPr>
      <t xml:space="preserve">.   .   .   .   .   .   .   .   .   .   .   .   .   .   .   .   .   .   .   .   .   .   .   .   .   .   .   .   .   .   .  </t>
    </r>
  </si>
  <si>
    <r>
      <rPr>
        <sz val="8"/>
        <rFont val="Arial"/>
        <family val="2"/>
      </rPr>
      <t>Attachment
Sequence No.</t>
    </r>
    <r>
      <rPr>
        <sz val="9"/>
        <rFont val="Arial"/>
        <family val="2"/>
      </rPr>
      <t xml:space="preserve"> </t>
    </r>
    <r>
      <rPr>
        <b/>
        <sz val="9"/>
        <rFont val="Arial"/>
        <family val="2"/>
      </rPr>
      <t>12A</t>
    </r>
  </si>
  <si>
    <t>transactions, see page 2.</t>
  </si>
  <si>
    <r>
      <t xml:space="preserve">Short-Term. </t>
    </r>
    <r>
      <rPr>
        <sz val="11"/>
        <rFont val="Arial"/>
        <family val="2"/>
      </rPr>
      <t xml:space="preserve">Transactions involving capital assets you held </t>
    </r>
  </si>
  <si>
    <t>are short term. For long-term</t>
  </si>
  <si>
    <t>transactions, see page 1.</t>
  </si>
  <si>
    <r>
      <t>Long-Term.</t>
    </r>
    <r>
      <rPr>
        <sz val="11"/>
        <rFont val="Arial"/>
        <family val="2"/>
      </rPr>
      <t xml:space="preserve"> Transactions involving capital assets you held </t>
    </r>
  </si>
  <si>
    <t xml:space="preserve"> are long term. For short-term</t>
  </si>
  <si>
    <t>complete a separate Form 8949, page 1, for each applicable box. If you have more short-term transactions than will fit on this page</t>
  </si>
  <si>
    <t>for one or more of the boxes, complete as many forms with the same box checked as you need.</t>
  </si>
  <si>
    <t>If more than one box applies for your short-term transactions,</t>
  </si>
  <si>
    <t xml:space="preserve"> Check only one box. </t>
  </si>
  <si>
    <r>
      <t xml:space="preserve">You </t>
    </r>
    <r>
      <rPr>
        <b/>
        <i/>
        <sz val="9"/>
        <rFont val="Arial"/>
        <family val="2"/>
      </rPr>
      <t>must</t>
    </r>
    <r>
      <rPr>
        <b/>
        <sz val="9"/>
        <rFont val="Arial"/>
        <family val="2"/>
      </rPr>
      <t xml:space="preserve"> check </t>
    </r>
    <r>
      <rPr>
        <b/>
        <sz val="10"/>
        <rFont val="Arial"/>
        <family val="2"/>
      </rPr>
      <t xml:space="preserve">Box A, B, </t>
    </r>
    <r>
      <rPr>
        <b/>
        <i/>
        <sz val="10"/>
        <rFont val="Arial"/>
        <family val="2"/>
      </rPr>
      <t>or</t>
    </r>
    <r>
      <rPr>
        <b/>
        <sz val="10"/>
        <rFont val="Arial"/>
        <family val="2"/>
      </rPr>
      <t xml:space="preserve"> C</t>
    </r>
    <r>
      <rPr>
        <b/>
        <sz val="9"/>
        <rFont val="Arial"/>
        <family val="2"/>
      </rPr>
      <t xml:space="preserve"> below. </t>
    </r>
  </si>
  <si>
    <r>
      <t xml:space="preserve"> </t>
    </r>
    <r>
      <rPr>
        <b/>
        <sz val="9"/>
        <rFont val="Arial"/>
        <family val="2"/>
      </rPr>
      <t xml:space="preserve">(C) </t>
    </r>
    <r>
      <rPr>
        <sz val="9"/>
        <rFont val="Arial"/>
        <family val="2"/>
      </rPr>
      <t>Short-term transactions not reported to you on Form 1099-B</t>
    </r>
  </si>
  <si>
    <t>If more than one box applies for your long-term transactions, complete</t>
  </si>
  <si>
    <t>a separate Form 8949, page 2, for each applicable box. If you have more long-term transactions than will fit on this page for one or</t>
  </si>
  <si>
    <t>more of the boxes, complete as many forms with the same box checked as you need.</t>
  </si>
  <si>
    <r>
      <rPr>
        <b/>
        <sz val="9"/>
        <rFont val="Arial"/>
        <family val="2"/>
      </rPr>
      <t>Totals.</t>
    </r>
    <r>
      <rPr>
        <sz val="9"/>
        <rFont val="Arial"/>
        <family val="2"/>
      </rPr>
      <t xml:space="preserve"> Add the amounts in columns (d),(e),(g), and (h) (subtract 
negative amounts). Enter each total here and include on your 
Schedule D, </t>
    </r>
    <r>
      <rPr>
        <b/>
        <sz val="9"/>
        <rFont val="Arial"/>
        <family val="2"/>
      </rPr>
      <t>line 1</t>
    </r>
    <r>
      <rPr>
        <sz val="9"/>
        <rFont val="Arial"/>
        <family val="2"/>
      </rPr>
      <t xml:space="preserve"> (if </t>
    </r>
    <r>
      <rPr>
        <b/>
        <sz val="9"/>
        <rFont val="Arial"/>
        <family val="2"/>
      </rPr>
      <t>Box A</t>
    </r>
    <r>
      <rPr>
        <sz val="9"/>
        <rFont val="Arial"/>
        <family val="2"/>
      </rPr>
      <t xml:space="preserve"> above is checked), </t>
    </r>
    <r>
      <rPr>
        <b/>
        <sz val="9"/>
        <rFont val="Arial"/>
        <family val="2"/>
      </rPr>
      <t>line 2</t>
    </r>
    <r>
      <rPr>
        <sz val="9"/>
        <rFont val="Arial"/>
        <family val="2"/>
      </rPr>
      <t xml:space="preserve"> (if </t>
    </r>
    <r>
      <rPr>
        <b/>
        <sz val="9"/>
        <rFont val="Arial"/>
        <family val="2"/>
      </rPr>
      <t>Box B</t>
    </r>
    <r>
      <rPr>
        <sz val="9"/>
        <rFont val="Arial"/>
        <family val="2"/>
      </rPr>
      <t xml:space="preserve"> 
above is checked), or </t>
    </r>
    <r>
      <rPr>
        <b/>
        <sz val="9"/>
        <rFont val="Arial"/>
        <family val="2"/>
      </rPr>
      <t>line 3</t>
    </r>
    <r>
      <rPr>
        <sz val="9"/>
        <rFont val="Arial"/>
        <family val="2"/>
      </rPr>
      <t xml:space="preserve"> (if </t>
    </r>
    <r>
      <rPr>
        <b/>
        <sz val="9"/>
        <rFont val="Arial"/>
        <family val="2"/>
      </rPr>
      <t>Box C</t>
    </r>
    <r>
      <rPr>
        <sz val="9"/>
        <rFont val="Arial"/>
        <family val="2"/>
      </rPr>
      <t xml:space="preserve"> above is checked) .</t>
    </r>
  </si>
  <si>
    <t>(b)
Date acquired
(Mo., day, yr.)</t>
  </si>
  <si>
    <r>
      <rPr>
        <b/>
        <sz val="8"/>
        <rFont val="Arial"/>
        <family val="2"/>
      </rPr>
      <t>(c)</t>
    </r>
    <r>
      <rPr>
        <sz val="8"/>
        <rFont val="Arial"/>
        <family val="2"/>
      </rPr>
      <t xml:space="preserve">
Date sold
(Mo., day, yr.)</t>
    </r>
  </si>
  <si>
    <r>
      <rPr>
        <b/>
        <sz val="8"/>
        <rFont val="Arial"/>
        <family val="2"/>
      </rPr>
      <t>(d)</t>
    </r>
    <r>
      <rPr>
        <sz val="8"/>
        <rFont val="Arial"/>
        <family val="2"/>
      </rPr>
      <t xml:space="preserve">
Proceeds 
(sales price) 
(see instructions)</t>
    </r>
  </si>
  <si>
    <r>
      <rPr>
        <b/>
        <sz val="6"/>
        <rFont val="Arial"/>
        <family val="2"/>
      </rPr>
      <t>Adjustment, if any, to gain or loss.</t>
    </r>
    <r>
      <rPr>
        <sz val="6"/>
        <rFont val="Arial"/>
        <family val="2"/>
      </rPr>
      <t xml:space="preserve"> 
If you enter an amount in column (g), 
enter a code in column (f). 
</t>
    </r>
    <r>
      <rPr>
        <b/>
        <sz val="6"/>
        <rFont val="Arial"/>
        <family val="2"/>
      </rPr>
      <t>See the separate instructions.</t>
    </r>
  </si>
  <si>
    <r>
      <rPr>
        <b/>
        <sz val="7"/>
        <rFont val="Arial"/>
        <family val="2"/>
      </rPr>
      <t xml:space="preserve">(f) </t>
    </r>
    <r>
      <rPr>
        <sz val="7"/>
        <rFont val="Arial"/>
        <family val="2"/>
      </rPr>
      <t xml:space="preserve">
Code(s) from 
instructions</t>
    </r>
  </si>
  <si>
    <r>
      <rPr>
        <b/>
        <sz val="8"/>
        <rFont val="Arial"/>
        <family val="2"/>
      </rPr>
      <t xml:space="preserve">(g) </t>
    </r>
    <r>
      <rPr>
        <sz val="8"/>
        <rFont val="Arial"/>
        <family val="2"/>
      </rPr>
      <t xml:space="preserve">
Amount of 
adjustment</t>
    </r>
  </si>
  <si>
    <r>
      <rPr>
        <b/>
        <sz val="7"/>
        <rFont val="Arial"/>
        <family val="2"/>
      </rPr>
      <t xml:space="preserve">(h) </t>
    </r>
    <r>
      <rPr>
        <sz val="7"/>
        <rFont val="Arial"/>
        <family val="2"/>
      </rPr>
      <t xml:space="preserve">
</t>
    </r>
    <r>
      <rPr>
        <b/>
        <sz val="7"/>
        <rFont val="Arial"/>
        <family val="2"/>
      </rPr>
      <t xml:space="preserve">Gain or (loss). </t>
    </r>
    <r>
      <rPr>
        <sz val="7"/>
        <rFont val="Arial"/>
        <family val="2"/>
      </rPr>
      <t xml:space="preserve">
Subtract column (e) 
from column (d) and 
combine the result 
with column (g)</t>
    </r>
  </si>
  <si>
    <r>
      <rPr>
        <b/>
        <sz val="7"/>
        <rFont val="Arial"/>
        <family val="2"/>
      </rPr>
      <t>(e)</t>
    </r>
    <r>
      <rPr>
        <sz val="7"/>
        <rFont val="Arial"/>
        <family val="2"/>
      </rPr>
      <t xml:space="preserve">
Cost or other basis. 
See the </t>
    </r>
    <r>
      <rPr>
        <b/>
        <sz val="7"/>
        <rFont val="Arial"/>
        <family val="2"/>
      </rPr>
      <t>Note</t>
    </r>
    <r>
      <rPr>
        <sz val="7"/>
        <rFont val="Arial"/>
        <family val="2"/>
      </rPr>
      <t xml:space="preserve"> below 
and see </t>
    </r>
    <r>
      <rPr>
        <i/>
        <sz val="7"/>
        <rFont val="Arial"/>
        <family val="2"/>
      </rPr>
      <t xml:space="preserve">Column (e) </t>
    </r>
    <r>
      <rPr>
        <sz val="7"/>
        <rFont val="Arial"/>
        <family val="2"/>
      </rPr>
      <t xml:space="preserve">
in the separate 
instructions</t>
    </r>
  </si>
  <si>
    <r>
      <rPr>
        <b/>
        <sz val="9"/>
        <rFont val="Arial"/>
        <family val="2"/>
      </rPr>
      <t>Note.</t>
    </r>
    <r>
      <rPr>
        <sz val="9"/>
        <rFont val="Arial"/>
        <family val="2"/>
      </rPr>
      <t xml:space="preserve"> If you checked Box A above but the basis reported to the IRS was incorrect, enter in column (e) the basis as reported to the IRS, and enter an 
adjustment in column (g) to correct the basis. See </t>
    </r>
    <r>
      <rPr>
        <i/>
        <sz val="9"/>
        <rFont val="Arial"/>
        <family val="2"/>
      </rPr>
      <t>Column (g)</t>
    </r>
    <r>
      <rPr>
        <sz val="9"/>
        <rFont val="Arial"/>
        <family val="2"/>
      </rPr>
      <t xml:space="preserve"> in the separate instructions for how to figure the amount of the adjustment.</t>
    </r>
  </si>
  <si>
    <t>Social security number or taxpayer identification number</t>
  </si>
  <si>
    <t>(b)
Date acquired 
(Mo., day, yr.)</t>
  </si>
  <si>
    <t>(c)
Date sold or disposed
(Mo., day, yr.)</t>
  </si>
  <si>
    <t>(d)
Proceeds (sales price)
(see instructions)</t>
  </si>
  <si>
    <r>
      <rPr>
        <b/>
        <sz val="7"/>
        <rFont val="Arial"/>
        <family val="2"/>
      </rPr>
      <t>(e)</t>
    </r>
    <r>
      <rPr>
        <sz val="7"/>
        <rFont val="Arial"/>
        <family val="2"/>
      </rPr>
      <t xml:space="preserve">
Cost or other basis.
See the </t>
    </r>
    <r>
      <rPr>
        <b/>
        <sz val="7"/>
        <rFont val="Arial"/>
        <family val="2"/>
      </rPr>
      <t>Note</t>
    </r>
    <r>
      <rPr>
        <sz val="7"/>
        <rFont val="Arial"/>
        <family val="2"/>
      </rPr>
      <t xml:space="preserve"> below 
and see Column (e)
in the separate instructions</t>
    </r>
  </si>
  <si>
    <t>(f) 
Code(s) from 
instructions</t>
  </si>
  <si>
    <r>
      <rPr>
        <b/>
        <sz val="8"/>
        <rFont val="Arial"/>
        <family val="2"/>
      </rPr>
      <t xml:space="preserve">(h) </t>
    </r>
    <r>
      <rPr>
        <sz val="8"/>
        <rFont val="Arial"/>
        <family val="2"/>
      </rPr>
      <t xml:space="preserve">
</t>
    </r>
    <r>
      <rPr>
        <b/>
        <sz val="8"/>
        <rFont val="Arial"/>
        <family val="2"/>
      </rPr>
      <t xml:space="preserve">Gain or (loss). </t>
    </r>
    <r>
      <rPr>
        <sz val="8"/>
        <rFont val="Arial"/>
        <family val="2"/>
      </rPr>
      <t xml:space="preserve">
Subtract column (e) 
from column (d) and 
combine the result 
with column (g)</t>
    </r>
  </si>
  <si>
    <r>
      <t xml:space="preserve">Educator expenses </t>
    </r>
    <r>
      <rPr>
        <b/>
        <sz val="9"/>
        <rFont val="Arial"/>
        <family val="2"/>
      </rPr>
      <t xml:space="preserve"> .   .   .   .   .   .   .   .   .   .   .   .   .   .   .   .   .   .   .   .   .   .   .   .   .   .   .   .   .   .   .   .   .   .   .   .   .   .   .   .   .</t>
    </r>
  </si>
  <si>
    <t>Tuition and fees. Attach Form 8917</t>
  </si>
  <si>
    <t xml:space="preserve">   .   .   .   .   .   .   .   .   .   .   .   .   .   . </t>
  </si>
  <si>
    <r>
      <t>Itemized deductions</t>
    </r>
    <r>
      <rPr>
        <sz val="9"/>
        <rFont val="Arial"/>
        <family val="2"/>
      </rPr>
      <t xml:space="preserve"> (from Schedule A) </t>
    </r>
    <r>
      <rPr>
        <b/>
        <sz val="9"/>
        <rFont val="Arial"/>
        <family val="2"/>
      </rPr>
      <t>or</t>
    </r>
    <r>
      <rPr>
        <sz val="9"/>
        <rFont val="Arial"/>
        <family val="2"/>
      </rPr>
      <t xml:space="preserve"> your </t>
    </r>
    <r>
      <rPr>
        <b/>
        <sz val="9"/>
        <rFont val="Arial"/>
        <family val="2"/>
      </rPr>
      <t>standard deduction</t>
    </r>
    <r>
      <rPr>
        <sz val="9"/>
        <rFont val="Arial"/>
        <family val="2"/>
      </rPr>
      <t xml:space="preserve"> (see left margin)</t>
    </r>
  </si>
  <si>
    <r>
      <t xml:space="preserve">Alternative minimum tax </t>
    </r>
    <r>
      <rPr>
        <sz val="9"/>
        <rFont val="Arial"/>
        <family val="2"/>
      </rPr>
      <t>(see instructions).  Attach Form 6251</t>
    </r>
  </si>
  <si>
    <t>Education credits from Form 8863, line 19</t>
  </si>
  <si>
    <t>Child tax credit. Attach Schedule 8812, if required</t>
  </si>
  <si>
    <t xml:space="preserve">.   .   .   .   .   .   .   .   .   .  </t>
  </si>
  <si>
    <t>American opportunity credit from Form 8863, line 8</t>
  </si>
  <si>
    <t>General sales taxes</t>
  </si>
  <si>
    <t xml:space="preserve">.   .   .   .   .   .   .   .   .   .   .   .   .   </t>
  </si>
  <si>
    <r>
      <t>Mortgage insurance premiums (see instructions)</t>
    </r>
    <r>
      <rPr>
        <b/>
        <sz val="9"/>
        <rFont val="Arial"/>
        <family val="2"/>
      </rPr>
      <t xml:space="preserve">   .   .   .   .   .   .   .   .   .   .   .   .   .   .   .   .   .   .   .   .   .   .   .   .   .   .   .   .   .   .   .   .   .</t>
    </r>
  </si>
  <si>
    <r>
      <t>4</t>
    </r>
    <r>
      <rPr>
        <b/>
        <sz val="9"/>
        <rFont val="Arial"/>
        <family val="2"/>
      </rPr>
      <t xml:space="preserve"> Information about Form 6251 and its separate instructions is at </t>
    </r>
    <r>
      <rPr>
        <b/>
        <i/>
        <sz val="9"/>
        <rFont val="Arial"/>
        <family val="2"/>
      </rPr>
      <t>www.irs.gov/form6251.</t>
    </r>
  </si>
  <si>
    <t>If filing Schedule A (Form 1040), enter the amount from Form 1040, line 41, and go to line 2. Otherwise,</t>
  </si>
  <si>
    <t>enter the amount from Form 1040, line 38, and go to line 7. (If less than zero, enter as a negative amount.)</t>
  </si>
  <si>
    <t>Exemption Worksheet—
Line 29</t>
  </si>
  <si>
    <t xml:space="preserve">     Keep for Your Records                </t>
  </si>
  <si>
    <t xml:space="preserve">  line 28, on line 30 and go to line 31.</t>
  </si>
  <si>
    <t xml:space="preserve">  .   .   .   .   .   .   .   .   .   .   .   .   .   .   .   .   .   .   .   .   .   . </t>
  </si>
  <si>
    <t>go to Form 6251, line 30 .   .   .   .   .   .   .   .   .   .   .   .   .   .   .   .   .   .   .   .   .   .   .   .   .   .   .   .   .   .   .   .   .   .   .   .   .   .</t>
  </si>
  <si>
    <r>
      <t xml:space="preserve">Enter the </t>
    </r>
    <r>
      <rPr>
        <b/>
        <sz val="9"/>
        <rFont val="Arial"/>
        <family val="2"/>
      </rPr>
      <t>smaller</t>
    </r>
    <r>
      <rPr>
        <sz val="9"/>
        <rFont val="Arial"/>
        <family val="2"/>
      </rPr>
      <t xml:space="preserve"> of line 6 or line 9 here and on Form 6251, line 29,</t>
    </r>
  </si>
  <si>
    <t xml:space="preserve">did not have earned income that was more than half of your support.  </t>
  </si>
  <si>
    <t xml:space="preserve">You were a full-time student over age 18 and   </t>
  </si>
  <si>
    <t xml:space="preserve">None of the above apply.   </t>
  </si>
  <si>
    <t>Check all that apply to Form 6251 being completed for child under 24.</t>
  </si>
  <si>
    <r>
      <t xml:space="preserve">  exemption is zero. </t>
    </r>
    <r>
      <rPr>
        <b/>
        <i/>
        <sz val="9"/>
        <rFont val="Arial"/>
        <family val="2"/>
      </rPr>
      <t>Do not</t>
    </r>
    <r>
      <rPr>
        <i/>
        <sz val="9"/>
        <rFont val="Arial"/>
        <family val="2"/>
      </rPr>
      <t xml:space="preserve"> complete this worksheet; instead, enter the amount from Form 6251,</t>
    </r>
  </si>
  <si>
    <r>
      <t xml:space="preserve">     on Form 1040, line 9b; </t>
    </r>
    <r>
      <rPr>
        <b/>
        <sz val="9"/>
        <rFont val="Arial"/>
        <family val="2"/>
      </rPr>
      <t>or</t>
    </r>
    <r>
      <rPr>
        <sz val="9"/>
        <rFont val="Arial"/>
        <family val="2"/>
      </rPr>
      <t xml:space="preserve"> you had a gain on both lines 15 and 16 of Schedule D (Form 1040) (as refigured</t>
    </r>
  </si>
  <si>
    <r>
      <t xml:space="preserve"> </t>
    </r>
    <r>
      <rPr>
        <sz val="8"/>
        <rFont val="Wingdings"/>
        <charset val="2"/>
      </rPr>
      <t>l</t>
    </r>
    <r>
      <rPr>
        <sz val="8"/>
        <rFont val="Arial"/>
        <family val="2"/>
      </rPr>
      <t xml:space="preserve">  </t>
    </r>
    <r>
      <rPr>
        <sz val="9"/>
        <rFont val="Arial"/>
        <family val="2"/>
      </rPr>
      <t>If you reported capital gain distributions directly on Form 1040, line 13; you reported qualified dividends</t>
    </r>
  </si>
  <si>
    <t>Alternative minimum tax foreign tax credit (see instructions)</t>
  </si>
  <si>
    <t>2555-EZ, see instructions for the amount to enter</t>
  </si>
  <si>
    <t>Type of Property
(from list below)</t>
  </si>
  <si>
    <t>Physical address of each property (street, city, state, ZIP code)</t>
  </si>
  <si>
    <t>Fair Rental Days</t>
  </si>
  <si>
    <r>
      <t xml:space="preserve">For each rental real estate property listed 
above, report the number of fair rental and 
personal use days. Check the </t>
    </r>
    <r>
      <rPr>
        <b/>
        <sz val="9"/>
        <rFont val="Arial"/>
        <family val="2"/>
      </rPr>
      <t>QJV</t>
    </r>
    <r>
      <rPr>
        <sz val="9"/>
        <rFont val="Arial"/>
        <family val="2"/>
      </rPr>
      <t xml:space="preserve"> box 
only if you meet the requirements to file as 
a qualified joint venture. See instructions.</t>
    </r>
  </si>
  <si>
    <t xml:space="preserve">Properties:       </t>
  </si>
  <si>
    <t xml:space="preserve">  Income:</t>
  </si>
  <si>
    <t>Rents received</t>
  </si>
  <si>
    <t>Royalties Received</t>
  </si>
  <si>
    <t>Total of all amounts reported on line 3 for all rental properties</t>
  </si>
  <si>
    <r>
      <t>(j)</t>
    </r>
    <r>
      <rPr>
        <sz val="8"/>
        <rFont val="Arial"/>
        <family val="2"/>
      </rPr>
      <t xml:space="preserve"> Nonpassive income from </t>
    </r>
    <r>
      <rPr>
        <b/>
        <sz val="8"/>
        <rFont val="Arial"/>
        <family val="2"/>
      </rPr>
      <t>Schedule K-1</t>
    </r>
  </si>
  <si>
    <r>
      <t xml:space="preserve">  </t>
    </r>
    <r>
      <rPr>
        <b/>
        <sz val="8"/>
        <rFont val="Arial"/>
        <family val="2"/>
      </rPr>
      <t>(h)</t>
    </r>
    <r>
      <rPr>
        <sz val="8"/>
        <rFont val="Arial"/>
        <family val="2"/>
      </rPr>
      <t xml:space="preserve"> Nonpassive loss from </t>
    </r>
    <r>
      <rPr>
        <b/>
        <sz val="8"/>
        <rFont val="Arial"/>
        <family val="2"/>
      </rPr>
      <t>Schedule K-1</t>
    </r>
  </si>
  <si>
    <r>
      <t>(b)</t>
    </r>
    <r>
      <rPr>
        <sz val="8"/>
        <rFont val="Arial"/>
        <family val="2"/>
      </rPr>
      <t xml:space="preserve"> Employer
identification number</t>
    </r>
  </si>
  <si>
    <r>
      <t xml:space="preserve">   (e)</t>
    </r>
    <r>
      <rPr>
        <sz val="7"/>
        <rFont val="Arial"/>
        <family val="2"/>
      </rPr>
      <t xml:space="preserve"> Income from
</t>
    </r>
    <r>
      <rPr>
        <b/>
        <sz val="7"/>
        <rFont val="Arial"/>
        <family val="2"/>
      </rPr>
      <t>Schedules Q</t>
    </r>
    <r>
      <rPr>
        <sz val="7"/>
        <rFont val="Arial"/>
        <family val="2"/>
      </rPr>
      <t>, line 3b</t>
    </r>
  </si>
  <si>
    <r>
      <t xml:space="preserve">  </t>
    </r>
    <r>
      <rPr>
        <b/>
        <sz val="11"/>
        <rFont val="Arial"/>
        <family val="2"/>
      </rPr>
      <t>Income or Loss From Partnerships and S Corporations</t>
    </r>
    <r>
      <rPr>
        <sz val="10"/>
        <rFont val="Arial"/>
        <family val="2"/>
      </rPr>
      <t xml:space="preserve">  </t>
    </r>
    <r>
      <rPr>
        <b/>
        <sz val="9"/>
        <rFont val="Arial"/>
        <family val="2"/>
      </rPr>
      <t xml:space="preserve">Note: </t>
    </r>
    <r>
      <rPr>
        <sz val="9"/>
        <rFont val="Arial"/>
        <family val="2"/>
      </rPr>
      <t>If you report a loss from an at-risk activity for</t>
    </r>
  </si>
  <si>
    <r>
      <t xml:space="preserve">  which </t>
    </r>
    <r>
      <rPr>
        <b/>
        <sz val="9"/>
        <rFont val="Arial"/>
        <family val="2"/>
      </rPr>
      <t>any</t>
    </r>
    <r>
      <rPr>
        <sz val="9"/>
        <rFont val="Arial"/>
        <family val="2"/>
      </rPr>
      <t xml:space="preserve"> amount is </t>
    </r>
    <r>
      <rPr>
        <b/>
        <sz val="9"/>
        <rFont val="Arial"/>
        <family val="2"/>
      </rPr>
      <t>not</t>
    </r>
    <r>
      <rPr>
        <sz val="9"/>
        <rFont val="Arial"/>
        <family val="2"/>
      </rPr>
      <t xml:space="preserve"> at risk, you </t>
    </r>
    <r>
      <rPr>
        <b/>
        <sz val="9"/>
        <rFont val="Arial"/>
        <family val="2"/>
      </rPr>
      <t>must</t>
    </r>
    <r>
      <rPr>
        <sz val="9"/>
        <rFont val="Arial"/>
        <family val="2"/>
      </rPr>
      <t xml:space="preserve"> check column </t>
    </r>
    <r>
      <rPr>
        <b/>
        <sz val="9"/>
        <rFont val="Arial"/>
        <family val="2"/>
      </rPr>
      <t>(e)</t>
    </r>
    <r>
      <rPr>
        <sz val="9"/>
        <rFont val="Arial"/>
        <family val="2"/>
      </rPr>
      <t xml:space="preserve"> on line 28 and attach </t>
    </r>
    <r>
      <rPr>
        <b/>
        <sz val="9"/>
        <rFont val="Arial"/>
        <family val="2"/>
      </rPr>
      <t>Form 6198</t>
    </r>
    <r>
      <rPr>
        <sz val="9"/>
        <rFont val="Arial"/>
        <family val="2"/>
      </rPr>
      <t>. See instructions.</t>
    </r>
  </si>
  <si>
    <r>
      <t>(c)</t>
    </r>
    <r>
      <rPr>
        <sz val="8"/>
        <rFont val="Arial"/>
        <family val="2"/>
      </rPr>
      <t xml:space="preserve"> Check if foreign partnership</t>
    </r>
  </si>
  <si>
    <r>
      <t>(d)</t>
    </r>
    <r>
      <rPr>
        <sz val="8"/>
        <rFont val="Arial"/>
        <family val="2"/>
      </rPr>
      <t xml:space="preserve"> Passive income 
</t>
    </r>
    <r>
      <rPr>
        <b/>
        <sz val="8"/>
        <rFont val="Arial"/>
        <family val="2"/>
      </rPr>
      <t>from Schedule K-1</t>
    </r>
  </si>
  <si>
    <r>
      <t xml:space="preserve">   (f)</t>
    </r>
    <r>
      <rPr>
        <sz val="8"/>
        <rFont val="Arial"/>
        <family val="2"/>
      </rPr>
      <t xml:space="preserve"> Other income from
  </t>
    </r>
    <r>
      <rPr>
        <b/>
        <sz val="8"/>
        <rFont val="Arial"/>
        <family val="2"/>
      </rPr>
      <t>Schedule K-1</t>
    </r>
  </si>
  <si>
    <r>
      <t xml:space="preserve"> </t>
    </r>
    <r>
      <rPr>
        <b/>
        <sz val="8"/>
        <rFont val="Arial"/>
        <family val="2"/>
      </rPr>
      <t>(c)</t>
    </r>
    <r>
      <rPr>
        <sz val="8"/>
        <rFont val="Arial"/>
        <family val="2"/>
      </rPr>
      <t xml:space="preserve"> Passive deduction or loss allowed
(attach </t>
    </r>
    <r>
      <rPr>
        <b/>
        <sz val="8"/>
        <rFont val="Arial"/>
        <family val="2"/>
      </rPr>
      <t>Form 8582</t>
    </r>
    <r>
      <rPr>
        <sz val="8"/>
        <rFont val="Arial"/>
        <family val="2"/>
      </rPr>
      <t xml:space="preserve"> if required)</t>
    </r>
  </si>
  <si>
    <r>
      <t>(c)</t>
    </r>
    <r>
      <rPr>
        <sz val="7"/>
        <rFont val="Arial"/>
        <family val="2"/>
      </rPr>
      <t xml:space="preserve"> Excess inclusion from
</t>
    </r>
    <r>
      <rPr>
        <b/>
        <sz val="7"/>
        <rFont val="Arial"/>
        <family val="2"/>
      </rPr>
      <t>Schedules Q</t>
    </r>
    <r>
      <rPr>
        <sz val="7"/>
        <rFont val="Arial"/>
        <family val="2"/>
      </rPr>
      <t>, line 2c 
(see instructions)</t>
    </r>
  </si>
  <si>
    <r>
      <t xml:space="preserve">   </t>
    </r>
    <r>
      <rPr>
        <b/>
        <sz val="8"/>
        <rFont val="Arial"/>
        <family val="2"/>
      </rPr>
      <t>Total income or (loss).</t>
    </r>
    <r>
      <rPr>
        <sz val="8"/>
        <rFont val="Arial"/>
        <family val="2"/>
      </rPr>
      <t xml:space="preserve"> </t>
    </r>
    <r>
      <rPr>
        <sz val="7"/>
        <rFont val="Arial"/>
        <family val="2"/>
      </rPr>
      <t xml:space="preserve">Combine lines 26, 32, 37, 39, and 40. Enter the result here and on Form 1040, line 17, or Form 1040NR, line 18 </t>
    </r>
    <r>
      <rPr>
        <sz val="7"/>
        <rFont val="Marlett"/>
        <charset val="2"/>
      </rPr>
      <t>4</t>
    </r>
  </si>
  <si>
    <t>farming and fishing income reported on Form 4835, line 7; Schedule K-1</t>
  </si>
  <si>
    <t>(Form 1065), box 14, code B; Schedule K-1 (Form 1120S), box 17, code</t>
  </si>
  <si>
    <r>
      <t>Reconciliation of farming and fishing income.</t>
    </r>
    <r>
      <rPr>
        <sz val="10"/>
        <rFont val="Arial"/>
        <family val="2"/>
      </rPr>
      <t xml:space="preserve">  Enter your </t>
    </r>
    <r>
      <rPr>
        <b/>
        <sz val="10"/>
        <rFont val="Arial"/>
        <family val="2"/>
      </rPr>
      <t xml:space="preserve">gross </t>
    </r>
  </si>
  <si>
    <r>
      <t>(g)</t>
    </r>
    <r>
      <rPr>
        <sz val="8"/>
        <rFont val="Arial"/>
        <family val="2"/>
      </rPr>
      <t xml:space="preserve"> Passive income
from </t>
    </r>
    <r>
      <rPr>
        <b/>
        <sz val="8"/>
        <rFont val="Arial"/>
        <family val="2"/>
      </rPr>
      <t xml:space="preserve">Schedule K-1 </t>
    </r>
  </si>
  <si>
    <r>
      <t>(f)</t>
    </r>
    <r>
      <rPr>
        <sz val="8"/>
        <rFont val="Arial"/>
        <family val="2"/>
      </rPr>
      <t xml:space="preserve"> Passive loss allowed
(attach </t>
    </r>
    <r>
      <rPr>
        <b/>
        <sz val="8"/>
        <rFont val="Arial"/>
        <family val="2"/>
      </rPr>
      <t>Form 8582</t>
    </r>
    <r>
      <rPr>
        <sz val="8"/>
        <rFont val="Arial"/>
        <family val="2"/>
      </rPr>
      <t xml:space="preserve"> if required)</t>
    </r>
  </si>
  <si>
    <t>line 2 on line 6, and go to line 7.</t>
  </si>
  <si>
    <t>Add lines 3 and 4</t>
  </si>
  <si>
    <t>Subtract line 5 from line 2</t>
  </si>
  <si>
    <r>
      <t xml:space="preserve">Be sure you have read the </t>
    </r>
    <r>
      <rPr>
        <b/>
        <sz val="10"/>
        <rFont val="Arial"/>
        <family val="2"/>
      </rPr>
      <t>Exception</t>
    </r>
    <r>
      <rPr>
        <sz val="10"/>
        <rFont val="Arial"/>
        <family val="2"/>
      </rPr>
      <t xml:space="preserve"> in the line 20a and 20b instructions to see if you can</t>
    </r>
  </si>
  <si>
    <t xml:space="preserve">Alimony and separate maintenance payments </t>
  </si>
  <si>
    <t>reported on Form 1040, line 11</t>
  </si>
  <si>
    <t xml:space="preserve">  .   .   .   .   .   .   .   .   .   .   .   .   .   .   .   .   .   .   .   .</t>
  </si>
  <si>
    <t>Standard Deduction Chart for People Who Were</t>
  </si>
  <si>
    <t>See the earlier instructions for line 44 to see if you can use this worksheet to figure your tax.</t>
  </si>
  <si>
    <t>Before completing this worksheet, complete Form 1040 through line 43.</t>
  </si>
  <si>
    <t xml:space="preserve"> .    .    .    .    .    .    .    .    .    .    .    .    .    .    .    .    .    .    .    .    .    .    .    .    .    .  </t>
  </si>
  <si>
    <t xml:space="preserve">   .    .    .    .    .    .    .    .    .    .    .    .    .    .    .    .    .    . </t>
  </si>
  <si>
    <t xml:space="preserve">  .    .    .    .    .    .    .    .    .    .    .    .    .    .    .    . </t>
  </si>
  <si>
    <t xml:space="preserve"> .    .    .    .    .    .    .    .    .    . </t>
  </si>
  <si>
    <t>↑  General Sales Tax</t>
  </si>
  <si>
    <t>Form 1040A, line 22; or Form 1040NR, line 37.</t>
  </si>
  <si>
    <r>
      <rPr>
        <b/>
        <sz val="10"/>
        <rFont val="Arial"/>
        <family val="2"/>
      </rPr>
      <t>Form 8936</t>
    </r>
    <r>
      <rPr>
        <sz val="10"/>
        <rFont val="Arial"/>
        <family val="2"/>
      </rPr>
      <t>, line 23</t>
    </r>
  </si>
  <si>
    <t>Adoption credit, Form 8839.</t>
  </si>
  <si>
    <t>figure any additional child tax credit.</t>
  </si>
  <si>
    <t>Complete the Earned Income Worksheet, later, that applies to you.</t>
  </si>
  <si>
    <r>
      <t>Line 11 Worksheet—</t>
    </r>
    <r>
      <rPr>
        <i/>
        <sz val="12"/>
        <rFont val="Arial"/>
        <family val="2"/>
      </rPr>
      <t>Continued</t>
    </r>
  </si>
  <si>
    <t>Form 8396, line 9, and</t>
  </si>
  <si>
    <t>Enter the amount from line 10 of the Child Tax Credit Worksheet.</t>
  </si>
  <si>
    <r>
      <t>Note.</t>
    </r>
    <r>
      <rPr>
        <sz val="10"/>
        <rFont val="Arial"/>
        <family val="2"/>
      </rPr>
      <t xml:space="preserve">  Use this flowchart </t>
    </r>
    <r>
      <rPr>
        <b/>
        <sz val="10"/>
        <rFont val="Arial"/>
        <family val="2"/>
      </rPr>
      <t>only if</t>
    </r>
    <r>
      <rPr>
        <sz val="10"/>
        <rFont val="Arial"/>
        <family val="2"/>
      </rPr>
      <t xml:space="preserve"> you must file Schedule SE. If unsure, see </t>
    </r>
    <r>
      <rPr>
        <i/>
        <sz val="10"/>
        <rFont val="Arial"/>
        <family val="2"/>
      </rPr>
      <t>Who Must File Schedule SE</t>
    </r>
    <r>
      <rPr>
        <sz val="10"/>
        <rFont val="Arial"/>
        <family val="2"/>
      </rPr>
      <t>, in the instructions.</t>
    </r>
  </si>
  <si>
    <t>(h) 
Gain or (loss). 
Subtract column (e) 
from column (d) and 
combine the result 
with column (g)</t>
  </si>
  <si>
    <t>F8949A</t>
  </si>
  <si>
    <t>F8949B</t>
  </si>
  <si>
    <t>F8949C</t>
  </si>
  <si>
    <t>(d)</t>
  </si>
  <si>
    <t>(e)</t>
  </si>
  <si>
    <t>(g)</t>
  </si>
  <si>
    <t>(h)</t>
  </si>
  <si>
    <t>(Applicability)</t>
  </si>
  <si>
    <t>D - 13</t>
  </si>
  <si>
    <t>Form 1040</t>
  </si>
  <si>
    <t>for Form 1040, line 44 (or in the instructions for Form 1040NR, line 42).</t>
  </si>
  <si>
    <t>for the person with self-employment income listed above.</t>
  </si>
  <si>
    <t>This Schedule SE is being completed for:</t>
  </si>
  <si>
    <t xml:space="preserve">  Yourself</t>
  </si>
  <si>
    <t xml:space="preserve">  Your spouse</t>
  </si>
  <si>
    <r>
      <t>When did you place your vehicle in service for business purposes?   (month,day,year)</t>
    </r>
    <r>
      <rPr>
        <sz val="10"/>
        <rFont val="Arial"/>
        <family val="2"/>
      </rPr>
      <t/>
    </r>
  </si>
  <si>
    <t>Before This Month (Last Year)</t>
  </si>
  <si>
    <t>Before This Day and Month (Last Year)</t>
  </si>
  <si>
    <t>Schedule D</t>
  </si>
  <si>
    <t>Line 18 &gt; 0</t>
  </si>
  <si>
    <t>Line 19 &gt; 0</t>
  </si>
  <si>
    <t>Line 15 &lt;= 0</t>
  </si>
  <si>
    <t>Line 9b = 0</t>
  </si>
  <si>
    <t>Line 16 &lt;= 0</t>
  </si>
  <si>
    <t>Line 43 &lt;= 0</t>
  </si>
  <si>
    <t>&gt;</t>
  </si>
  <si>
    <t>Calendar Year is SAME</t>
  </si>
  <si>
    <t>Less than One Year</t>
  </si>
  <si>
    <t xml:space="preserve">   Attachment</t>
  </si>
  <si>
    <r>
      <t xml:space="preserve">   Sequence No. </t>
    </r>
    <r>
      <rPr>
        <b/>
        <sz val="7"/>
        <rFont val="Arial"/>
        <family val="2"/>
      </rPr>
      <t>08</t>
    </r>
  </si>
  <si>
    <r>
      <t xml:space="preserve">Note: </t>
    </r>
    <r>
      <rPr>
        <sz val="9"/>
        <rFont val="Arial"/>
        <family val="2"/>
      </rPr>
      <t>If you</t>
    </r>
  </si>
  <si>
    <r>
      <t>Note:</t>
    </r>
    <r>
      <rPr>
        <sz val="9"/>
        <rFont val="Arial"/>
        <family val="2"/>
      </rPr>
      <t xml:space="preserve"> If you</t>
    </r>
  </si>
  <si>
    <t>If “Yes,” are you required to file FinCEN Form 114, Report of Foreign Bank and Financial</t>
  </si>
  <si>
    <t>If you are required to file FinCEN Form 114, enter the name of the foreign country where the</t>
  </si>
  <si>
    <r>
      <t>4</t>
    </r>
    <r>
      <rPr>
        <b/>
        <sz val="8"/>
        <rFont val="Arial"/>
        <family val="2"/>
      </rPr>
      <t xml:space="preserve"> Information about Schedule E and its separate instructions is at </t>
    </r>
    <r>
      <rPr>
        <b/>
        <i/>
        <sz val="8"/>
        <rFont val="Arial"/>
        <family val="2"/>
      </rPr>
      <t>www.irs.gov/schedulee</t>
    </r>
    <r>
      <rPr>
        <b/>
        <sz val="8"/>
        <rFont val="Arial"/>
        <family val="2"/>
      </rPr>
      <t>.</t>
    </r>
  </si>
  <si>
    <r>
      <rPr>
        <sz val="8"/>
        <rFont val="Calibri"/>
        <family val="2"/>
      </rPr>
      <t>•</t>
    </r>
    <r>
      <rPr>
        <sz val="8"/>
        <rFont val="Arial"/>
        <family val="2"/>
      </rPr>
      <t xml:space="preserve"> lived with you</t>
    </r>
  </si>
  <si>
    <r>
      <rPr>
        <sz val="8"/>
        <rFont val="Calibri"/>
        <family val="2"/>
      </rPr>
      <t xml:space="preserve">• </t>
    </r>
    <r>
      <rPr>
        <sz val="8"/>
        <rFont val="Arial"/>
        <family val="2"/>
      </rPr>
      <t>did not live with</t>
    </r>
  </si>
  <si>
    <t xml:space="preserve">  Dependents:</t>
  </si>
  <si>
    <r>
      <t xml:space="preserve"> Yourself.</t>
    </r>
    <r>
      <rPr>
        <sz val="9"/>
        <rFont val="Arial"/>
        <family val="2"/>
      </rPr>
      <t xml:space="preserve"> </t>
    </r>
  </si>
  <si>
    <r>
      <t xml:space="preserve">Form 8960 </t>
    </r>
    <r>
      <rPr>
        <b/>
        <sz val="8"/>
        <rFont val="Arial"/>
        <family val="2"/>
      </rPr>
      <t>c</t>
    </r>
  </si>
  <si>
    <t>Instructions; enter code(s)</t>
  </si>
  <si>
    <r>
      <t xml:space="preserve">8885  </t>
    </r>
    <r>
      <rPr>
        <b/>
        <sz val="8"/>
        <rFont val="Arial"/>
        <family val="2"/>
      </rPr>
      <t>d</t>
    </r>
  </si>
  <si>
    <r>
      <rPr>
        <b/>
        <sz val="10"/>
        <rFont val="Marlett"/>
        <charset val="2"/>
      </rPr>
      <t>4</t>
    </r>
    <r>
      <rPr>
        <b/>
        <sz val="8"/>
        <rFont val="Arial"/>
        <family val="2"/>
      </rPr>
      <t xml:space="preserve">  Information about Schedule A and its separate instructions is at </t>
    </r>
    <r>
      <rPr>
        <b/>
        <i/>
        <sz val="8"/>
        <rFont val="Arial"/>
        <family val="2"/>
      </rPr>
      <t>www.irs.gov/schedulea</t>
    </r>
    <r>
      <rPr>
        <b/>
        <sz val="8"/>
        <rFont val="Arial"/>
        <family val="2"/>
      </rPr>
      <t>.</t>
    </r>
  </si>
  <si>
    <t>Form 1040, line 9a.)</t>
  </si>
  <si>
    <t>Use Form 8949 to list your transactions for lines 1b, 2, 3, 8b, 9, and 10.</t>
  </si>
  <si>
    <r>
      <t xml:space="preserve">   Information about Schedule D and its separate instructions is at </t>
    </r>
    <r>
      <rPr>
        <b/>
        <i/>
        <sz val="8"/>
        <rFont val="Arial"/>
        <family val="2"/>
      </rPr>
      <t>www.irs.gov/scheduled</t>
    </r>
    <r>
      <rPr>
        <b/>
        <sz val="8"/>
        <rFont val="Arial"/>
        <family val="2"/>
      </rPr>
      <t>.</t>
    </r>
  </si>
  <si>
    <t>Attach to Form 1040 or Form 1040NR.</t>
  </si>
  <si>
    <t>See instructions for how to figure the amounts to enter on the lines below.
This form may be easier to complete if you round off cents to whole dollars.</t>
  </si>
  <si>
    <r>
      <t xml:space="preserve">Totals for all transactions reported on Form(s) 8949 with </t>
    </r>
    <r>
      <rPr>
        <b/>
        <sz val="9"/>
        <rFont val="Arial"/>
        <family val="2"/>
      </rPr>
      <t>Box A</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</si>
  <si>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B</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</si>
  <si>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C</t>
    </r>
    <r>
      <rPr>
        <sz val="9"/>
        <rFont val="Arial"/>
        <family val="2"/>
      </rPr>
      <t xml:space="preserve"> checked</t>
    </r>
    <r>
      <rPr>
        <b/>
        <sz val="9"/>
        <rFont val="Arial"/>
        <family val="2"/>
      </rPr>
      <t xml:space="preserve"> .   .   .   .   .   .   .   .   .   .   .   .   .   .   .   .   .   </t>
    </r>
  </si>
  <si>
    <t>.   .   .   .   .   .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</si>
  <si>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</si>
  <si>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 .   .   .   .   .   .   .   .   .   .   .   .   .   .  </t>
  </si>
  <si>
    <t>Returns and allowances</t>
  </si>
  <si>
    <r>
      <t xml:space="preserve">Other income, including federal and state gasoline or fuel tax credit or refund  (See instructions) </t>
    </r>
    <r>
      <rPr>
        <b/>
        <sz val="9"/>
        <rFont val="Arial"/>
        <family val="2"/>
      </rPr>
      <t xml:space="preserve"> .   .   .   .   .   .   .   .</t>
    </r>
  </si>
  <si>
    <t>Expenses for business use of your home. Do not report these expenses elsewhere. Attach Form 8829</t>
  </si>
  <si>
    <t>unless using the simplified method (see instructions).</t>
  </si>
  <si>
    <t>and (b) the part of your home used for business:</t>
  </si>
  <si>
    <r>
      <rPr>
        <b/>
        <sz val="10"/>
        <rFont val="Arial"/>
        <family val="2"/>
      </rPr>
      <t>Simplified method filers only:</t>
    </r>
    <r>
      <rPr>
        <sz val="10"/>
        <rFont val="Arial"/>
        <family val="2"/>
      </rPr>
      <t xml:space="preserve"> enter the total square footage of: (a) your home:</t>
    </r>
  </si>
  <si>
    <t>Use the Simplified Method Worksheet in the instructions to figure the amount to enter on line 30</t>
  </si>
  <si>
    <r>
      <t xml:space="preserve">trusts, enter on </t>
    </r>
    <r>
      <rPr>
        <b/>
        <sz val="9"/>
        <rFont val="Arial"/>
        <family val="2"/>
      </rPr>
      <t>Form 1041, line 3.</t>
    </r>
  </si>
  <si>
    <t>Not</t>
  </si>
  <si>
    <t>Over</t>
  </si>
  <si>
    <t>Not Over</t>
  </si>
  <si>
    <t>CGTW_Line7</t>
  </si>
  <si>
    <t>Is the amount on Form 1040, line 38, more than the amount shown on line 4 below for your filing status?</t>
  </si>
  <si>
    <t xml:space="preserve">No. </t>
  </si>
  <si>
    <t>Continue.</t>
  </si>
  <si>
    <t>Enter the amount from Form 1040, line 38</t>
  </si>
  <si>
    <t>result on line 42.</t>
  </si>
  <si>
    <t>STOP</t>
  </si>
  <si>
    <t>result is not a whole number, increase it to the next higher whole</t>
  </si>
  <si>
    <t>number (for example, increase .00004 to 1)</t>
  </si>
  <si>
    <t>Multiply line 2 by line 7</t>
  </si>
  <si>
    <t>1040, line 42</t>
  </si>
  <si>
    <r>
      <rPr>
        <b/>
        <sz val="10"/>
        <rFont val="Arial"/>
        <family val="2"/>
      </rPr>
      <t>Deduction for exemptions.</t>
    </r>
    <r>
      <rPr>
        <sz val="10"/>
        <rFont val="Arial"/>
        <family val="2"/>
      </rPr>
      <t xml:space="preserve"> Subtract line 8 from line 2. Enter the result here and on Form</t>
    </r>
  </si>
  <si>
    <t>Subtract line 4 from line 3.</t>
  </si>
  <si>
    <t xml:space="preserve">    Deduction for Exemptions Worksheet — Line 42</t>
  </si>
  <si>
    <t>Medical and dental. If you or your spouse was 65 or older, enter the smaller of Schedule A (Form 1040),</t>
  </si>
  <si>
    <t>Hide error</t>
  </si>
  <si>
    <t>message --&gt;</t>
  </si>
  <si>
    <t>for lines 4 through 28. Also, enter this amount on Form 1040, line 40.</t>
  </si>
  <si>
    <r>
      <rPr>
        <b/>
        <sz val="9"/>
        <rFont val="Arial"/>
        <family val="2"/>
      </rPr>
      <t>No.</t>
    </r>
    <r>
      <rPr>
        <sz val="9"/>
        <rFont val="Arial"/>
        <family val="2"/>
      </rPr>
      <t xml:space="preserve"> Your deduction is not limited. Add the amounts in the far right column</t>
    </r>
  </si>
  <si>
    <r>
      <rPr>
        <b/>
        <sz val="9"/>
        <rFont val="Arial"/>
        <family val="2"/>
      </rPr>
      <t>Yes.</t>
    </r>
    <r>
      <rPr>
        <sz val="9"/>
        <rFont val="Arial"/>
        <family val="2"/>
      </rPr>
      <t xml:space="preserve"> Your deduction may be limited. See the Itemized Deductions</t>
    </r>
  </si>
  <si>
    <t>Worksheet in the instructions to figure the amount to enter.</t>
  </si>
  <si>
    <r>
      <rPr>
        <b/>
        <sz val="8"/>
        <rFont val="Arial"/>
        <family val="2"/>
      </rPr>
      <t>Yes.</t>
    </r>
    <r>
      <rPr>
        <sz val="8"/>
        <rFont val="Arial"/>
        <family val="2"/>
      </rPr>
      <t xml:space="preserve"> Subtract line 6 from line 5</t>
    </r>
  </si>
  <si>
    <r>
      <rPr>
        <b/>
        <sz val="8"/>
        <rFont val="Arial"/>
        <family val="2"/>
      </rPr>
      <t>Yes.</t>
    </r>
    <r>
      <rPr>
        <sz val="8"/>
        <rFont val="Arial"/>
        <family val="2"/>
      </rPr>
      <t xml:space="preserve"> Subtract line 2 from line 1</t>
    </r>
  </si>
  <si>
    <t>Is the amount on line 2 less than the amount on line 1?</t>
  </si>
  <si>
    <t>line 28</t>
  </si>
  <si>
    <t>Enter the total of the amount from Schedule A, lines 4, 14, and 20, plus any gambling and casualty or theft losses included on</t>
  </si>
  <si>
    <t>Enter the total of the amounts from Schedule A, lines 4, 9, 15, 19, 20, 27, and 28</t>
  </si>
  <si>
    <t xml:space="preserve">  Itemized Deductions Worksheet—Line 29</t>
  </si>
  <si>
    <r>
      <t xml:space="preserve">Enter the </t>
    </r>
    <r>
      <rPr>
        <b/>
        <sz val="8"/>
        <rFont val="Arial"/>
        <family val="2"/>
      </rPr>
      <t>smaller</t>
    </r>
    <r>
      <rPr>
        <sz val="8"/>
        <rFont val="Arial"/>
        <family val="2"/>
      </rPr>
      <t xml:space="preserve"> of line 4 or line 8</t>
    </r>
  </si>
  <si>
    <r>
      <rPr>
        <b/>
        <sz val="8"/>
        <rFont val="Arial"/>
        <family val="2"/>
      </rPr>
      <t>Total itemized deductions.</t>
    </r>
    <r>
      <rPr>
        <sz val="8"/>
        <rFont val="Arial"/>
        <family val="2"/>
      </rPr>
      <t xml:space="preserve"> Subtract line 9 from line 1. Enter the result here and on Schedule A, line 29</t>
    </r>
  </si>
  <si>
    <r>
      <t xml:space="preserve">Alternative minimum taxable income. </t>
    </r>
    <r>
      <rPr>
        <sz val="9"/>
        <rFont val="Arial"/>
        <family val="2"/>
      </rPr>
      <t>Combine lines 1 through 27. (If married filing separately and line</t>
    </r>
  </si>
  <si>
    <t>Line 28—Alternative Minimum</t>
  </si>
  <si>
    <t>Taxable Income</t>
  </si>
  <si>
    <t>If your filing status is married filing</t>
  </si>
  <si>
    <t>separately and line 28 is more than</t>
  </si>
  <si>
    <t>additional amount on line 28. If line 28 is</t>
  </si>
  <si>
    <t>excess of the amount on line 28 over</t>
  </si>
  <si>
    <t>Amount added</t>
  </si>
  <si>
    <t>IF your filing status is . . .</t>
  </si>
  <si>
    <t>Single or head of household</t>
  </si>
  <si>
    <r>
      <t xml:space="preserve">If line 28 is </t>
    </r>
    <r>
      <rPr>
        <b/>
        <sz val="9"/>
        <rFont val="Arial"/>
        <family val="2"/>
      </rPr>
      <t>over</t>
    </r>
    <r>
      <rPr>
        <sz val="9"/>
        <rFont val="Arial"/>
        <family val="2"/>
      </rPr>
      <t xml:space="preserve"> the amount shown above for your filing status, see instructions.</t>
    </r>
  </si>
  <si>
    <t>AND line 28 is not over . . .</t>
  </si>
  <si>
    <t>THEN enter on line 29 . . .</t>
  </si>
  <si>
    <t>For Married Filing Separately Only</t>
  </si>
  <si>
    <r>
      <t xml:space="preserve">Otherwise, </t>
    </r>
    <r>
      <rPr>
        <b/>
        <u/>
        <sz val="9"/>
        <color indexed="8"/>
        <rFont val="Arial"/>
        <family val="2"/>
      </rPr>
      <t>stop</t>
    </r>
    <r>
      <rPr>
        <b/>
        <sz val="9"/>
        <color indexed="8"/>
        <rFont val="Arial"/>
        <family val="2"/>
      </rPr>
      <t xml:space="preserve"> </t>
    </r>
    <r>
      <rPr>
        <b/>
        <u/>
        <sz val="9"/>
        <color indexed="8"/>
        <rFont val="Arial"/>
        <family val="2"/>
      </rPr>
      <t>here</t>
    </r>
    <r>
      <rPr>
        <sz val="9"/>
        <rFont val="Arial"/>
        <family val="2"/>
      </rPr>
      <t xml:space="preserve"> and enter this amount on Form 6251, line 29, and</t>
    </r>
  </si>
  <si>
    <t>Subtract line 47 from line 46.</t>
  </si>
  <si>
    <t xml:space="preserve">.   .   .   .   .   .   .   .   .   .   .   .   .   .   .   .   .   .   .   .   .   .   .   .   .   .   .   .   .   .   .   . </t>
  </si>
  <si>
    <t>enter this amount on line 31. Instead, enter it on line 4 of the worksheet in the instructions for line 31</t>
  </si>
  <si>
    <t xml:space="preserve">.   .   .   .   .   .   .   .   .   .   .   .   .   .   .   . </t>
  </si>
  <si>
    <t>.   .   .   .   .   .   .   .   .   .   .   .</t>
  </si>
  <si>
    <r>
      <rPr>
        <b/>
        <i/>
        <sz val="10"/>
        <rFont val="Arial"/>
        <family val="2"/>
      </rPr>
      <t>Before you begin:</t>
    </r>
    <r>
      <rPr>
        <i/>
        <sz val="10"/>
        <rFont val="Arial"/>
        <family val="2"/>
      </rPr>
      <t xml:space="preserve"> </t>
    </r>
  </si>
  <si>
    <t>To determine if you must file Schedule SE, see the instructions.</t>
  </si>
  <si>
    <t>Program payments included on Schedule F, line 4b, or listed on Schedule K-1 (Form 1065), box 20, code Z</t>
  </si>
  <si>
    <t>Deduction for one-half of self-employment tax.</t>
  </si>
  <si>
    <t>1040, line 27, or Form 1040NR, line 27</t>
  </si>
  <si>
    <t>.   .   .   .   .   .   .   .   .   .   .</t>
  </si>
  <si>
    <r>
      <t xml:space="preserve">this line. See instructions for other income to report. </t>
    </r>
    <r>
      <rPr>
        <b/>
        <sz val="10"/>
        <rFont val="Arial"/>
        <family val="2"/>
      </rPr>
      <t>Note.</t>
    </r>
    <r>
      <rPr>
        <sz val="10"/>
        <rFont val="Arial"/>
        <family val="2"/>
      </rPr>
      <t xml:space="preserve"> Skip this line if you use the nonfarm</t>
    </r>
  </si>
  <si>
    <t>optional method (see instructions)</t>
  </si>
  <si>
    <t xml:space="preserve">.   .   .   .   .   .   .   .   .   .   .   .   .   .   .   .   .   .   .   .   .   .   .   .   .  </t>
  </si>
  <si>
    <t>Form 1040, line 27, or Form 1040NR, line 27.   .   .</t>
  </si>
  <si>
    <t>For Line 8a, only enter the total social security wages and tips</t>
  </si>
  <si>
    <t>Important:</t>
  </si>
  <si>
    <t>◄◄</t>
  </si>
  <si>
    <t>-- DISCLAIMER --</t>
  </si>
  <si>
    <t>These spreadsheets are provided "as is",</t>
  </si>
  <si>
    <t>with no warranty of any kind, expressed or implied, and</t>
  </si>
  <si>
    <t> in no event will Glenn Reeves be liable for</t>
  </si>
  <si>
    <t>direct, indirect, incidental, or consequential damages</t>
  </si>
  <si>
    <t> resulting from the use of any of these spreadsheets.</t>
  </si>
  <si>
    <t>Glenn Reeves specifically disclaims the role of tax adviser.</t>
  </si>
  <si>
    <t>These spreadsheets attempt to perform the mechanics of tax preparation</t>
  </si>
  <si>
    <t> in accordance with IRS forms and instructions.</t>
  </si>
  <si>
    <t>The user must assume responsibility as to the correctness and</t>
  </si>
  <si>
    <t>appropriateness of any and all amounts entered and results produced.</t>
  </si>
  <si>
    <r>
      <rPr>
        <b/>
        <sz val="8"/>
        <rFont val="Arial"/>
        <family val="2"/>
      </rPr>
      <t>Exception.</t>
    </r>
    <r>
      <rPr>
        <sz val="8"/>
        <rFont val="Arial"/>
        <family val="2"/>
      </rPr>
      <t xml:space="preserve"> See Itemized Deduction Recoveries in Pub. 525 instead of using the worksheet below if any of the following applies.</t>
    </r>
  </si>
  <si>
    <t xml:space="preserve">    credit claimed in an earlier year.</t>
  </si>
  <si>
    <t xml:space="preserve">    qualified dividends in certain situations.</t>
  </si>
  <si>
    <r>
      <t>Taxable part of your refund.</t>
    </r>
    <r>
      <rPr>
        <sz val="10"/>
        <rFont val="Arial"/>
        <family val="2"/>
      </rPr>
      <t xml:space="preserve"> Enter the </t>
    </r>
    <r>
      <rPr>
        <b/>
        <sz val="10"/>
        <rFont val="Arial"/>
        <family val="2"/>
      </rPr>
      <t>smaller</t>
    </r>
    <r>
      <rPr>
        <sz val="10"/>
        <rFont val="Arial"/>
        <family val="2"/>
      </rPr>
      <t xml:space="preserve"> of line 1 or line 6 here and on Form 1040, line 10</t>
    </r>
    <r>
      <rPr>
        <b/>
        <sz val="10"/>
        <rFont val="Arial"/>
        <family val="2"/>
      </rPr>
      <t>.   .   .   .   .   .</t>
    </r>
  </si>
  <si>
    <t xml:space="preserve">Enter the total pension or annuity payments from Form 1099-R, box 1. </t>
  </si>
  <si>
    <t>of last year’s worksheet on line 4 below (even if the amount of your pension or annuity has changed).</t>
  </si>
  <si>
    <r>
      <t>Note.</t>
    </r>
    <r>
      <rPr>
        <sz val="9"/>
        <rFont val="Arial"/>
        <family val="2"/>
      </rPr>
      <t xml:space="preserve"> If you completed this worksheet last year, skip line 3 and enter the amount from line 4</t>
    </r>
  </si>
  <si>
    <t>and 12b and enter the total on Form 1040, line 32. Or, if you want, you can deduct</t>
  </si>
  <si>
    <t>Enter the smaller of line 1 or line 15</t>
  </si>
  <si>
    <t>Add lines 7 and 11</t>
  </si>
  <si>
    <t>Subtract line 17 from line 16. If zero or less, enter -0-</t>
  </si>
  <si>
    <t>Enter the smaller of line 14 or line 18</t>
  </si>
  <si>
    <t>Add lines 11 and 19</t>
  </si>
  <si>
    <t>Subtract line 21 from line 12</t>
  </si>
  <si>
    <t>Add lines 20, 23, and 24</t>
  </si>
  <si>
    <t xml:space="preserve">.    .    .    .    .    .    .    .    .    .    .    .    .    .    .    .    .    .    .    .    .    .    .    .    .    .    .    . </t>
  </si>
  <si>
    <t xml:space="preserve">   .    .    .    .    .    .    .    .    .    .    .    .    .    .    .    .    .    .    .    .    .    .    .    .    .    .    .    .    .    .    .    .    . </t>
  </si>
  <si>
    <r>
      <t>Tax on all taxable income.</t>
    </r>
    <r>
      <rPr>
        <sz val="9"/>
        <rFont val="Arial"/>
        <family val="2"/>
      </rPr>
      <t xml:space="preserve">  Enter the </t>
    </r>
    <r>
      <rPr>
        <b/>
        <sz val="9"/>
        <rFont val="Arial"/>
        <family val="2"/>
      </rPr>
      <t>smaller</t>
    </r>
    <r>
      <rPr>
        <sz val="9"/>
        <rFont val="Arial"/>
        <family val="2"/>
      </rPr>
      <t xml:space="preserve"> of line 25 or line 26.   Also include this amount on</t>
    </r>
  </si>
  <si>
    <t>Form 8910; Form 8936; or Schedule R.</t>
  </si>
  <si>
    <r>
      <t xml:space="preserve">Child Tax Credit Worksheet --- </t>
    </r>
    <r>
      <rPr>
        <b/>
        <i/>
        <sz val="12"/>
        <rFont val="Arial"/>
        <family val="2"/>
      </rPr>
      <t>Continued</t>
    </r>
  </si>
  <si>
    <r>
      <rPr>
        <b/>
        <sz val="10"/>
        <rFont val="Arial"/>
        <family val="2"/>
      </rPr>
      <t>Form 5695</t>
    </r>
    <r>
      <rPr>
        <sz val="10"/>
        <rFont val="Arial"/>
        <family val="2"/>
      </rPr>
      <t>, line 30</t>
    </r>
  </si>
  <si>
    <r>
      <rPr>
        <b/>
        <sz val="10"/>
        <rFont val="Arial"/>
        <family val="2"/>
      </rPr>
      <t>Form 8834</t>
    </r>
    <r>
      <rPr>
        <sz val="10"/>
        <rFont val="Arial"/>
        <family val="2"/>
      </rPr>
      <t>, line 15</t>
    </r>
  </si>
  <si>
    <t>Residential energy efficient property credit, Form 5695, Part I.</t>
  </si>
  <si>
    <t>If your employer withheld or you paid Additional Medicare Tax or Tier 1 RRTA</t>
  </si>
  <si>
    <t>taxes, use the Additional Medicare Tax and RRTA Tax</t>
  </si>
  <si>
    <t>Worksheet to _x001F_gure the amount to enter; otherwise enter</t>
  </si>
  <si>
    <t>the total of the following amounts from Form(s) W-2:</t>
  </si>
  <si>
    <t>lines 6 and 7.</t>
  </si>
  <si>
    <t>Form 8839, line 16, and</t>
  </si>
  <si>
    <t>Form 5695, line 15, and</t>
  </si>
  <si>
    <t xml:space="preserve">Form 8859, line 3. </t>
  </si>
  <si>
    <t>reported to the IRS and for which no adjustments or codes are required. Enter the total directly on</t>
  </si>
  <si>
    <t>Schedule D, line 1a; you are not required to report these transactions on Form 8949 (see instructions).</t>
  </si>
  <si>
    <r>
      <rPr>
        <b/>
        <sz val="10"/>
        <rFont val="Arial"/>
        <family val="2"/>
      </rPr>
      <t>Note.</t>
    </r>
    <r>
      <rPr>
        <sz val="10"/>
        <rFont val="Arial"/>
        <family val="2"/>
      </rPr>
      <t xml:space="preserve"> You may aggregate all short-term transactions reported on Form(s) 1099-B showing basis was</t>
    </r>
  </si>
  <si>
    <t xml:space="preserve">to the IRS and for which no adjustments or codes are required. Enter the total directly on Schedule D, line 8a; 
</t>
  </si>
  <si>
    <t>you are not required to report these transactions on Form 8949 (see instructions).</t>
  </si>
  <si>
    <r>
      <t xml:space="preserve">You </t>
    </r>
    <r>
      <rPr>
        <b/>
        <i/>
        <sz val="9"/>
        <rFont val="Arial"/>
        <family val="2"/>
      </rPr>
      <t>must</t>
    </r>
    <r>
      <rPr>
        <b/>
        <sz val="9"/>
        <rFont val="Arial"/>
        <family val="2"/>
      </rPr>
      <t xml:space="preserve"> check Box D, E, </t>
    </r>
    <r>
      <rPr>
        <b/>
        <i/>
        <sz val="9"/>
        <rFont val="Arial"/>
        <family val="2"/>
      </rPr>
      <t>or</t>
    </r>
    <r>
      <rPr>
        <b/>
        <sz val="9"/>
        <rFont val="Arial"/>
        <family val="2"/>
      </rPr>
      <t xml:space="preserve"> F below. </t>
    </r>
  </si>
  <si>
    <r>
      <t xml:space="preserve"> </t>
    </r>
    <r>
      <rPr>
        <b/>
        <sz val="9"/>
        <rFont val="Arial"/>
        <family val="2"/>
      </rPr>
      <t>(A)</t>
    </r>
    <r>
      <rPr>
        <sz val="9"/>
        <rFont val="Arial"/>
        <family val="2"/>
      </rPr>
      <t xml:space="preserve"> Short-term transactions reported on Form(s) 1099-B showing basis was reported to the IRS (see </t>
    </r>
    <r>
      <rPr>
        <b/>
        <sz val="9"/>
        <rFont val="Arial"/>
        <family val="2"/>
      </rPr>
      <t>Note</t>
    </r>
    <r>
      <rPr>
        <sz val="9"/>
        <rFont val="Arial"/>
        <family val="2"/>
      </rPr>
      <t xml:space="preserve"> above)</t>
    </r>
  </si>
  <si>
    <r>
      <t>Enter</t>
    </r>
    <r>
      <rPr>
        <sz val="10"/>
        <rFont val="Arial"/>
        <family val="2"/>
      </rPr>
      <t>:</t>
    </r>
  </si>
  <si>
    <t>Enter the smaller of line 1 or line 24</t>
  </si>
  <si>
    <t>Add lines 19 and 20</t>
  </si>
  <si>
    <t>Subtract line 26 from line 25. If zero or less, enter -0-</t>
  </si>
  <si>
    <t>Enter the smaller of line 23 or line 27</t>
  </si>
  <si>
    <t>Add lines 22 and 28</t>
  </si>
  <si>
    <t>If lines 1 and 30 are the same, skip lines 31 through 41 and go to line 42. Otherwise, go to line 31.</t>
  </si>
  <si>
    <t>Subtract line 36 from line 33. If zero or less, enter -0-</t>
  </si>
  <si>
    <t>Subtract line 35 from line 34. If zero or less, enter -0-</t>
  </si>
  <si>
    <t>If Schedule D, line 19, is zero or blank, skip lines 33 through 38 and go to line 39. Otherwise, go to line 33.</t>
  </si>
  <si>
    <t>Subtract line 30 from line 21</t>
  </si>
  <si>
    <t>Add lines 19, 20, 28, 31, and 37</t>
  </si>
  <si>
    <t>39.</t>
  </si>
  <si>
    <t>Subtract line 39 from line 1</t>
  </si>
  <si>
    <t>40.</t>
  </si>
  <si>
    <t>41.</t>
  </si>
  <si>
    <t>42.</t>
  </si>
  <si>
    <t>43.</t>
  </si>
  <si>
    <t>44.</t>
  </si>
  <si>
    <t>45.</t>
  </si>
  <si>
    <t>If lines 1 and 16 are the same, skip lines 21 through 41 and go to line 42. Otherwise, go to line 21.</t>
  </si>
  <si>
    <t>If Schedule D, line 18, is zero or blank, skip lines 39 through 41 and go to line 42. Otherwise, go to line 39.</t>
  </si>
  <si>
    <t>Add lines 29, 32, 38, 41, and 42</t>
  </si>
  <si>
    <r>
      <t>Tax on all taxable income (including capital gains and qualified dividends).</t>
    </r>
    <r>
      <rPr>
        <sz val="10"/>
        <rFont val="Arial"/>
        <family val="2"/>
      </rPr>
      <t xml:space="preserve"> Enter the </t>
    </r>
    <r>
      <rPr>
        <b/>
        <sz val="10"/>
        <rFont val="Arial"/>
        <family val="2"/>
      </rPr>
      <t>smaller</t>
    </r>
    <r>
      <rPr>
        <sz val="10"/>
        <rFont val="Arial"/>
        <family val="2"/>
      </rPr>
      <t xml:space="preserve"> of line 43 or line 44. Also</t>
    </r>
  </si>
  <si>
    <r>
      <t xml:space="preserve">Totals for all transactions reported on Form(s) 8949 with </t>
    </r>
    <r>
      <rPr>
        <b/>
        <sz val="9"/>
        <rFont val="Arial"/>
        <family val="2"/>
      </rPr>
      <t>Box D</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</si>
  <si>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E</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</si>
  <si>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F</t>
    </r>
    <r>
      <rPr>
        <sz val="9"/>
        <rFont val="Arial"/>
        <family val="2"/>
      </rPr>
      <t xml:space="preserve"> checked</t>
    </r>
    <r>
      <rPr>
        <b/>
        <sz val="9"/>
        <rFont val="Arial"/>
        <family val="2"/>
      </rPr>
      <t xml:space="preserve"> .   .   .   .   .   .   .   .   .   .   .   .   .   .   .   .   .   </t>
    </r>
  </si>
  <si>
    <r>
      <t xml:space="preserve">Form </t>
    </r>
    <r>
      <rPr>
        <b/>
        <sz val="11"/>
        <rFont val="Arial"/>
        <family val="2"/>
      </rPr>
      <t>1040</t>
    </r>
  </si>
  <si>
    <t>Schedule D. If either line 15 or line 16 is</t>
  </si>
  <si>
    <t>blank or a loss, enter -0-.</t>
  </si>
  <si>
    <t>Additional Medicare Tax</t>
  </si>
  <si>
    <r>
      <t>4</t>
    </r>
    <r>
      <rPr>
        <b/>
        <sz val="9"/>
        <rFont val="Arial"/>
        <family val="2"/>
      </rPr>
      <t xml:space="preserve">  Attach to Form 1040, 1040NR, 1040-PR, or 1040-SS.</t>
    </r>
  </si>
  <si>
    <r>
      <t xml:space="preserve">Sequence No. </t>
    </r>
    <r>
      <rPr>
        <b/>
        <sz val="11"/>
        <rFont val="Arial"/>
        <family val="2"/>
      </rPr>
      <t>71</t>
    </r>
  </si>
  <si>
    <t xml:space="preserve">  Additional Medicare Tax on Medicare Wages </t>
  </si>
  <si>
    <t>Medicare wages and tips from Form W-2, box 5. If you have</t>
  </si>
  <si>
    <t>more than one Form W-2, enter the total of the amounts</t>
  </si>
  <si>
    <t>Unreported tips from Form 4137, line 6</t>
  </si>
  <si>
    <t xml:space="preserve"> .   .   .   .   .   .   .   .   .   .   .   .   .   .   .   . </t>
  </si>
  <si>
    <t>Wages from Form 8919, line 6</t>
  </si>
  <si>
    <t>Add lines 1 through 3</t>
  </si>
  <si>
    <t>Enter the following amount for your filing status:</t>
  </si>
  <si>
    <t>Single, Head of household, or Qualifying widow(er)</t>
  </si>
  <si>
    <t>Subtract line 5 from line 4. If the result is zero or less, enter -0-</t>
  </si>
  <si>
    <t>go to Part II</t>
  </si>
  <si>
    <t xml:space="preserve">     Additional Medicare Tax on Self-Employment Income</t>
  </si>
  <si>
    <t>Self-employment income from Schedule SE (Form 1040),</t>
  </si>
  <si>
    <t>Section A, line 4, or Section B, line 6. If you had a loss, enter</t>
  </si>
  <si>
    <t>-0- (Form 1040-PR and Form 1040-SS filers, see instructions.)</t>
  </si>
  <si>
    <t xml:space="preserve"> .   .   .   .   . </t>
  </si>
  <si>
    <t>Enter the amount from line 4</t>
  </si>
  <si>
    <t>Subtract line 10 from line 9. If zero or less, enter -0-</t>
  </si>
  <si>
    <t>Subtract line 11 from line 8. If the result is zero or less, enter -0-</t>
  </si>
  <si>
    <t>here and go to Part III</t>
  </si>
  <si>
    <t xml:space="preserve">     Additional Medicare Tax on Railroad Retirement Tax Act (RRTA) Compensation</t>
  </si>
  <si>
    <t>Railroad retirement (RRTA) compensation and tips from</t>
  </si>
  <si>
    <t>Form(s) W-2, box 14 (see instructions)</t>
  </si>
  <si>
    <t>Subtract line 15 from line 14. If the result is zero or less, enter -0-</t>
  </si>
  <si>
    <t>Additional Medicare Tax on railroad retirement (RRTA) compensation. Multiply line 16 by</t>
  </si>
  <si>
    <t xml:space="preserve">     Total Additional Medicare Tax</t>
  </si>
  <si>
    <t>1040-PR, and 1040-SS filers, see instructions) and go to Part V</t>
  </si>
  <si>
    <t xml:space="preserve">    Withholding Reconciliation</t>
  </si>
  <si>
    <t>Medicare tax withheld from Form W-2, box 6. If you have</t>
  </si>
  <si>
    <t>from box 6</t>
  </si>
  <si>
    <t>Enter the amount from line 1</t>
  </si>
  <si>
    <t>Medicare tax withholding on Medicare wages</t>
  </si>
  <si>
    <t>Subtract line 21 from line 19. This is your Additional Medicare Tax withholding on Medicare</t>
  </si>
  <si>
    <t>wages</t>
  </si>
  <si>
    <t>Additional Medicare Tax withholding on railroad retirement (RRTA) compensation from Form</t>
  </si>
  <si>
    <t>W-2, box 14 (see instructions)</t>
  </si>
  <si>
    <t>Total Additional Medicare Tax withholding. Add lines 22 and 23. Also include this</t>
  </si>
  <si>
    <t>and 1040-SS filers, see instructions)</t>
  </si>
  <si>
    <r>
      <t>Form</t>
    </r>
    <r>
      <rPr>
        <sz val="10"/>
        <rFont val="Arial"/>
        <family val="2"/>
      </rPr>
      <t xml:space="preserve"> </t>
    </r>
    <r>
      <rPr>
        <b/>
        <sz val="10"/>
        <rFont val="Arial"/>
        <family val="2"/>
      </rPr>
      <t>8959</t>
    </r>
  </si>
  <si>
    <t>Cat. No. 59475X</t>
  </si>
  <si>
    <t>Download Form 8959</t>
  </si>
  <si>
    <t>Download Form 8959 Instructions</t>
  </si>
  <si>
    <t>Net Investment Income Tax—</t>
  </si>
  <si>
    <t>Individuals, Estates, and Trusts</t>
  </si>
  <si>
    <r>
      <t>4</t>
    </r>
    <r>
      <rPr>
        <b/>
        <sz val="9"/>
        <rFont val="Arial"/>
        <family val="2"/>
      </rPr>
      <t xml:space="preserve">  Attach to Form 1040 or Form 1041.</t>
    </r>
  </si>
  <si>
    <r>
      <rPr>
        <b/>
        <sz val="8"/>
        <rFont val="Marlett"/>
        <charset val="2"/>
      </rPr>
      <t>4</t>
    </r>
    <r>
      <rPr>
        <b/>
        <sz val="8"/>
        <rFont val="Arial"/>
        <family val="2"/>
      </rPr>
      <t xml:space="preserve">  Information about Form 8960 and its separate instructions is at </t>
    </r>
    <r>
      <rPr>
        <b/>
        <i/>
        <sz val="8"/>
        <rFont val="Arial"/>
        <family val="2"/>
      </rPr>
      <t>www.irs.gov/form8960</t>
    </r>
    <r>
      <rPr>
        <b/>
        <sz val="8"/>
        <rFont val="Arial"/>
        <family val="2"/>
      </rPr>
      <t>.</t>
    </r>
  </si>
  <si>
    <r>
      <t xml:space="preserve">Sequence No. </t>
    </r>
    <r>
      <rPr>
        <b/>
        <sz val="11"/>
        <rFont val="Arial"/>
        <family val="2"/>
      </rPr>
      <t>72</t>
    </r>
  </si>
  <si>
    <t xml:space="preserve"> Investment Income</t>
  </si>
  <si>
    <t>Section 6013(g) election (see instructions)</t>
  </si>
  <si>
    <t>Regulations section 1.1411-10(g) election (see instructions)</t>
  </si>
  <si>
    <t>Rental real estate, royalties, partnerships, S corporations, trusts,</t>
  </si>
  <si>
    <t>Adjustment for net income or loss derived in the ordinary course of</t>
  </si>
  <si>
    <t>a non-section 1411 trade or business (see instructions)</t>
  </si>
  <si>
    <t>Combine lines 4a and 4b</t>
  </si>
  <si>
    <t>Net gain or loss from disposition of property that is not subject to</t>
  </si>
  <si>
    <t>net investment income tax (see instructions)</t>
  </si>
  <si>
    <t>Adjustment from disposition of partnership interest or S corporation</t>
  </si>
  <si>
    <t>Combine lines 5a through 5c</t>
  </si>
  <si>
    <t>Changes to investment income for certain CFCs and PFICs (see instructions)</t>
  </si>
  <si>
    <t>Other modifications to investment income (see instructions)</t>
  </si>
  <si>
    <t>Total investment income. Combine lines 1, 2, 3, 4c, 5d, 6, and 7</t>
  </si>
  <si>
    <t>5d</t>
  </si>
  <si>
    <t xml:space="preserve">     Investment Expenses Allocable to Investment Income and Modifications</t>
  </si>
  <si>
    <t>Investment interest expenses (see instructions)</t>
  </si>
  <si>
    <t xml:space="preserve"> .   .   .   .   .   .   .   .   .   .   .   . </t>
  </si>
  <si>
    <t>Miscellaneous investment expenses (see instructions)</t>
  </si>
  <si>
    <t>9d</t>
  </si>
  <si>
    <t>9c</t>
  </si>
  <si>
    <t>Add lines 9a, 9b, and 9c</t>
  </si>
  <si>
    <t>Additional modifications (see instructions)</t>
  </si>
  <si>
    <t>Total deductions and modifications. Add lines 9d and 10</t>
  </si>
  <si>
    <t xml:space="preserve">     Tax Computation</t>
  </si>
  <si>
    <t xml:space="preserve">   .   .   .   .   .   .   .   .   .   .   .   .   .   .   . </t>
  </si>
  <si>
    <t>Individuals:</t>
  </si>
  <si>
    <t>Modified adjusted gross income (see instructions)</t>
  </si>
  <si>
    <t>Threshold based on filing status (see instructions)</t>
  </si>
  <si>
    <t>Subtract line 14 from line 13. If zero or less, enter -0-</t>
  </si>
  <si>
    <t>Enter the smaller of line 12 or line 15</t>
  </si>
  <si>
    <t>Estates and Trusts:</t>
  </si>
  <si>
    <t>18a</t>
  </si>
  <si>
    <t>Net investment income (line 12 above)</t>
  </si>
  <si>
    <t>Deductions for distributions of net investment income and</t>
  </si>
  <si>
    <t>deductions under section 642(c) (see instructions)</t>
  </si>
  <si>
    <t>18b</t>
  </si>
  <si>
    <t>18c</t>
  </si>
  <si>
    <t>Undistributed net investment income. Subtract line 18b from 18a (see</t>
  </si>
  <si>
    <t>instructions)</t>
  </si>
  <si>
    <t>19a</t>
  </si>
  <si>
    <t>19b</t>
  </si>
  <si>
    <t>19c</t>
  </si>
  <si>
    <t>Adjusted gross income (see instructions)</t>
  </si>
  <si>
    <t>Highest tax bracket for estates and trusts for the year (see</t>
  </si>
  <si>
    <t>Subtract line 19b from line 19a. If zero or less, enter -0-</t>
  </si>
  <si>
    <t>Enter the smaller of line 18c or line 19c</t>
  </si>
  <si>
    <r>
      <t>Form</t>
    </r>
    <r>
      <rPr>
        <sz val="10"/>
        <rFont val="Arial"/>
        <family val="2"/>
      </rPr>
      <t xml:space="preserve"> </t>
    </r>
    <r>
      <rPr>
        <b/>
        <sz val="10"/>
        <rFont val="Arial"/>
        <family val="2"/>
      </rPr>
      <t>8960</t>
    </r>
  </si>
  <si>
    <t>Cat. No. 59474M</t>
  </si>
  <si>
    <t xml:space="preserve">   .   .   .   .   .   .   .   .   .   .   .   .   .   .   .   .   .   .   .   .   .   . </t>
  </si>
  <si>
    <t>Net investment income. Subtract Part II, line 11 from Part I, line 8. Individuals complete lines 13–17.</t>
  </si>
  <si>
    <t>Estates and trusts complete lines 18a–21. If zero or less, enter -0-</t>
  </si>
  <si>
    <t>Line 13 — MAGI Worksheet</t>
  </si>
  <si>
    <t>1. Enter your Adjusted Gross Income</t>
  </si>
  <si>
    <t>2. Foreign Earned Income Exclusion:</t>
  </si>
  <si>
    <t>Line 42 of Form 2555)</t>
  </si>
  <si>
    <t>2555 allocable to your Foreign Earned Income</t>
  </si>
  <si>
    <t>(a)</t>
  </si>
  <si>
    <t>Enter your Foreign Earned Income Exclusion (from</t>
  </si>
  <si>
    <t>(b)</t>
  </si>
  <si>
    <t>Enter the deductions reported on Line 44 of Form</t>
  </si>
  <si>
    <t>Exclusion</t>
  </si>
  <si>
    <t>(c)</t>
  </si>
  <si>
    <t>3. Adjustments for Certain CFCs and Certain PFICs</t>
  </si>
  <si>
    <t>Combine Lines 2(a) and 2(b)</t>
  </si>
  <si>
    <t>4. Enter the sum of Line 1, Line 2(c), and Line 3. (Enter this amount on Form 8960,</t>
  </si>
  <si>
    <t xml:space="preserve">    Line 13.)</t>
  </si>
  <si>
    <t>(</t>
  </si>
  <si>
    <t>)</t>
  </si>
  <si>
    <t>Download Form 8960</t>
  </si>
  <si>
    <t>Download Form 8960 Instructions (Draft)</t>
  </si>
  <si>
    <r>
      <t>Student loan interest deduction</t>
    </r>
    <r>
      <rPr>
        <b/>
        <sz val="9"/>
        <rFont val="Arial"/>
        <family val="2"/>
      </rPr>
      <t/>
    </r>
  </si>
  <si>
    <t xml:space="preserve">.   .   .   .   .   .   .   .   .   .   .   .   .   .   .   .   .   .   .   .   .   . </t>
  </si>
  <si>
    <t>Totals for all long-term transactions reported on Form 1099-B for which basis was reported to the IRS and for which you have no adjustments (see instructions). However, if you choose to report all these transactions on Form 8949, leave this line blank and go to line 8b.</t>
  </si>
  <si>
    <r>
      <rPr>
        <b/>
        <sz val="9"/>
        <rFont val="Arial"/>
        <family val="2"/>
      </rPr>
      <t>Totals.</t>
    </r>
    <r>
      <rPr>
        <sz val="9"/>
        <rFont val="Arial"/>
        <family val="2"/>
      </rPr>
      <t xml:space="preserve"> Add the amounts in columns (d), (e), (g), and (h) (subtract 
negative amounts). Enter each total here and include on your 
Schedule D, </t>
    </r>
    <r>
      <rPr>
        <b/>
        <sz val="9"/>
        <rFont val="Arial"/>
        <family val="2"/>
      </rPr>
      <t>line 8b</t>
    </r>
    <r>
      <rPr>
        <sz val="9"/>
        <rFont val="Arial"/>
        <family val="2"/>
      </rPr>
      <t xml:space="preserve"> (if </t>
    </r>
    <r>
      <rPr>
        <b/>
        <sz val="9"/>
        <rFont val="Arial"/>
        <family val="2"/>
      </rPr>
      <t>Box D</t>
    </r>
    <r>
      <rPr>
        <sz val="9"/>
        <rFont val="Arial"/>
        <family val="2"/>
      </rPr>
      <t xml:space="preserve"> above is checked), </t>
    </r>
    <r>
      <rPr>
        <b/>
        <sz val="9"/>
        <rFont val="Arial"/>
        <family val="2"/>
      </rPr>
      <t>line 9</t>
    </r>
    <r>
      <rPr>
        <sz val="9"/>
        <rFont val="Arial"/>
        <family val="2"/>
      </rPr>
      <t xml:space="preserve"> (if </t>
    </r>
    <r>
      <rPr>
        <b/>
        <sz val="9"/>
        <rFont val="Arial"/>
        <family val="2"/>
      </rPr>
      <t>Box E</t>
    </r>
    <r>
      <rPr>
        <sz val="9"/>
        <rFont val="Arial"/>
        <family val="2"/>
      </rPr>
      <t xml:space="preserve">
 above is checked), or </t>
    </r>
    <r>
      <rPr>
        <b/>
        <sz val="9"/>
        <rFont val="Arial"/>
        <family val="2"/>
      </rPr>
      <t>line 10</t>
    </r>
    <r>
      <rPr>
        <sz val="9"/>
        <rFont val="Arial"/>
        <family val="2"/>
      </rPr>
      <t xml:space="preserve"> (if </t>
    </r>
    <r>
      <rPr>
        <b/>
        <sz val="9"/>
        <rFont val="Arial"/>
        <family val="2"/>
      </rPr>
      <t>Box F</t>
    </r>
    <r>
      <rPr>
        <sz val="9"/>
        <rFont val="Arial"/>
        <family val="2"/>
      </rPr>
      <t xml:space="preserve"> above is checked)</t>
    </r>
  </si>
  <si>
    <t xml:space="preserve">.   .   .   .   .   .   .   .   .   .   .   .   .   .   .   .   .   .   .   .   .   .   .   .   .   .   .   .   .   . </t>
  </si>
  <si>
    <t>Profit or Loss from Farming</t>
  </si>
  <si>
    <t>Attach to Form 1040, Form 1040NR, Form 1041, Form 1065, or Form 1065-B.</t>
  </si>
  <si>
    <t>Department of the Treasury
Internal Revenue Service  (99)</t>
  </si>
  <si>
    <r>
      <t xml:space="preserve">Attachment
Sequence No. </t>
    </r>
    <r>
      <rPr>
        <b/>
        <sz val="8"/>
        <rFont val="Arial"/>
        <family val="2"/>
      </rPr>
      <t>14</t>
    </r>
  </si>
  <si>
    <t>SCHEDULE F
(Form 1040)</t>
  </si>
  <si>
    <t>Name of proprietor</t>
  </si>
  <si>
    <t>Principal crop or activity</t>
  </si>
  <si>
    <r>
      <rPr>
        <b/>
        <sz val="10"/>
        <rFont val="Arial"/>
        <family val="2"/>
      </rPr>
      <t>C</t>
    </r>
    <r>
      <rPr>
        <sz val="9"/>
        <rFont val="Arial"/>
        <family val="2"/>
      </rPr>
      <t xml:space="preserve">  Accounting method:</t>
    </r>
  </si>
  <si>
    <t>Accural</t>
  </si>
  <si>
    <t>Complete Parts I and II (Accrual method. Complete Parts II and III, and Part I, line 9.)</t>
  </si>
  <si>
    <t>Sales of livestock and other resale items (see instructions)</t>
  </si>
  <si>
    <t>Cost or other basis of livestock or other items reported on line 1a</t>
  </si>
  <si>
    <t>Subtract line 1b from line 1a</t>
  </si>
  <si>
    <t>Sales of livestock, produce, grains, and other products you raised</t>
  </si>
  <si>
    <t>3a</t>
  </si>
  <si>
    <t>Cooperative distributions (Form(s) 1099-PATR)</t>
  </si>
  <si>
    <t>3b</t>
  </si>
  <si>
    <t>1c</t>
  </si>
  <si>
    <t>Agricultural program payments (see instructions)</t>
  </si>
  <si>
    <t>Commodity Credit Corporation (CCC) loans reported under election</t>
  </si>
  <si>
    <t>CCC loans forfeited</t>
  </si>
  <si>
    <t>Crop insurance proceeds and federal crop disaster payments (see instructions)</t>
  </si>
  <si>
    <t>6b</t>
  </si>
  <si>
    <r>
      <rPr>
        <b/>
        <sz val="9"/>
        <rFont val="Arial"/>
        <family val="2"/>
      </rPr>
      <t>6d</t>
    </r>
    <r>
      <rPr>
        <sz val="9"/>
        <rFont val="Arial"/>
        <family val="2"/>
      </rPr>
      <t xml:space="preserve">  Amount deferred from</t>
    </r>
  </si>
  <si>
    <t>6d</t>
  </si>
  <si>
    <t>Custom hire (machine work) income</t>
  </si>
  <si>
    <t>5c</t>
  </si>
  <si>
    <t>Other income, including federal and state gasoline or fuel tax credit or refund (see instructions)</t>
  </si>
  <si>
    <r>
      <rPr>
        <b/>
        <sz val="9"/>
        <rFont val="Arial"/>
        <family val="2"/>
      </rPr>
      <t xml:space="preserve">Gross income.  </t>
    </r>
    <r>
      <rPr>
        <sz val="9"/>
        <rFont val="Arial"/>
        <family val="2"/>
      </rPr>
      <t>Add amounts in the right column (lines 1c, 2, 3b, 4b, 5a, 5c, 6b, 6d, 7, and 8). If you use the</t>
    </r>
  </si>
  <si>
    <t>accrual method, enter the amount from Part III, line 50 (see instructions)</t>
  </si>
  <si>
    <t xml:space="preserve">.   .   .   .   .   .   .   .   .   .   .   .   .   .   .   .   .   .   .   .   .   .   </t>
  </si>
  <si>
    <t>Do not include personal or living expenses (see instructions).</t>
  </si>
  <si>
    <t xml:space="preserve">.   .   .   .   .   .   .   .   .   .   .   </t>
  </si>
  <si>
    <t>Car and truck expenses (see</t>
  </si>
  <si>
    <t>Chemicals</t>
  </si>
  <si>
    <t>Conservation expenses (see instructions)</t>
  </si>
  <si>
    <t>Custom hire (machine work)</t>
  </si>
  <si>
    <t>expense (see instructions)</t>
  </si>
  <si>
    <t>other than on line 23</t>
  </si>
  <si>
    <t>Feed</t>
  </si>
  <si>
    <t>Fertilizers and lime</t>
  </si>
  <si>
    <t>Freight and trucking</t>
  </si>
  <si>
    <t>Gasoline, fuel, and oil</t>
  </si>
  <si>
    <t>Insurance (other than health)</t>
  </si>
  <si>
    <t>21a</t>
  </si>
  <si>
    <t>21b</t>
  </si>
  <si>
    <t>Labor hired (less employment credits)</t>
  </si>
  <si>
    <t>Pension and profit-sharing plans</t>
  </si>
  <si>
    <t>Vehicles, machinery, equipment</t>
  </si>
  <si>
    <t>Other (land, animals, etc.)</t>
  </si>
  <si>
    <t>Seeds and plants</t>
  </si>
  <si>
    <t>Storage and warehousing</t>
  </si>
  <si>
    <t>Veterinary, breeding, and medicine</t>
  </si>
  <si>
    <t>Other expenses (specify):</t>
  </si>
  <si>
    <t>e</t>
  </si>
  <si>
    <t>f</t>
  </si>
  <si>
    <t>32c</t>
  </si>
  <si>
    <t>32d</t>
  </si>
  <si>
    <t>32e</t>
  </si>
  <si>
    <t>32f</t>
  </si>
  <si>
    <r>
      <t xml:space="preserve">Total expenses.  </t>
    </r>
    <r>
      <rPr>
        <sz val="9"/>
        <rFont val="Arial"/>
        <family val="2"/>
      </rPr>
      <t>Add lines 10 through 32f. If line 32f is negative, see instructions</t>
    </r>
  </si>
  <si>
    <t>Net farm profit or (loss). Subtract line 33 from line 9</t>
  </si>
  <si>
    <t>If a profit, stop here and see instructions for where to report. If a loss, complete lines 35 and 36.</t>
  </si>
  <si>
    <t>Check the box that describes your investment in this activity and see instructions for where to report your loss.</t>
  </si>
  <si>
    <t>All investment is at risk.</t>
  </si>
  <si>
    <t>Some investment is not at risk.</t>
  </si>
  <si>
    <t>Cat. No. 11346H</t>
  </si>
  <si>
    <t xml:space="preserve">.   .   .   .   .   .   .   .   .   .   .   .   .   .   .   </t>
  </si>
  <si>
    <t>Sales of livestock, produce, grains, and other products (see instructions)</t>
  </si>
  <si>
    <t>38a</t>
  </si>
  <si>
    <t>38b</t>
  </si>
  <si>
    <t>Agricultural program payments</t>
  </si>
  <si>
    <t>39b</t>
  </si>
  <si>
    <t>40a</t>
  </si>
  <si>
    <t>Commodity Credit Corporation (CCC) loans:</t>
  </si>
  <si>
    <t>CCC loans reported under election</t>
  </si>
  <si>
    <t>40b</t>
  </si>
  <si>
    <t>40c</t>
  </si>
  <si>
    <t>Crop insurance proceeds</t>
  </si>
  <si>
    <t>Other income (see instructions)</t>
  </si>
  <si>
    <t>Add amounts in the right column for lines 37 through 43 (lines 37, 38b, 39b, 40a, 40c, 41, 42, and 43)</t>
  </si>
  <si>
    <t>Inventory of livestock, produce, grains, and other products at beginning of</t>
  </si>
  <si>
    <t>the year. Do not include sales reported on Form 4797</t>
  </si>
  <si>
    <t>Cost of livestock, produce, grains, and other products purchased during the</t>
  </si>
  <si>
    <t>year</t>
  </si>
  <si>
    <t>.   .   .   .   .   .   .   .   .   .   .   .   .   .   .   .   .   .   .   .   .   .   .   .   .   .   .   .   .   .   .   .   .   .   .   .   .   .   .   .   .   .   .   .   .   .</t>
  </si>
  <si>
    <t>Add lines 45 and 46</t>
  </si>
  <si>
    <t>Inventory of livestock, produce, grains, and other products at end of year</t>
  </si>
  <si>
    <t>Cost of livestock, produce, grains, and other products sold. Subtract line 48 from line 47*</t>
  </si>
  <si>
    <r>
      <rPr>
        <b/>
        <sz val="9"/>
        <rFont val="Arial"/>
        <family val="2"/>
      </rPr>
      <t>Gross income.</t>
    </r>
    <r>
      <rPr>
        <sz val="9"/>
        <rFont val="Arial"/>
        <family val="2"/>
      </rPr>
      <t xml:space="preserve"> Subtract line 49 from line 44. Enter the result here and on Part I, line 9</t>
    </r>
  </si>
  <si>
    <t>*If you use the unit-livestock-price method or the farm-price method of valuing inventory and the amount on line 48 is larger than the amount on line</t>
  </si>
  <si>
    <t>47, subtract line 47 from line 48. Enter the result on line 49. Add lines 44 and 49. Enter the total on line 50 and on Part I, line 9.</t>
  </si>
  <si>
    <t>Download Form 1040 Schedule F</t>
  </si>
  <si>
    <t>Download Form 1040 Schedule F Instructions</t>
  </si>
  <si>
    <t xml:space="preserve">  Principal Agricultural Activity Codes</t>
  </si>
  <si>
    <t>Do not file Schedule F (Form 1040) to report the</t>
  </si>
  <si>
    <t>following.</t>
  </si>
  <si>
    <t>• Income from providing agricultural services such as</t>
  </si>
  <si>
    <t>soil preparation, veterinary, farm labor, horticultural, or</t>
  </si>
  <si>
    <t>management for a fee or on a contract basis. Instead file</t>
  </si>
  <si>
    <t>Schedule C (Form 1040) or Schedule C-EZ (Form 1040).</t>
  </si>
  <si>
    <t>• Income from breeding, raising, or caring for dogs, cats, or</t>
  </si>
  <si>
    <t>other pet animals. Instead file Schedule C (Form 1040) or</t>
  </si>
  <si>
    <t>Schedule C-EZ (Form 1040).</t>
  </si>
  <si>
    <t>• Sales of livestock held for draft, breeding, sport, or dairy</t>
  </si>
  <si>
    <t>purposes. Instead file Form 4797.</t>
  </si>
  <si>
    <t>These codes for the Principal Agricultural Activity classify</t>
  </si>
  <si>
    <t>farms by their primary activity to facilitate the administration of</t>
  </si>
  <si>
    <t>the Internal Revenue Code. These six-digit codes are based on</t>
  </si>
  <si>
    <t>the North American Industry Classification System (NAICS).</t>
  </si>
  <si>
    <t>Select the code that best identifies your primary farming</t>
  </si>
  <si>
    <t>activity and enter the six-digit number on line B.</t>
  </si>
  <si>
    <t>Crop Production</t>
  </si>
  <si>
    <t>Oilseed and grain farming</t>
  </si>
  <si>
    <t>Vegetable and melon farming</t>
  </si>
  <si>
    <t>Fruit and tree nut farming</t>
  </si>
  <si>
    <t>Animal Production</t>
  </si>
  <si>
    <t>Forestry and Logging</t>
  </si>
  <si>
    <t>timber tracts)</t>
  </si>
  <si>
    <t>Greenhouse, nursery, and floriculture production</t>
  </si>
  <si>
    <t>Other crop farming</t>
  </si>
  <si>
    <t>Beef cattle ranching and farming</t>
  </si>
  <si>
    <t>Cattle feedlots</t>
  </si>
  <si>
    <t>Dairy cattle and milk production</t>
  </si>
  <si>
    <t>Hog and pig farming</t>
  </si>
  <si>
    <t>Poultry and egg production</t>
  </si>
  <si>
    <t>Sheep and goat farming</t>
  </si>
  <si>
    <t>Aquaculture</t>
  </si>
  <si>
    <t>Other animal production</t>
  </si>
  <si>
    <t xml:space="preserve">.   .   .   .   .   .   .   .   .   .   .   .   .   .   .   .   .   .   .   </t>
  </si>
  <si>
    <t xml:space="preserve">.   .   .   .   .   .   .   .   .   .   </t>
  </si>
  <si>
    <t xml:space="preserve"> .   .   .   .   .   .   .   .   .   .   .   .   .   .   .   .   .   .   .   .   .   </t>
  </si>
  <si>
    <t xml:space="preserve">.   .   .   .   .   .   .   .   .   .   .   .   .   .   .   .   .   .   .   .   .   .   .   .   .   .   .   .   .   .   .   .   .   .   .   .   .   .   </t>
  </si>
  <si>
    <t xml:space="preserve"> .   .   .   .   .   .   .   .   .   .   . </t>
  </si>
  <si>
    <t>Farm Expenses—Cash and Accrual Method.</t>
  </si>
  <si>
    <t>Farm Income—Cash Method.</t>
  </si>
  <si>
    <r>
      <rPr>
        <b/>
        <sz val="9"/>
        <rFont val="Arial"/>
        <family val="2"/>
      </rPr>
      <t xml:space="preserve">D </t>
    </r>
    <r>
      <rPr>
        <b/>
        <sz val="8"/>
        <rFont val="Arial"/>
        <family val="2"/>
      </rPr>
      <t>Employer ID no. (EIN), (see instr)</t>
    </r>
  </si>
  <si>
    <t>Forestry and logging (including forest nurseries &amp;</t>
  </si>
  <si>
    <r>
      <t xml:space="preserve">   Farm Income — Accrual Method</t>
    </r>
    <r>
      <rPr>
        <sz val="10"/>
        <rFont val="Arial"/>
        <family val="2"/>
      </rPr>
      <t xml:space="preserve"> (see instructions).</t>
    </r>
  </si>
  <si>
    <r>
      <t xml:space="preserve">Information about Schedule F and its separate instructions is at </t>
    </r>
    <r>
      <rPr>
        <b/>
        <i/>
        <sz val="8"/>
        <rFont val="Arial"/>
        <family val="2"/>
      </rPr>
      <t>www.irs.gov/schedulef</t>
    </r>
    <r>
      <rPr>
        <b/>
        <sz val="8"/>
        <rFont val="Arial"/>
        <family val="2"/>
      </rPr>
      <t>.</t>
    </r>
  </si>
  <si>
    <r>
      <rPr>
        <b/>
        <sz val="10"/>
        <rFont val="Arial"/>
        <family val="2"/>
      </rPr>
      <t>B</t>
    </r>
    <r>
      <rPr>
        <b/>
        <sz val="9"/>
        <rFont val="Arial"/>
        <family val="2"/>
      </rPr>
      <t xml:space="preserve">  Enter code from Part IV</t>
    </r>
  </si>
  <si>
    <r>
      <t xml:space="preserve">instructions). Also attach </t>
    </r>
    <r>
      <rPr>
        <b/>
        <sz val="10"/>
        <rFont val="Arial"/>
        <family val="2"/>
      </rPr>
      <t>Form 4562</t>
    </r>
  </si>
  <si>
    <t xml:space="preserve">.   . </t>
  </si>
  <si>
    <t xml:space="preserve">   .   .   .   .   .   .   .   .   .   .   .   .   .   .   .   .   .   . </t>
  </si>
  <si>
    <t xml:space="preserve">.   .   .   .   .   .   .   .   .   .   .   .   .   .   .   .   .   .   .   .   .   .   .   .   .   .   .   .   .   .   .   .   .   .   </t>
  </si>
  <si>
    <t xml:space="preserve">.   .   .   .   </t>
  </si>
  <si>
    <t xml:space="preserve">.   .   .   .   .   .   .   .   .   .   .   .   .   .   .   .   .   .   .   .   .   .   .   .   .   .   .   .   .   .   .   .   .   .   .   .   </t>
  </si>
  <si>
    <t xml:space="preserve">.   .   .   .   .   .   .   .   .   .   .   .   .   .   .   .   .   .   .   .   .   .   .   .   .   .   .   .   .   .   .   .   .   .   .   .   .   .   .   </t>
  </si>
  <si>
    <t xml:space="preserve">.   .   .   .   .   .   .   .   .   .   .   .   .   .   .   .   .   </t>
  </si>
  <si>
    <t xml:space="preserve"> .   .   .   .   .</t>
  </si>
  <si>
    <t>.   .   .   .   .   .   .   .   .   .   .   .   .</t>
  </si>
  <si>
    <t>Principal business or profession, including product or service (see instructions)</t>
  </si>
  <si>
    <r>
      <t xml:space="preserve">Enter expenses for business use of your home </t>
    </r>
    <r>
      <rPr>
        <b/>
        <sz val="10"/>
        <rFont val="Arial"/>
        <family val="2"/>
      </rPr>
      <t>only</t>
    </r>
    <r>
      <rPr>
        <sz val="10"/>
        <rFont val="Arial"/>
        <family val="2"/>
      </rPr>
      <t xml:space="preserve"> on line 30.</t>
    </r>
  </si>
  <si>
    <r>
      <t>Total expenses</t>
    </r>
    <r>
      <rPr>
        <sz val="9"/>
        <rFont val="Arial"/>
        <family val="2"/>
      </rPr>
      <t xml:space="preserve"> before expenses for business use of home.  Add lines 8 through 27a</t>
    </r>
  </si>
  <si>
    <t>Tentative profit (loss).  Subtract line 28 from line 7</t>
  </si>
  <si>
    <t xml:space="preserve"> .   .   .   .   .   .   .   .   .   .   .   .   .   .   .   .   .  </t>
  </si>
  <si>
    <t xml:space="preserve">.   .   .   .   .   .   .   .   .   .   .   .   .   .   .   .   .   .   .   .   .   .   .   .   .   .   .   .   .   .   .  </t>
  </si>
  <si>
    <r>
      <t xml:space="preserve">• If a profit, enter on both </t>
    </r>
    <r>
      <rPr>
        <b/>
        <sz val="9"/>
        <rFont val="Arial"/>
        <family val="2"/>
      </rPr>
      <t>Form 1040, line 12</t>
    </r>
    <r>
      <rPr>
        <sz val="9"/>
        <rFont val="Arial"/>
        <family val="2"/>
      </rPr>
      <t xml:space="preserve"> (or </t>
    </r>
    <r>
      <rPr>
        <b/>
        <sz val="9"/>
        <rFont val="Arial"/>
        <family val="2"/>
      </rPr>
      <t>Form 1040NR, line 13</t>
    </r>
    <r>
      <rPr>
        <sz val="9"/>
        <rFont val="Arial"/>
        <family val="2"/>
      </rPr>
      <t xml:space="preserve">) and on </t>
    </r>
    <r>
      <rPr>
        <b/>
        <sz val="9"/>
        <rFont val="Arial"/>
        <family val="2"/>
      </rPr>
      <t>Schedule SE, line 2</t>
    </r>
    <r>
      <rPr>
        <sz val="9"/>
        <rFont val="Arial"/>
        <family val="2"/>
      </rPr>
      <t>.</t>
    </r>
  </si>
  <si>
    <r>
      <t xml:space="preserve">(If you checked the box on line 1, see instructions). Estates and trusts, enter on </t>
    </r>
    <r>
      <rPr>
        <b/>
        <sz val="9"/>
        <rFont val="Arial"/>
        <family val="2"/>
      </rPr>
      <t>Form 1041, line 3</t>
    </r>
    <r>
      <rPr>
        <sz val="9"/>
        <rFont val="Arial"/>
        <family val="2"/>
      </rPr>
      <t>.</t>
    </r>
  </si>
  <si>
    <r>
      <t xml:space="preserve">• If you checked 32a, enter the loss on both </t>
    </r>
    <r>
      <rPr>
        <b/>
        <sz val="9"/>
        <rFont val="Arial"/>
        <family val="2"/>
      </rPr>
      <t>Form 1040, line 12</t>
    </r>
    <r>
      <rPr>
        <sz val="9"/>
        <rFont val="Arial"/>
        <family val="2"/>
      </rPr>
      <t xml:space="preserve">, (or </t>
    </r>
    <r>
      <rPr>
        <b/>
        <sz val="9"/>
        <rFont val="Arial"/>
        <family val="2"/>
      </rPr>
      <t>Form 1040NR, line 13</t>
    </r>
    <r>
      <rPr>
        <sz val="9"/>
        <rFont val="Arial"/>
        <family val="2"/>
      </rPr>
      <t>) and</t>
    </r>
  </si>
  <si>
    <r>
      <t>on</t>
    </r>
    <r>
      <rPr>
        <b/>
        <sz val="9"/>
        <rFont val="Arial"/>
        <family val="2"/>
      </rPr>
      <t xml:space="preserve"> Schedule SE, line 2</t>
    </r>
    <r>
      <rPr>
        <sz val="9"/>
        <rFont val="Arial"/>
        <family val="2"/>
      </rPr>
      <t>.  (If you checked the box on line 1, see the line 31 instructions). Estates and</t>
    </r>
  </si>
  <si>
    <r>
      <t xml:space="preserve">• If you checked 32b, you </t>
    </r>
    <r>
      <rPr>
        <b/>
        <sz val="9"/>
        <rFont val="Arial"/>
        <family val="2"/>
      </rPr>
      <t>must</t>
    </r>
    <r>
      <rPr>
        <sz val="9"/>
        <rFont val="Arial"/>
        <family val="2"/>
      </rPr>
      <t xml:space="preserve"> attach </t>
    </r>
    <r>
      <rPr>
        <b/>
        <sz val="9"/>
        <rFont val="Arial"/>
        <family val="2"/>
      </rPr>
      <t>Form 6198</t>
    </r>
    <r>
      <rPr>
        <sz val="9"/>
        <rFont val="Arial"/>
        <family val="2"/>
      </rPr>
      <t>. Your loss may be limited.</t>
    </r>
  </si>
  <si>
    <r>
      <t xml:space="preserve">• If a loss, you </t>
    </r>
    <r>
      <rPr>
        <b/>
        <sz val="9"/>
        <rFont val="Arial"/>
        <family val="2"/>
      </rPr>
      <t>must</t>
    </r>
    <r>
      <rPr>
        <sz val="9"/>
        <rFont val="Arial"/>
        <family val="2"/>
      </rPr>
      <t xml:space="preserve"> go to line 32.</t>
    </r>
  </si>
  <si>
    <r>
      <t>Schedule C</t>
    </r>
    <r>
      <rPr>
        <sz val="9"/>
        <rFont val="Arial"/>
        <family val="2"/>
      </rPr>
      <t xml:space="preserve"> or </t>
    </r>
    <r>
      <rPr>
        <b/>
        <sz val="9"/>
        <rFont val="Arial"/>
        <family val="2"/>
      </rPr>
      <t>C-EZ</t>
    </r>
    <r>
      <rPr>
        <sz val="9"/>
        <rFont val="Arial"/>
        <family val="2"/>
      </rPr>
      <t xml:space="preserve"> (see instructions). If you are an individual, report farm rental income or loss from </t>
    </r>
    <r>
      <rPr>
        <b/>
        <sz val="9"/>
        <rFont val="Arial"/>
        <family val="2"/>
      </rPr>
      <t>Form 4835</t>
    </r>
    <r>
      <rPr>
        <sz val="9"/>
        <rFont val="Arial"/>
        <family val="2"/>
      </rPr>
      <t xml:space="preserve"> on page 2, line 40.</t>
    </r>
  </si>
  <si>
    <r>
      <t xml:space="preserve">Deductible rental real estate loss after limitation, if any, 
on </t>
    </r>
    <r>
      <rPr>
        <b/>
        <sz val="9"/>
        <rFont val="Arial"/>
        <family val="2"/>
      </rPr>
      <t>Form 8582</t>
    </r>
    <r>
      <rPr>
        <sz val="9"/>
        <rFont val="Arial"/>
        <family val="2"/>
      </rPr>
      <t xml:space="preserve"> (see instructions) </t>
    </r>
    <r>
      <rPr>
        <b/>
        <sz val="9"/>
        <rFont val="Arial"/>
        <family val="2"/>
      </rPr>
      <t xml:space="preserve"> .   .   .   .   .   .   .   .   .   .   .   .</t>
    </r>
  </si>
  <si>
    <t>For Paperwork Reduction Act Notice, see the separate instructions.</t>
  </si>
  <si>
    <t>Are you reporting any loss not allowed in a prior year due to the at-risk, excess farm loss, or basis limitations, a prior year</t>
  </si>
  <si>
    <t>unallowed loss from a passive activity (if that loss was not reported on Form 8582), or unreimbursed partnership expenses? If</t>
  </si>
  <si>
    <t>you answered “Yes,” see instructions before completing this section.</t>
  </si>
  <si>
    <r>
      <rPr>
        <b/>
        <sz val="8"/>
        <rFont val="Arial"/>
        <family val="2"/>
      </rPr>
      <t>(i)</t>
    </r>
    <r>
      <rPr>
        <sz val="8"/>
        <rFont val="Arial"/>
        <family val="2"/>
      </rPr>
      <t xml:space="preserve"> Section 179 expense deduction from </t>
    </r>
    <r>
      <rPr>
        <b/>
        <sz val="8"/>
        <rFont val="Arial"/>
        <family val="2"/>
      </rPr>
      <t>Form 4552</t>
    </r>
  </si>
  <si>
    <r>
      <t>V; and Schedule K-1 (Form 1041), line 14, code F (see instructions)</t>
    </r>
    <r>
      <rPr>
        <b/>
        <sz val="10"/>
        <rFont val="Arial"/>
        <family val="2"/>
      </rPr>
      <t xml:space="preserve"> .   .   .   .   .   .   .   .</t>
    </r>
  </si>
  <si>
    <r>
      <t xml:space="preserve"> </t>
    </r>
    <r>
      <rPr>
        <b/>
        <sz val="7"/>
        <rFont val="Marlett"/>
        <charset val="2"/>
      </rPr>
      <t>4</t>
    </r>
    <r>
      <rPr>
        <b/>
        <sz val="7"/>
        <rFont val="Arial"/>
        <family val="2"/>
      </rPr>
      <t xml:space="preserve"> Information about Schedule B and its instructions is at </t>
    </r>
    <r>
      <rPr>
        <b/>
        <i/>
        <sz val="7"/>
        <rFont val="Arial"/>
        <family val="2"/>
      </rPr>
      <t>www.irs.gov/scheduleb</t>
    </r>
    <r>
      <rPr>
        <b/>
        <sz val="7"/>
        <rFont val="Arial"/>
        <family val="2"/>
      </rPr>
      <t>.</t>
    </r>
  </si>
  <si>
    <t>Accounts (FBAR), to report that financial interest or signature authority? See FinCEN Form 114</t>
  </si>
  <si>
    <t>and its instructions for filing requirements and exceptions to those requirements</t>
  </si>
  <si>
    <t xml:space="preserve">.   .   .   .   .   .   .   .   .   .   .   .   </t>
  </si>
  <si>
    <t>1 year or less</t>
  </si>
  <si>
    <t>Before you check Box D, E, or F below, see whether you received any Form(s) 1099-B or substitute statement(s) from your broker. A substitute 
statement will have the same information as Form 1099-B. Either may show your basis (usually your cost) even if your broker did not report it to the IRS. 
Brokers must report basis to the IRS for most stock you bought in 2011 or later (and for certain debt instruments you bought in 2014 or later).</t>
  </si>
  <si>
    <t>more than 1 year</t>
  </si>
  <si>
    <t>File with your Schedule D to list your transactions for lines 1b, 2, 3, 8b, 9, and 10 of Schedule D.</t>
  </si>
  <si>
    <r>
      <t xml:space="preserve">Information about Form 8949 and its separate instructions is at </t>
    </r>
    <r>
      <rPr>
        <b/>
        <i/>
        <sz val="8"/>
        <rFont val="Arial"/>
        <family val="2"/>
      </rPr>
      <t>www.irs.gov/form8949</t>
    </r>
    <r>
      <rPr>
        <b/>
        <sz val="8"/>
        <rFont val="Arial"/>
        <family val="2"/>
      </rPr>
      <t>.</t>
    </r>
  </si>
  <si>
    <t xml:space="preserve">.   .   .   .   .   .   .   .   .   .   .   .   .   .   .   .   .   .   .   .   </t>
  </si>
  <si>
    <t xml:space="preserve">.   .   .   .   .   .   .   .   .   .   .   .   .   .   .   .   .   .   .   .   .   .   .   .   .   .   .   .   .   .   .   .   .   </t>
  </si>
  <si>
    <t xml:space="preserve">.   .   .   .   .   .   .   .   .   .   .   .   .   .   .   .   .   .   </t>
  </si>
  <si>
    <t>.   .   .   .   .   .   .   .   .   .   .   .   .   .   .   .   .   .   .   .   .   .   .   .   .   .   .   .   .   .   .</t>
  </si>
  <si>
    <t>Subtract line 29 from line 28. If more than zero, go to line 31. If zero or less, enter -0- here and on lines 31, 33,</t>
  </si>
  <si>
    <t>and 35 and go to line 34</t>
  </si>
  <si>
    <t>refigure that tax without using Schedule J before completing this line (see instructions)</t>
  </si>
  <si>
    <t>Add Form 1040, line 44 (minus any tax from Form 4972), and Form 1040, line 46. Subtract from the result any</t>
  </si>
  <si>
    <t>foreign tax credit from Form 1040, line 48. If you used Schedule J to figure your tax on Form 1040, line 44,</t>
  </si>
  <si>
    <r>
      <t xml:space="preserve">AMT. </t>
    </r>
    <r>
      <rPr>
        <sz val="9"/>
        <rFont val="Arial"/>
        <family val="2"/>
      </rPr>
      <t>Subtract line 34 from line 33. If zero or less, enter -0-.  Enter here and on Form 1040, Line 45.</t>
    </r>
  </si>
  <si>
    <t>If you are filing Form 2555 or 2555-EZ, see instructions for the amount to enter</t>
  </si>
  <si>
    <t>Enter the amount from line 6 of the Qualified Dividends and Capital Gain Tax Worksheet in the instructions</t>
  </si>
  <si>
    <t>for Form 1040, line 44, or the amount from line 13 of the Schedule D Tax Worksheet in the instructions for</t>
  </si>
  <si>
    <t>Schedule D (Form 1040), whichever applies (as refigured for the AMT, if necessary) (see instructions). If</t>
  </si>
  <si>
    <t>you are filing Form 2555 or 2555-EZ, see instructions for the amount to enter</t>
  </si>
  <si>
    <t>Enter the amount from Schedule D (Form 1040), line 19 (as refigured for the AMT, if necessary)(see instructions)</t>
  </si>
  <si>
    <t>If you did not complete a Schedule D Tax Worksheet for the regular tax or the AMT, enter the amount</t>
  </si>
  <si>
    <t>from line 37. Otherwise, add lines 37 and 38, and enter the smaller of that result or the amount from line</t>
  </si>
  <si>
    <t>10 of the Schedule D Tax Worksheet (as refigured for the AMT, if necessary). If you are filing Form 2555 or</t>
  </si>
  <si>
    <t>Enter the amount from line 7 of the Qualified Dividends and Capital Gain Tax Worksheet in the instructions</t>
  </si>
  <si>
    <t>for Form 1040, line 44, or the amount from line 14 of the Schedule D Tax Worksheet in the instructions for</t>
  </si>
  <si>
    <t>Schedule D (Form 1040), whichever applies (as figured for the regular tax). If you did not complete either</t>
  </si>
  <si>
    <t>worksheet for the regular tax, enter the amount from Form 1040, line 43; if zero or less, enter -0-. If you</t>
  </si>
  <si>
    <t>are filing Form 2555 or 2555-EZ, see instructions for the amount to enter</t>
  </si>
  <si>
    <t>for Form 1040, line 44, or the amount from line 19 of the Schedule D Tax Worksheet, whichever applies</t>
  </si>
  <si>
    <t>(as figured for the regular tax). If you did not complete either worksheet for the regular tax, enter the</t>
  </si>
  <si>
    <t>amount from Form 1040, line 43; if zero or less, enter -0-. If you are filing Form 2555 or Form 2555-EZ,</t>
  </si>
  <si>
    <t>see instructions for the amount to enter</t>
  </si>
  <si>
    <t xml:space="preserve">.   .   .   .   .   .   .   .   .   .   .   .   .   .   .   .   .   .   .   .   .   .   .   .   . </t>
  </si>
  <si>
    <t>IRS Use Only—Do not write or staple in this space.</t>
  </si>
  <si>
    <t>Department of the Treasury––Internal Revenue Service      (99)</t>
  </si>
  <si>
    <t xml:space="preserve"> (see instructions)</t>
  </si>
  <si>
    <r>
      <t xml:space="preserve">People who check any box on line 39a or 39b </t>
    </r>
    <r>
      <rPr>
        <b/>
        <sz val="8"/>
        <rFont val="Arial"/>
        <family val="2"/>
      </rPr>
      <t>or</t>
    </r>
    <r>
      <rPr>
        <sz val="8"/>
        <rFont val="Arial"/>
        <family val="2"/>
      </rPr>
      <t xml:space="preserve"> 
who can be claimed as a dependent, 
see instructions.</t>
    </r>
  </si>
  <si>
    <t>Excess advance premium tax credit repayment. Attach Form 8962</t>
  </si>
  <si>
    <t xml:space="preserve">.   .   .   .   .   .   .   .   .   .   .   .   .   .   .  </t>
  </si>
  <si>
    <t xml:space="preserve">.   .   .   .   .   .   .   .   .   .   .   .   .   .   .   .   .   .   .   .   .   .   .   .   .   .   .   .   .   .   .   .  </t>
  </si>
  <si>
    <r>
      <t xml:space="preserve">Other credits from Form:   </t>
    </r>
    <r>
      <rPr>
        <b/>
        <sz val="9"/>
        <rFont val="Arial"/>
        <family val="2"/>
      </rPr>
      <t>a</t>
    </r>
  </si>
  <si>
    <t>Health care: individual responsibility (see instructions)</t>
  </si>
  <si>
    <t>Full-year coverage</t>
  </si>
  <si>
    <t>Additional child tax credit.  Attach form 8812</t>
  </si>
  <si>
    <t>Net premium tax credit. Attach Form 8962</t>
  </si>
  <si>
    <t>www.irs.gov/form1040</t>
  </si>
  <si>
    <t>If filing Form 4952 (used to figure investment</t>
  </si>
  <si>
    <t>interest expense deduction), enter any amount from</t>
  </si>
  <si>
    <r>
      <t xml:space="preserve">line 4g of that form. Otherwise, enter -0- </t>
    </r>
    <r>
      <rPr>
        <b/>
        <sz val="9"/>
        <rFont val="Arial"/>
        <family val="2"/>
      </rPr>
      <t>.    .    .    .    .    .    .    .</t>
    </r>
  </si>
  <si>
    <r>
      <t xml:space="preserve">as nondeductible contributions.   </t>
    </r>
    <r>
      <rPr>
        <b/>
        <i/>
        <sz val="10"/>
        <rFont val="Arial"/>
        <family val="2"/>
      </rPr>
      <t>Do not</t>
    </r>
    <r>
      <rPr>
        <i/>
        <sz val="10"/>
        <rFont val="Arial"/>
        <family val="2"/>
      </rPr>
      <t xml:space="preserve"> complete this worksheet for anyone age 70½ or older at the end of</t>
    </r>
  </si>
  <si>
    <t>Be sure you have read the 11-item list in the instructions for this line. You may not be able to use this worksheet.</t>
  </si>
  <si>
    <r>
      <t xml:space="preserve">Retirement </t>
    </r>
    <r>
      <rPr>
        <i/>
        <sz val="10"/>
        <rFont val="Arial"/>
        <family val="2"/>
      </rPr>
      <t>Plan?</t>
    </r>
    <r>
      <rPr>
        <sz val="10"/>
        <rFont val="Arial"/>
        <family val="2"/>
      </rPr>
      <t>)?</t>
    </r>
  </si>
  <si>
    <t xml:space="preserve">.   .   .   .   .   .   .   .   .   .   .   .   .   .   .   .   .   .   .   .   .   .   .   .   .   .   </t>
  </si>
  <si>
    <r>
      <t xml:space="preserve">   year, you may be able to reduce the taxable amount. See </t>
    </r>
    <r>
      <rPr>
        <sz val="10"/>
        <rFont val="Arial"/>
        <family val="2"/>
      </rPr>
      <t>Lump-Sum Election</t>
    </r>
    <r>
      <rPr>
        <i/>
        <sz val="10"/>
        <rFont val="Arial"/>
        <family val="2"/>
      </rPr>
      <t xml:space="preserve"> in Pub. 915 for details.</t>
    </r>
  </si>
  <si>
    <t>Figure the amount of any credits you are claiming on Form 5695, Part II, line 30;</t>
  </si>
  <si>
    <t xml:space="preserve">  You cannot take the child tax credit on Form 1040, line 52,</t>
  </si>
  <si>
    <t xml:space="preserve">  Form 1040A, line 35, or Form 1040NR, line 49. You also cannot take</t>
  </si>
  <si>
    <t xml:space="preserve">  the additional child tax credit on Form 1040, line 67, Form 1040A,</t>
  </si>
  <si>
    <t xml:space="preserve">  line 43, or Form 1040NR, line 64. Complete the rest of your</t>
  </si>
  <si>
    <t>Enter the amount from Form 1040, line 47, Form 1040A, line 30, or</t>
  </si>
  <si>
    <t>Form 1040NR, line 45.</t>
  </si>
  <si>
    <t>Line 51</t>
  </si>
  <si>
    <t>Line 33</t>
  </si>
  <si>
    <t>Line 34</t>
  </si>
  <si>
    <t xml:space="preserve">  Form 1040, line 67, Form 1040A, line 43, or Form 1040NR,</t>
  </si>
  <si>
    <t xml:space="preserve">  line 64 only if you answered “Yes” on line 13.</t>
  </si>
  <si>
    <t>First, complete your Form 1040 through line 66a (also</t>
  </si>
  <si>
    <t>complete line 71), Form 1040A through line 42a, or Form</t>
  </si>
  <si>
    <t>1040NR through line 63 (also complete line 67).</t>
  </si>
  <si>
    <t>ü</t>
  </si>
  <si>
    <r>
      <rPr>
        <b/>
        <sz val="10"/>
        <rFont val="Arial"/>
        <family val="2"/>
      </rPr>
      <t>1040  filers.</t>
    </r>
    <r>
      <rPr>
        <sz val="10"/>
        <rFont val="Arial"/>
        <family val="2"/>
      </rPr>
      <t xml:space="preserve"> Complete lines 58, 66a, and 71 of your return if they apply to you.</t>
    </r>
  </si>
  <si>
    <t>If line 4 above is zero, enter the amount from line 1 above on line 12 of this worksheet.</t>
  </si>
  <si>
    <t>the Child Tax Credit Worksheet and do the following. Enter the amount</t>
  </si>
  <si>
    <t>Do not complete the rest of this worksheet. Instead, go back to</t>
  </si>
  <si>
    <t>from line 10 on line 11, and complete lines 12 and 13.</t>
  </si>
  <si>
    <t>If line 4 above is more than zero, leave lines 6 through 9 blank, enter -0-</t>
  </si>
  <si>
    <t>on line 10, and go to line 11.</t>
  </si>
  <si>
    <t>Amounts from Form 1040, lines 27 and 58, and</t>
  </si>
  <si>
    <t>Form 1040, lines 66a and 71.</t>
  </si>
  <si>
    <r>
      <rPr>
        <b/>
        <sz val="10"/>
        <rFont val="Arial"/>
        <family val="2"/>
      </rPr>
      <t xml:space="preserve">1040  filers. </t>
    </r>
    <r>
      <rPr>
        <sz val="10"/>
        <rFont val="Arial"/>
        <family val="2"/>
      </rPr>
      <t xml:space="preserve"> Enter the total of the amounts from</t>
    </r>
  </si>
  <si>
    <t>Enter as a positive number the total of:</t>
  </si>
  <si>
    <t>Any section 1202 exclusion you reported in column (g) of Form 8949,</t>
  </si>
  <si>
    <t>Part II, with code “Q” in column (f), for which you excluded 50% of the gain;</t>
  </si>
  <si>
    <t>2/3 of any section 1202 exclusion you reported in column (g) of Form</t>
  </si>
  <si>
    <t>8949, Part II, with code “Q” in column (f), for which you excluded 60% of the gain; and</t>
  </si>
  <si>
    <t>1/3 of any section 1202 exclusion you reported in column (g) of Form</t>
  </si>
  <si>
    <t>8949, Part II, with code “Q” in column (f), for which you excluded 75% of the gain.</t>
  </si>
  <si>
    <r>
      <t>than zero); Form 6252; Form 6781, Part II; and Form 8824</t>
    </r>
    <r>
      <rPr>
        <b/>
        <sz val="9"/>
        <rFont val="Arial"/>
        <family val="2"/>
      </rPr>
      <t xml:space="preserve">.   .   .   .   .   .   .   .   .   .   .   .   .   .   .   .   .   .   .   .   .   .   .   .   .   </t>
    </r>
  </si>
  <si>
    <t>Enter the total of all collectibles gain or (loss) from Form 4684, line 4 (but only if Form 4684, line 15, is more</t>
  </si>
  <si>
    <r>
      <t xml:space="preserve">Enter the home mortgage interest adjustment, if any, from line 6 of the worksheet in the instructions for this line   </t>
    </r>
    <r>
      <rPr>
        <b/>
        <sz val="10"/>
        <rFont val="Arial"/>
        <family val="2"/>
      </rPr>
      <t>.   .   .   .</t>
    </r>
  </si>
  <si>
    <t>Add line 50 and line 51</t>
  </si>
  <si>
    <t>Subtract line 52 from line 49. If zero or less, enter -0-</t>
  </si>
  <si>
    <t>Enter the smaller of line 48 or line 53</t>
  </si>
  <si>
    <t>Add lines 47 and 54</t>
  </si>
  <si>
    <t>If lines 56 and 36 are the same, skip lines 57 through 61 and go to line 62. Otherwise, go to line 57.</t>
  </si>
  <si>
    <t>Subtract line 56 from line 46</t>
  </si>
  <si>
    <t>If line 38 is zero or blank, skip lines 59 through 61 and go to line 62. Otherwise, go to line 59.</t>
  </si>
  <si>
    <t>Add lines 41, 56, and 57</t>
  </si>
  <si>
    <t>Subtract line 59 from line 36</t>
  </si>
  <si>
    <t>Add lines 42, 55, 58, and 61</t>
  </si>
  <si>
    <r>
      <t xml:space="preserve">Enter the </t>
    </r>
    <r>
      <rPr>
        <b/>
        <sz val="9"/>
        <rFont val="Arial"/>
        <family val="2"/>
      </rPr>
      <t>smaller</t>
    </r>
    <r>
      <rPr>
        <sz val="9"/>
        <rFont val="Arial"/>
        <family val="2"/>
      </rPr>
      <t xml:space="preserve"> of line 62 or line 63 here and on line 31. If you are filing Form 2555 or 2555-EZ, do not</t>
    </r>
  </si>
  <si>
    <r>
      <t xml:space="preserve">Enter the </t>
    </r>
    <r>
      <rPr>
        <b/>
        <sz val="9"/>
        <rFont val="Arial"/>
        <family val="2"/>
      </rPr>
      <t>smaller</t>
    </r>
    <r>
      <rPr>
        <sz val="9"/>
        <rFont val="Arial"/>
        <family val="2"/>
      </rPr>
      <t xml:space="preserve"> of line 45 or line 46. This amount is taxed at 0%</t>
    </r>
  </si>
  <si>
    <t xml:space="preserve">  .   .   .   .   .   .   .   .   .   .   .   .   .   .   .   .   .   .   .   .   .   .</t>
  </si>
  <si>
    <t xml:space="preserve">  .   .   .   .   .   .   .   .   .   .   .   .   .   .   .   .   .   .   .   .   .   .   .   .   .</t>
  </si>
  <si>
    <t>Worksheet To See if You Should Fill in Form 6251—Line 45</t>
  </si>
  <si>
    <t>Are you filing Schedule A?</t>
  </si>
  <si>
    <t>Skip lines 1 through 3; enter on line 4 the amount from Form 1040, line 38, and go to line 5</t>
  </si>
  <si>
    <t>Enter the amount from Form 1040, line 41</t>
  </si>
  <si>
    <t>Enter the total of the amounts from Schedule A, lines 9 and 27</t>
  </si>
  <si>
    <t>Enter any tax refund from Form 1040, lines 10 and 21</t>
  </si>
  <si>
    <t>If you completed the Itemized Deductions Worksheet in the Instructions for Schedule A, enter the amount from</t>
  </si>
  <si>
    <t>line 9 of that worksheet</t>
  </si>
  <si>
    <t>Add lines 5 and 6</t>
  </si>
  <si>
    <t>Subtract line 7 from line 4</t>
  </si>
  <si>
    <t>Enter the amount shown below for your filing status</t>
  </si>
  <si>
    <t>Is the amount on line 8 more than the amount on line 9?</t>
  </si>
  <si>
    <t>You do not need to fill in Form 6251. Do not complete the rest of this worksheet.</t>
  </si>
  <si>
    <t>Subtract line 9 from line 8</t>
  </si>
  <si>
    <t>Is the amount on line 8 more than the amount on line 11?</t>
  </si>
  <si>
    <t>Enter -0-. Skip line 13. Enter on line 14 the amount from line 10, and go to line 15.</t>
  </si>
  <si>
    <t>Subtract line 11 from line 8</t>
  </si>
  <si>
    <t>Add lines 10 and 13</t>
  </si>
  <si>
    <t>Fill in Form 6251 to see if you owe the alternative minimum tax.</t>
  </si>
  <si>
    <t>Add Form 1040, line 44 (minus any tax from Form 4972), and Form 1040, line 46. (If you used Schedule J to figure</t>
  </si>
  <si>
    <t>your tax on Form 1040, line 44, refigure that tax without using Schedule J before including it in this</t>
  </si>
  <si>
    <t>calculation)</t>
  </si>
  <si>
    <t>Next. Is the amount on line 15 more than the amount on line 16?</t>
  </si>
  <si>
    <t>You do not owe alternative minimum tax and do not need to fill out Form 6251. Leave line 45 blank.</t>
  </si>
  <si>
    <t>Form 6251 instead of using this worksheet.</t>
  </si>
  <si>
    <t xml:space="preserve">If you or your spouse was age 65 or older, enter the smaller of the amount on Schedule A, line 4, or </t>
  </si>
  <si>
    <r>
      <t xml:space="preserve">Portion of Line 21 attributed to tax refund  </t>
    </r>
    <r>
      <rPr>
        <b/>
        <sz val="10"/>
        <rFont val="Arial"/>
        <family val="2"/>
      </rPr>
      <t>↑</t>
    </r>
  </si>
  <si>
    <r>
      <t xml:space="preserve">Tax from Form 4972  </t>
    </r>
    <r>
      <rPr>
        <b/>
        <sz val="10"/>
        <rFont val="Arial"/>
        <family val="2"/>
      </rPr>
      <t>↑</t>
    </r>
  </si>
  <si>
    <t xml:space="preserve">Does Form 6251 need to be completed?    →  </t>
  </si>
  <si>
    <r>
      <rPr>
        <sz val="8"/>
        <rFont val="Arial"/>
        <family val="2"/>
      </rPr>
      <t xml:space="preserve">3800       </t>
    </r>
    <r>
      <rPr>
        <b/>
        <sz val="8"/>
        <rFont val="Arial"/>
        <family val="2"/>
      </rPr>
      <t>b</t>
    </r>
  </si>
  <si>
    <r>
      <t xml:space="preserve">  </t>
    </r>
    <r>
      <rPr>
        <b/>
        <sz val="9"/>
        <rFont val="Marlett"/>
        <charset val="2"/>
      </rPr>
      <t>4</t>
    </r>
    <r>
      <rPr>
        <b/>
        <sz val="9"/>
        <rFont val="Arial"/>
        <family val="2"/>
      </rPr>
      <t xml:space="preserve">  Information about Form 8959 and its instructions is at </t>
    </r>
    <r>
      <rPr>
        <b/>
        <i/>
        <sz val="9"/>
        <rFont val="Arial"/>
        <family val="2"/>
      </rPr>
      <t>www.irs.gov/form8959</t>
    </r>
    <r>
      <rPr>
        <b/>
        <sz val="9"/>
        <rFont val="Arial"/>
        <family val="2"/>
      </rPr>
      <t>.</t>
    </r>
  </si>
  <si>
    <t>Add lines 7, 13, and 17. Also include this amount on Form 1040, line 62, (Form 1040NR,</t>
  </si>
  <si>
    <t>amount with federal income tax withholding on Form 1040, line 64 (Form 1040NR, 1040-PR,</t>
  </si>
  <si>
    <t>Section 6013(h) election (see instructions)</t>
  </si>
  <si>
    <t>Name(s) shown on your tax return</t>
  </si>
  <si>
    <t>Taxable interest (see instructions)</t>
  </si>
  <si>
    <t>Ordinary dividends (see instructions)</t>
  </si>
  <si>
    <t>Annuities (see instructions)</t>
  </si>
  <si>
    <t xml:space="preserve">.   .   .   .   .   .   .   .   .   .   .   .   .   .   .   .   .   .   .   .   .   .   .   .   .   .   .   . </t>
  </si>
  <si>
    <t>etc. (see instructions)</t>
  </si>
  <si>
    <t>Net gain or loss from disposition of property (see instructions)</t>
  </si>
  <si>
    <t>stock (see instructions)</t>
  </si>
  <si>
    <r>
      <rPr>
        <b/>
        <sz val="9"/>
        <rFont val="Arial"/>
        <family val="2"/>
      </rPr>
      <t>Enter here and include on your tax return</t>
    </r>
    <r>
      <rPr>
        <sz val="9"/>
        <rFont val="Arial"/>
        <family val="2"/>
      </rPr>
      <t xml:space="preserve"> (see instructions)</t>
    </r>
  </si>
  <si>
    <r>
      <t xml:space="preserve">  *</t>
    </r>
    <r>
      <rPr>
        <b/>
        <i/>
        <sz val="9"/>
        <rFont val="Arial"/>
        <family val="2"/>
      </rPr>
      <t>Earned income</t>
    </r>
    <r>
      <rPr>
        <i/>
        <sz val="9"/>
        <rFont val="Arial"/>
        <family val="2"/>
      </rPr>
      <t xml:space="preserve"> includes wages, salaries, tips, professional fees, and other compensation received for personal services you performed. It</t>
    </r>
  </si>
  <si>
    <t xml:space="preserve">    also includes any taxable scholarship or fellowship grant. Generally, your earned income is the total of the amount(s) you reported on Form</t>
  </si>
  <si>
    <t xml:space="preserve">   1040, lines 7, 12, and 18, minus the amount, if any, on line 27.</t>
  </si>
  <si>
    <t>Form 1040, line 52,</t>
  </si>
  <si>
    <t>Adjusted Gross Income</t>
  </si>
  <si>
    <t>Total Tax</t>
  </si>
  <si>
    <t>Form 1040, Line 37</t>
  </si>
  <si>
    <t>Form 1040, Line 43</t>
  </si>
  <si>
    <t>Total Payments/Credits</t>
  </si>
  <si>
    <t>Form 1040, Line 63</t>
  </si>
  <si>
    <t>Form 1040, Line 74</t>
  </si>
  <si>
    <t>SUMMARY</t>
  </si>
  <si>
    <t>Effective Tax Rate</t>
  </si>
  <si>
    <t>Total Tax / Taxable Income x 100</t>
  </si>
  <si>
    <r>
      <t xml:space="preserve">(4)       </t>
    </r>
    <r>
      <rPr>
        <sz val="8"/>
        <rFont val="Arial"/>
        <family val="2"/>
      </rPr>
      <t xml:space="preserve"> </t>
    </r>
    <r>
      <rPr>
        <sz val="7"/>
        <rFont val="Arial"/>
        <family val="2"/>
      </rPr>
      <t>if child under age 17</t>
    </r>
  </si>
  <si>
    <t>Single Family Residence</t>
  </si>
  <si>
    <t>Multi-Family Residence</t>
  </si>
  <si>
    <t>Commercial</t>
  </si>
  <si>
    <t>Land</t>
  </si>
  <si>
    <t>Royalties</t>
  </si>
  <si>
    <t>Self-Rental</t>
  </si>
  <si>
    <t>8962</t>
  </si>
  <si>
    <t>Attach to Form 1040, 1040A, or 1040NR.</t>
  </si>
  <si>
    <t>Premium Tax Credit (PTC)</t>
  </si>
  <si>
    <t>Name shown on your return</t>
  </si>
  <si>
    <t>Family Size: Enter the number of exemptions from Form 1040 or Form 1040A, line 6d, or Form 1040NR, line 7d</t>
  </si>
  <si>
    <t>Modified AGI: Enter your modified</t>
  </si>
  <si>
    <t>AGI (see instructions)</t>
  </si>
  <si>
    <t>Enter total of your dependents' modified</t>
  </si>
  <si>
    <t>Alaska</t>
  </si>
  <si>
    <t>Hawaii</t>
  </si>
  <si>
    <t>Other 48 states and DC</t>
  </si>
  <si>
    <t>Applicable Figure: Using your line 5 percentage, locate your “applicable figure” on the table in the instructions</t>
  </si>
  <si>
    <t>and continue to line 24.</t>
  </si>
  <si>
    <t>your monthly PTC and continue to line 24.</t>
  </si>
  <si>
    <t>Annual
Calculation</t>
  </si>
  <si>
    <t>Monthly
Calculation</t>
  </si>
  <si>
    <t>Annual totals</t>
  </si>
  <si>
    <t>January</t>
  </si>
  <si>
    <t>February</t>
  </si>
  <si>
    <t>March</t>
  </si>
  <si>
    <t>April</t>
  </si>
  <si>
    <t>16</t>
  </si>
  <si>
    <t>May</t>
  </si>
  <si>
    <t>17</t>
  </si>
  <si>
    <t>June</t>
  </si>
  <si>
    <t>18</t>
  </si>
  <si>
    <t>July</t>
  </si>
  <si>
    <t>19</t>
  </si>
  <si>
    <t>August</t>
  </si>
  <si>
    <t>20</t>
  </si>
  <si>
    <t>September</t>
  </si>
  <si>
    <t>21</t>
  </si>
  <si>
    <t>October</t>
  </si>
  <si>
    <t>22</t>
  </si>
  <si>
    <t>November</t>
  </si>
  <si>
    <t>23</t>
  </si>
  <si>
    <t>December</t>
  </si>
  <si>
    <t>24</t>
  </si>
  <si>
    <t>25</t>
  </si>
  <si>
    <t>26</t>
  </si>
  <si>
    <t>28</t>
  </si>
  <si>
    <t>29</t>
  </si>
  <si>
    <t>Excess Advance Premium Tax Credit Repayment: Enter the smaller of line 27 or line 28 here and on Form 1040,</t>
  </si>
  <si>
    <t>line 46; Form 1040A, line 29; or Form 1040NR, line 44</t>
  </si>
  <si>
    <t>Cat. No. 37784Z</t>
  </si>
  <si>
    <r>
      <rPr>
        <sz val="8"/>
        <rFont val="Arial"/>
        <family val="2"/>
      </rPr>
      <t xml:space="preserve">Form </t>
    </r>
    <r>
      <rPr>
        <b/>
        <sz val="12"/>
        <rFont val="Arial"/>
        <family val="2"/>
      </rPr>
      <t>8962</t>
    </r>
  </si>
  <si>
    <t xml:space="preserve">Sequence No.  </t>
  </si>
  <si>
    <t>Complete the following information for up to four shared policy allocations. See instructions for allocation details.</t>
  </si>
  <si>
    <t>30</t>
  </si>
  <si>
    <t>Policy Number (Form 1095-A, line 2)</t>
  </si>
  <si>
    <t>Allocation start month</t>
  </si>
  <si>
    <t>Allocation stop month</t>
  </si>
  <si>
    <t>Allocation percentage 
applied to monthly 
amounts</t>
  </si>
  <si>
    <t>31</t>
  </si>
  <si>
    <t>32</t>
  </si>
  <si>
    <t>33</t>
  </si>
  <si>
    <t>34</t>
  </si>
  <si>
    <r>
      <t xml:space="preserve">No. </t>
    </r>
    <r>
      <rPr>
        <sz val="10"/>
        <rFont val="Arial"/>
        <family val="2"/>
      </rPr>
      <t xml:space="preserve">  See the instructions to report additional shared policy allocations.</t>
    </r>
  </si>
  <si>
    <t>Complete line(s) 35 and/or 36 to elect the alternative calculation for year of marriage. For eligibility to make the election, see the instructions for line 9.</t>
  </si>
  <si>
    <t>Alternative family size</t>
  </si>
  <si>
    <t>Alternative start month</t>
  </si>
  <si>
    <t>Alternative stop month</t>
  </si>
  <si>
    <t>Alternative entries 
for your SSN</t>
  </si>
  <si>
    <t>Alternative entries
for your spouse's 
SSN</t>
  </si>
  <si>
    <t>35</t>
  </si>
  <si>
    <t>36</t>
  </si>
  <si>
    <r>
      <rPr>
        <b/>
        <sz val="10"/>
        <color theme="0"/>
        <rFont val="Arial"/>
        <family val="2"/>
      </rPr>
      <t>Married filing separately.</t>
    </r>
    <r>
      <rPr>
        <sz val="10"/>
        <color theme="0"/>
        <rFont val="Arial"/>
        <family val="2"/>
      </rPr>
      <t xml:space="preserve"> If you do not qualify for relief from filing a joint return, you cannot take the PTC on a married filing separately return. You are not an applicable taxpayer and must repay some or all APTC. Complete lines 1 through 5 to figure your separate household income as a percentage of the Federal poverty line. Skip lines 6 through 8b and complete lines 9 and 10 (and Part 4, if applicable). When completing line 11 or lines 12 through 23, complete only column F. Then complete the rest of the form to determine how much you must repay.</t>
    </r>
  </si>
  <si>
    <t>Enter your adjusted gross income (AGI)* from Form 1040,</t>
  </si>
  <si>
    <r>
      <t xml:space="preserve">Worksheet 1-1. </t>
    </r>
    <r>
      <rPr>
        <b/>
        <sz val="10"/>
        <rFont val="Arial"/>
        <family val="2"/>
      </rPr>
      <t>Taxpayer's Modified AGI—Line 2a</t>
    </r>
  </si>
  <si>
    <t>Enter any tax-exempt interest from Form</t>
  </si>
  <si>
    <t>1040, line 8b; Form 1040A, line 8b; or</t>
  </si>
  <si>
    <t>Form 1040NR, line 9b</t>
  </si>
  <si>
    <t>line 38; Form 1040A, line 22; or Form 1040NR, line 37</t>
  </si>
  <si>
    <t>Enter any amounts from Form 2555, lines</t>
  </si>
  <si>
    <t>45 and 50, and Form 2555-EZ, line 18</t>
  </si>
  <si>
    <t>Enter the excess, if any, of Form 1040,</t>
  </si>
  <si>
    <t>lines 20a over 20b; or Form 1040A, lines</t>
  </si>
  <si>
    <t>14a over 14b</t>
  </si>
  <si>
    <r>
      <t xml:space="preserve">Worksheet 1-2. </t>
    </r>
    <r>
      <rPr>
        <b/>
        <sz val="10"/>
        <rFont val="Arial"/>
        <family val="2"/>
      </rPr>
      <t>Dependents' Combined Modified AGI—Line 2b</t>
    </r>
  </si>
  <si>
    <t>Enter the AGI for your dependents from Form 1040, line 38;</t>
  </si>
  <si>
    <t>Form 1040NR, line 37</t>
  </si>
  <si>
    <t>Enter any tax-exempt interest for your dependents</t>
  </si>
  <si>
    <t xml:space="preserve">from Form 1040, line 8b; Form 1040A, line 8b; </t>
  </si>
  <si>
    <t>Form 1040EZ, the amount written to the left of</t>
  </si>
  <si>
    <t>the line 2 entry space; and Form 1040NR, line 9b</t>
  </si>
  <si>
    <t>Enter any amounts for your dependents from</t>
  </si>
  <si>
    <t>Form 2555-EZ, line 18</t>
  </si>
  <si>
    <t xml:space="preserve">Form 2555, lines 45 and 50, and </t>
  </si>
  <si>
    <t>Enter for each of your dependents the excess,</t>
  </si>
  <si>
    <t>if any, of Form 1040, lines 20a over 20b;</t>
  </si>
  <si>
    <t>and Form 1040A, lines 14a over 14b.</t>
  </si>
  <si>
    <t>Please check one box to indicate where you live:</t>
  </si>
  <si>
    <t>Contiguous States or D.C.</t>
  </si>
  <si>
    <t>Table 5. Repayment Limitation</t>
  </si>
  <si>
    <t>All others</t>
  </si>
  <si>
    <t>27</t>
  </si>
  <si>
    <t>Line 5 &gt;=</t>
  </si>
  <si>
    <t>Line 5 &lt;</t>
  </si>
  <si>
    <t>OMB No. 1545-0068</t>
  </si>
  <si>
    <t>Child and Dependent Care Expenses</t>
  </si>
  <si>
    <t xml:space="preserve">Department of the Treasury  </t>
  </si>
  <si>
    <t xml:space="preserve">        Attachment</t>
  </si>
  <si>
    <t>Internal Revenue Service    (99)</t>
  </si>
  <si>
    <r>
      <t xml:space="preserve">Sequence No. </t>
    </r>
    <r>
      <rPr>
        <b/>
        <sz val="8"/>
        <rFont val="Arial"/>
        <family val="2"/>
      </rPr>
      <t>21</t>
    </r>
  </si>
  <si>
    <r>
      <t xml:space="preserve">   Persons or Organizations Who Provided the Care–</t>
    </r>
    <r>
      <rPr>
        <sz val="12"/>
        <rFont val="Arial"/>
        <family val="2"/>
      </rPr>
      <t xml:space="preserve">You </t>
    </r>
    <r>
      <rPr>
        <b/>
        <sz val="12"/>
        <rFont val="Arial"/>
        <family val="2"/>
      </rPr>
      <t>must</t>
    </r>
    <r>
      <rPr>
        <sz val="12"/>
        <rFont val="Arial"/>
        <family val="2"/>
      </rPr>
      <t xml:space="preserve"> complete this part.</t>
    </r>
  </si>
  <si>
    <t xml:space="preserve">          (a)</t>
  </si>
  <si>
    <t xml:space="preserve"> Care provider's</t>
  </si>
  <si>
    <r>
      <t>(b)</t>
    </r>
    <r>
      <rPr>
        <sz val="8"/>
        <rFont val="Arial"/>
        <family val="2"/>
      </rPr>
      <t xml:space="preserve"> Address</t>
    </r>
  </si>
  <si>
    <r>
      <t>(c)</t>
    </r>
    <r>
      <rPr>
        <sz val="8"/>
        <rFont val="Arial"/>
        <family val="2"/>
      </rPr>
      <t xml:space="preserve"> Identifying number</t>
    </r>
  </si>
  <si>
    <r>
      <t xml:space="preserve">        (d)</t>
    </r>
    <r>
      <rPr>
        <sz val="8"/>
        <rFont val="Arial"/>
        <family val="2"/>
      </rPr>
      <t xml:space="preserve"> Amount paid</t>
    </r>
  </si>
  <si>
    <t>name</t>
  </si>
  <si>
    <t xml:space="preserve">     (number, street, apt. no., city, state, and ZIP code)</t>
  </si>
  <si>
    <t xml:space="preserve">       (SSN or EIN)</t>
  </si>
  <si>
    <t xml:space="preserve">        (see instructions)</t>
  </si>
  <si>
    <t>Complete only Part II below.</t>
  </si>
  <si>
    <t>Did you receive</t>
  </si>
  <si>
    <t xml:space="preserve"> dependent care benefits?</t>
  </si>
  <si>
    <t>Complete Part III on the back next.</t>
  </si>
  <si>
    <t>Caution:</t>
  </si>
  <si>
    <t>Credit for Child and Dependent Care Expenses</t>
  </si>
  <si>
    <r>
      <t xml:space="preserve">Information about your </t>
    </r>
    <r>
      <rPr>
        <b/>
        <sz val="10"/>
        <rFont val="Arial"/>
        <family val="2"/>
      </rPr>
      <t>qualifying person(s).</t>
    </r>
    <r>
      <rPr>
        <sz val="10"/>
        <rFont val="Arial"/>
        <family val="2"/>
      </rPr>
      <t xml:space="preserve">  If you have more than two qualifying persons, see the instructions.</t>
    </r>
  </si>
  <si>
    <r>
      <t>(a)</t>
    </r>
    <r>
      <rPr>
        <sz val="8"/>
        <rFont val="Arial"/>
        <family val="2"/>
      </rPr>
      <t xml:space="preserve"> Qualifying person's name</t>
    </r>
  </si>
  <si>
    <r>
      <t>(c)</t>
    </r>
    <r>
      <rPr>
        <sz val="7"/>
        <rFont val="Arial"/>
        <family val="2"/>
      </rPr>
      <t xml:space="preserve"> </t>
    </r>
    <r>
      <rPr>
        <b/>
        <sz val="7"/>
        <rFont val="Arial"/>
        <family val="2"/>
      </rPr>
      <t>Qualified expenses</t>
    </r>
    <r>
      <rPr>
        <sz val="7"/>
        <rFont val="Arial"/>
        <family val="2"/>
      </rPr>
      <t xml:space="preserve"> you</t>
    </r>
  </si>
  <si>
    <r>
      <t xml:space="preserve">   </t>
    </r>
    <r>
      <rPr>
        <b/>
        <sz val="8"/>
        <rFont val="Arial"/>
        <family val="2"/>
      </rPr>
      <t>(b)</t>
    </r>
    <r>
      <rPr>
        <sz val="8"/>
        <rFont val="Arial"/>
        <family val="2"/>
      </rPr>
      <t xml:space="preserve"> Qualifying person's social</t>
    </r>
  </si>
  <si>
    <t>First</t>
  </si>
  <si>
    <t>Last</t>
  </si>
  <si>
    <t>the person listed in column (a)</t>
  </si>
  <si>
    <t>Do not</t>
  </si>
  <si>
    <r>
      <t xml:space="preserve">Enter your </t>
    </r>
    <r>
      <rPr>
        <b/>
        <sz val="10"/>
        <rFont val="Arial"/>
        <family val="2"/>
      </rPr>
      <t xml:space="preserve">earned income.   </t>
    </r>
    <r>
      <rPr>
        <sz val="10"/>
        <rFont val="Arial"/>
        <family val="2"/>
      </rPr>
      <t>See instructions</t>
    </r>
    <r>
      <rPr>
        <b/>
        <sz val="10"/>
        <rFont val="Arial"/>
        <family val="2"/>
      </rPr>
      <t xml:space="preserve">   .   .   .   .   .   .   .   .   .   .   .   .   .   .   .   .   .   .   .   .   .   .   .   .   .   .   .   .   .   .   .   .   .   .   .   .   .</t>
    </r>
  </si>
  <si>
    <t xml:space="preserve"> .     .     .     .     .     .     .     . </t>
  </si>
  <si>
    <t>Enter on line 8 the decimal amount shown below that applies to the amount on line 7</t>
  </si>
  <si>
    <t>If line 7 is:</t>
  </si>
  <si>
    <t>But not</t>
  </si>
  <si>
    <t>Decimal</t>
  </si>
  <si>
    <t>over</t>
  </si>
  <si>
    <t>amount is</t>
  </si>
  <si>
    <t>the instructions</t>
  </si>
  <si>
    <r>
      <t>Credit for child and dependent care expenses.</t>
    </r>
    <r>
      <rPr>
        <sz val="10"/>
        <rFont val="Arial"/>
        <family val="2"/>
      </rPr>
      <t xml:space="preserve">  Enter the </t>
    </r>
    <r>
      <rPr>
        <b/>
        <sz val="10"/>
        <rFont val="Arial"/>
        <family val="2"/>
      </rPr>
      <t>smaller</t>
    </r>
    <r>
      <rPr>
        <sz val="10"/>
        <rFont val="Arial"/>
        <family val="2"/>
      </rPr>
      <t xml:space="preserve"> of line 9 or line 10</t>
    </r>
  </si>
  <si>
    <t xml:space="preserve">    .    .    .    .    .    .    .    .    .    .    .    .    .    .    .    .    .    .    .  </t>
  </si>
  <si>
    <t>Cat. No. 11862M</t>
  </si>
  <si>
    <r>
      <t xml:space="preserve">Page </t>
    </r>
    <r>
      <rPr>
        <b/>
        <sz val="10"/>
        <rFont val="Arial"/>
        <family val="2"/>
      </rPr>
      <t>2</t>
    </r>
  </si>
  <si>
    <t xml:space="preserve">  Dependent Care Benefits</t>
  </si>
  <si>
    <r>
      <t xml:space="preserve">Enter total  amount of </t>
    </r>
    <r>
      <rPr>
        <b/>
        <sz val="10"/>
        <rFont val="Arial"/>
        <family val="2"/>
      </rPr>
      <t>dependent care benefits</t>
    </r>
    <r>
      <rPr>
        <sz val="10"/>
        <rFont val="Arial"/>
        <family val="2"/>
      </rPr>
      <t xml:space="preserve"> you</t>
    </r>
  </si>
  <si>
    <r>
      <t xml:space="preserve">received as an employee should be shown in box 10 of your Form(s) W-2. </t>
    </r>
    <r>
      <rPr>
        <b/>
        <sz val="10"/>
        <rFont val="Arial"/>
        <family val="2"/>
      </rPr>
      <t>Do not</t>
    </r>
    <r>
      <rPr>
        <sz val="10"/>
        <rFont val="Arial"/>
        <family val="2"/>
      </rPr>
      <t xml:space="preserve"> include</t>
    </r>
  </si>
  <si>
    <t>amounts reported as wages in box 1 of Form(s) W-2. If you were self-employed or a partner,</t>
  </si>
  <si>
    <t>include amounts you received under a dependent care assistance program from your sole</t>
  </si>
  <si>
    <r>
      <t>proprietorship or partnership</t>
    </r>
    <r>
      <rPr>
        <b/>
        <sz val="10"/>
        <rFont val="Arial"/>
        <family val="2"/>
      </rPr>
      <t>.   .   .   .   .   .   .   .   .   .   .   .   .   .   .   .   .   .   .   .   .   .   .   .   .   .   .   .   .   .   .   .   .   .   .   .   .   .   .   .</t>
    </r>
  </si>
  <si>
    <r>
      <t xml:space="preserve">Enter the total amount of </t>
    </r>
    <r>
      <rPr>
        <b/>
        <sz val="10"/>
        <rFont val="Arial"/>
        <family val="2"/>
      </rPr>
      <t>qualified expenses</t>
    </r>
    <r>
      <rPr>
        <sz val="10"/>
        <rFont val="Arial"/>
        <family val="2"/>
      </rPr>
      <t xml:space="preserve"> incurred</t>
    </r>
  </si>
  <si>
    <t>qualifying person(s).</t>
  </si>
  <si>
    <r>
      <t xml:space="preserve">Enter your </t>
    </r>
    <r>
      <rPr>
        <b/>
        <sz val="10"/>
        <rFont val="Arial"/>
        <family val="2"/>
      </rPr>
      <t>earned income</t>
    </r>
    <r>
      <rPr>
        <b/>
        <sz val="10"/>
        <rFont val="Arial"/>
        <family val="2"/>
      </rPr>
      <t>.</t>
    </r>
    <r>
      <rPr>
        <sz val="10"/>
        <rFont val="Arial"/>
        <family val="2"/>
      </rPr>
      <t xml:space="preserve">  See instructions. </t>
    </r>
    <r>
      <rPr>
        <b/>
        <sz val="10"/>
        <rFont val="Arial"/>
        <family val="2"/>
      </rPr>
      <t xml:space="preserve"> .   .   .   .   .   .   .   .   .   .   .   .   .   .   .   .   .   .   .   .   .   .   .   .   .   .   .   .   .   .   .   .   .   .   .   .   .   .   .</t>
    </r>
  </si>
  <si>
    <t>Enter the amount shown below that applies</t>
  </si>
  <si>
    <t>to you.</t>
  </si>
  <si>
    <r>
      <t>h</t>
    </r>
    <r>
      <rPr>
        <sz val="10"/>
        <rFont val="Arial"/>
        <family val="2"/>
      </rPr>
      <t xml:space="preserve"> If married filing a joint return, enter your</t>
    </r>
  </si>
  <si>
    <t xml:space="preserve">     spouse's earned income (if your spouse</t>
  </si>
  <si>
    <t xml:space="preserve">     was a student or was disabled, see the</t>
  </si>
  <si>
    <t xml:space="preserve">     instructions for line 5).</t>
  </si>
  <si>
    <r>
      <t>h</t>
    </r>
    <r>
      <rPr>
        <sz val="10"/>
        <rFont val="Arial"/>
        <family val="2"/>
      </rPr>
      <t xml:space="preserve"> If married filing separately, see the</t>
    </r>
  </si>
  <si>
    <t xml:space="preserve">     the instructions for the amount to enter.</t>
  </si>
  <si>
    <r>
      <t>Deductible benefits.</t>
    </r>
    <r>
      <rPr>
        <sz val="10"/>
        <rFont val="Arial"/>
        <family val="2"/>
      </rPr>
      <t xml:space="preserve">      Enter the </t>
    </r>
    <r>
      <rPr>
        <b/>
        <sz val="10"/>
        <rFont val="Arial"/>
        <family val="2"/>
      </rPr>
      <t>smallest</t>
    </r>
  </si>
  <si>
    <t>To claim the child and dependent care</t>
  </si>
  <si>
    <r>
      <t xml:space="preserve">less, </t>
    </r>
    <r>
      <rPr>
        <b/>
        <sz val="10"/>
        <rFont val="Arial"/>
        <family val="2"/>
      </rPr>
      <t>stop</t>
    </r>
    <r>
      <rPr>
        <sz val="10"/>
        <rFont val="Arial"/>
        <family val="2"/>
      </rPr>
      <t>. You cannot take the credit.</t>
    </r>
  </si>
  <si>
    <r>
      <t xml:space="preserve">Exception. </t>
    </r>
    <r>
      <rPr>
        <sz val="10"/>
        <rFont val="Arial"/>
        <family val="2"/>
      </rPr>
      <t xml:space="preserve"> If you</t>
    </r>
  </si>
  <si>
    <r>
      <t xml:space="preserve">Enter the </t>
    </r>
    <r>
      <rPr>
        <b/>
        <sz val="10"/>
        <rFont val="Arial"/>
        <family val="2"/>
      </rPr>
      <t>smaller</t>
    </r>
  </si>
  <si>
    <t>Attachment to:</t>
  </si>
  <si>
    <r>
      <t xml:space="preserve">Persons or Organizations Who Provided the Care -- </t>
    </r>
    <r>
      <rPr>
        <sz val="10"/>
        <rFont val="Arial"/>
        <family val="2"/>
      </rPr>
      <t>(Continued)</t>
    </r>
  </si>
  <si>
    <r>
      <t>Credit for Child and Dependent Care Expenses</t>
    </r>
    <r>
      <rPr>
        <sz val="10"/>
        <rFont val="Arial"/>
        <family val="2"/>
      </rPr>
      <t xml:space="preserve"> -- (Continued)</t>
    </r>
  </si>
  <si>
    <t>Download Form 2441</t>
  </si>
  <si>
    <t>Download Form 2441 Instructions</t>
  </si>
  <si>
    <t>Tax liability limit. Enter the amount from the Credit</t>
  </si>
  <si>
    <t>Limit Worksheet in the instructions</t>
  </si>
  <si>
    <t>Employer #1</t>
  </si>
  <si>
    <t>period. See instructions.</t>
  </si>
  <si>
    <t>Combine lines 12 through 14. See instructions</t>
  </si>
  <si>
    <r>
      <t xml:space="preserve">Enter the </t>
    </r>
    <r>
      <rPr>
        <b/>
        <sz val="10"/>
        <rFont val="Arial"/>
        <family val="2"/>
      </rPr>
      <t>smaller</t>
    </r>
    <r>
      <rPr>
        <sz val="10"/>
        <rFont val="Arial"/>
        <family val="2"/>
      </rPr>
      <t xml:space="preserve"> of line 15 or 16 </t>
    </r>
    <r>
      <rPr>
        <b/>
        <sz val="10"/>
        <rFont val="Arial"/>
        <family val="2"/>
      </rPr>
      <t xml:space="preserve"> .   .   .   .   .   .   .   .   .   .   .   .   .   .   .   .   .   .   .   .   .   .   .   .   .   .   .   .   .   .   .   .   .   .   .   .   .   .   .   .</t>
    </r>
  </si>
  <si>
    <r>
      <t>h</t>
    </r>
    <r>
      <rPr>
        <sz val="10"/>
        <rFont val="Arial"/>
        <family val="2"/>
      </rPr>
      <t xml:space="preserve"> All others, </t>
    </r>
    <r>
      <rPr>
        <sz val="10"/>
        <rFont val="Arial"/>
        <family val="2"/>
      </rPr>
      <t>enter the amount from line 18.</t>
    </r>
  </si>
  <si>
    <r>
      <t xml:space="preserve">Enter the </t>
    </r>
    <r>
      <rPr>
        <b/>
        <sz val="10"/>
        <rFont val="Arial"/>
        <family val="2"/>
      </rPr>
      <t>smallest</t>
    </r>
    <r>
      <rPr>
        <sz val="10"/>
        <rFont val="Arial"/>
        <family val="2"/>
      </rPr>
      <t xml:space="preserve"> of line 17, 18, or 19</t>
    </r>
    <r>
      <rPr>
        <b/>
        <sz val="10"/>
        <rFont val="Arial"/>
        <family val="2"/>
      </rPr>
      <t xml:space="preserve">   .   .   .   .   .   .   .   .   .   .   .   .   .   .   .   .   .   .   .   .   .   .   .   .   .   .   .   .   .   .   .   .   .   .   .   .   .   .   .   .</t>
    </r>
  </si>
  <si>
    <t>Enter $5,000 ($2,500 if married filing separately and</t>
  </si>
  <si>
    <t>you were required to enter your spouse’s earned income on line 19)</t>
  </si>
  <si>
    <t xml:space="preserve">  .   .   .   .   . </t>
  </si>
  <si>
    <t>Subtract line 22 from line 15</t>
  </si>
  <si>
    <t>Is any amount on line 12 from your sole proprietorship or partnership?</t>
  </si>
  <si>
    <r>
      <rPr>
        <b/>
        <sz val="10"/>
        <rFont val="Arial"/>
        <family val="2"/>
      </rPr>
      <t>No.</t>
    </r>
    <r>
      <rPr>
        <sz val="10"/>
        <rFont val="Arial"/>
        <family val="2"/>
      </rPr>
      <t xml:space="preserve"> Enter -0-. </t>
    </r>
  </si>
  <si>
    <r>
      <rPr>
        <b/>
        <sz val="10"/>
        <rFont val="Arial"/>
        <family val="2"/>
      </rPr>
      <t>Yes.</t>
    </r>
    <r>
      <rPr>
        <sz val="10"/>
        <rFont val="Arial"/>
        <family val="2"/>
      </rPr>
      <t xml:space="preserve"> Enter the amount here</t>
    </r>
  </si>
  <si>
    <t>the appropriate line(s) of your return. See instructions.</t>
  </si>
  <si>
    <t>the smaller of line 20 or 21. Otherwise, subtract line 24 from the smaller of line 20 or line 21.</t>
  </si>
  <si>
    <r>
      <t>If zero or less, enter -0-.</t>
    </r>
    <r>
      <rPr>
        <b/>
        <sz val="10"/>
        <rFont val="Arial"/>
        <family val="2"/>
      </rPr>
      <t xml:space="preserve"> Form 1040A filers:</t>
    </r>
    <r>
      <rPr>
        <sz val="10"/>
        <rFont val="Arial"/>
        <family val="2"/>
      </rPr>
      <t xml:space="preserve"> Enter the </t>
    </r>
    <r>
      <rPr>
        <b/>
        <sz val="10"/>
        <rFont val="Arial"/>
        <family val="2"/>
      </rPr>
      <t>smaller</t>
    </r>
    <r>
      <rPr>
        <sz val="10"/>
        <rFont val="Arial"/>
        <family val="2"/>
      </rPr>
      <t xml:space="preserve"> of line 20 or line 21</t>
    </r>
    <r>
      <rPr>
        <b/>
        <sz val="10"/>
        <rFont val="Arial"/>
        <family val="2"/>
      </rPr>
      <t>.   .   .   .   .   .   .   .</t>
    </r>
  </si>
  <si>
    <r>
      <rPr>
        <b/>
        <sz val="10"/>
        <rFont val="Arial"/>
        <family val="2"/>
      </rPr>
      <t>Excluded benefits.</t>
    </r>
    <r>
      <rPr>
        <sz val="10"/>
        <rFont val="Arial"/>
        <family val="2"/>
      </rPr>
      <t xml:space="preserve"> </t>
    </r>
    <r>
      <rPr>
        <b/>
        <sz val="10"/>
        <rFont val="Arial"/>
        <family val="2"/>
      </rPr>
      <t xml:space="preserve">Form 1040 and 1040NR filers: </t>
    </r>
    <r>
      <rPr>
        <sz val="10"/>
        <rFont val="Arial"/>
        <family val="2"/>
      </rPr>
      <t>If you checked "No" on line 22, enter</t>
    </r>
  </si>
  <si>
    <r>
      <rPr>
        <b/>
        <sz val="10"/>
        <rFont val="Arial"/>
        <family val="2"/>
      </rPr>
      <t>Taxable benefits.</t>
    </r>
    <r>
      <rPr>
        <sz val="10"/>
        <rFont val="Arial"/>
        <family val="2"/>
      </rPr>
      <t xml:space="preserve"> Form 1040 and 1040NR filers: Subtract line 25 from line 23. If zero or </t>
    </r>
  </si>
  <si>
    <t xml:space="preserve">less, enter -0-. Also, include this amount on Form 1040, line 7, or Form 1040NR, line 8. On </t>
  </si>
  <si>
    <t xml:space="preserve">the dotted line next to Form 1040, line 7, or Form 1040NR, line 8, enter “DCB.” </t>
  </si>
  <si>
    <t>line 7. In the space to the left of line 7, enter “DCB”</t>
  </si>
  <si>
    <t>credit, complete lines 27–31 below.</t>
  </si>
  <si>
    <r>
      <rPr>
        <b/>
        <sz val="10"/>
        <rFont val="Arial"/>
        <family val="2"/>
      </rPr>
      <t>Form 1040A filers:</t>
    </r>
    <r>
      <rPr>
        <sz val="10"/>
        <rFont val="Arial"/>
        <family val="2"/>
      </rPr>
      <t xml:space="preserve"> Subtract line 25 from line 15. Also, include this amount on Form 1040A, </t>
    </r>
  </si>
  <si>
    <r>
      <t xml:space="preserve">Complete line 2 on the front of this form. </t>
    </r>
    <r>
      <rPr>
        <b/>
        <sz val="10"/>
        <rFont val="Arial"/>
        <family val="2"/>
      </rPr>
      <t>Do not</t>
    </r>
    <r>
      <rPr>
        <sz val="10"/>
        <rFont val="Arial"/>
        <family val="2"/>
      </rPr>
      <t xml:space="preserve"> include in column (c) any benefits shown on</t>
    </r>
  </si>
  <si>
    <r>
      <rPr>
        <b/>
        <sz val="10"/>
        <rFont val="Arial"/>
        <family val="2"/>
      </rPr>
      <t>Form 1040 and 1040NR filers:</t>
    </r>
    <r>
      <rPr>
        <sz val="10"/>
        <rFont val="Arial"/>
        <family val="2"/>
      </rPr>
      <t xml:space="preserve"> </t>
    </r>
    <r>
      <rPr>
        <sz val="9"/>
        <rFont val="Arial"/>
        <family val="2"/>
      </rPr>
      <t xml:space="preserve">Add lines 24 and 25. </t>
    </r>
    <r>
      <rPr>
        <b/>
        <sz val="10"/>
        <rFont val="Arial"/>
        <family val="2"/>
      </rPr>
      <t>Form 1040A filers:</t>
    </r>
    <r>
      <rPr>
        <sz val="10"/>
        <rFont val="Arial"/>
        <family val="2"/>
      </rPr>
      <t xml:space="preserve"> </t>
    </r>
    <r>
      <rPr>
        <sz val="9"/>
        <rFont val="Arial"/>
        <family val="2"/>
      </rPr>
      <t>Enter amount from line 25.</t>
    </r>
  </si>
  <si>
    <t>.   .   .   .   .   .   .   .   .   .   .   .   .   .   .   .   .   .   .   .   .   .   .</t>
  </si>
  <si>
    <r>
      <t>4</t>
    </r>
    <r>
      <rPr>
        <b/>
        <sz val="10"/>
        <rFont val="Arial"/>
        <family val="2"/>
      </rPr>
      <t xml:space="preserve">  Attach to Form 1040, Form 1040A, or Form 1040NR.</t>
    </r>
  </si>
  <si>
    <t>www.irs.gov/form2441.</t>
  </si>
  <si>
    <r>
      <t>4</t>
    </r>
    <r>
      <rPr>
        <b/>
        <sz val="9"/>
        <rFont val="Arial"/>
        <family val="2"/>
      </rPr>
      <t xml:space="preserve">  Information about Form 2441 and its separate instructions is at</t>
    </r>
  </si>
  <si>
    <t xml:space="preserve">   (If you have more than two care providers, see the instructions.)</t>
  </si>
  <si>
    <t xml:space="preserve">    name</t>
  </si>
  <si>
    <t xml:space="preserve"> If the care was provided in your home, you may owe employment taxes. If you do, you cannot file Form 1040A. For details,</t>
  </si>
  <si>
    <t>see the instructions for Form 1040, line 60a, or Form 1040NR, line 59a.</t>
  </si>
  <si>
    <r>
      <t xml:space="preserve"> </t>
    </r>
    <r>
      <rPr>
        <b/>
        <sz val="8"/>
        <rFont val="Arial"/>
        <family val="2"/>
      </rPr>
      <t>(b)</t>
    </r>
    <r>
      <rPr>
        <sz val="8"/>
        <rFont val="Arial"/>
        <family val="2"/>
      </rPr>
      <t xml:space="preserve"> Qualifying person's social
security number</t>
    </r>
  </si>
  <si>
    <t>If married filing jointly, enter your spouse’s earned income (if you or your spouse was a</t>
  </si>
  <si>
    <t>Amount from</t>
  </si>
  <si>
    <t>sole proprietorship</t>
  </si>
  <si>
    <t>Yes.  I meet these requirements.</t>
  </si>
  <si>
    <t>requirements to</t>
  </si>
  <si>
    <t xml:space="preserve">be considered </t>
  </si>
  <si>
    <t>purposes of claiming</t>
  </si>
  <si>
    <t>the credit on</t>
  </si>
  <si>
    <t>Form 2441.</t>
  </si>
  <si>
    <t>Indicate to the right</t>
  </si>
  <si>
    <t>as to whether or</t>
  </si>
  <si>
    <t>not you meet the</t>
  </si>
  <si>
    <r>
      <rPr>
        <b/>
        <sz val="10"/>
        <rFont val="Arial"/>
        <family val="2"/>
      </rPr>
      <t>Lines 27 through 31</t>
    </r>
    <r>
      <rPr>
        <sz val="10"/>
        <rFont val="Arial"/>
        <family val="2"/>
      </rPr>
      <t xml:space="preserve">
If you are reporting dependent care benefits in Part III of
the form, you will need to complete lines 27 through 31 if
you are also claiming the credit for child and dependent
care expenses in Part II of the form.</t>
    </r>
  </si>
  <si>
    <r>
      <rPr>
        <b/>
        <sz val="10"/>
        <rFont val="Courier New"/>
        <family val="3"/>
      </rPr>
      <t>No password is needed.</t>
    </r>
    <r>
      <rPr>
        <sz val="10"/>
        <rFont val="Courier New"/>
        <family val="3"/>
      </rPr>
      <t xml:space="preserve"> 
If you find a data entry cell to be protected, it is because it is a calculated value using input from another location in the spreadsheet.  Read the instructions for that line to determine where the values are derived.  However, for most calculated cells, a manual override cell is provided if you need to override the calculated value.  After a while, you will figure out that the spreadsheet is completely functional without needing to unprotect it.</t>
    </r>
  </si>
  <si>
    <t>Enter "IRA" or "P/A" (for Pension/Annuity) &gt;&gt;&gt;</t>
  </si>
  <si>
    <t>Enter "IRA" or "P/A" for (Pension/Annuity) &gt;&gt;&gt;</t>
  </si>
  <si>
    <r>
      <rPr>
        <b/>
        <sz val="7"/>
        <rFont val="Arial"/>
        <family val="2"/>
      </rPr>
      <t>(e)</t>
    </r>
    <r>
      <rPr>
        <sz val="7"/>
        <rFont val="Arial"/>
        <family val="2"/>
      </rPr>
      <t xml:space="preserve"> Cost or other basis
from Form(s) 8949, Part
I, line 2, column €</t>
    </r>
  </si>
  <si>
    <r>
      <rPr>
        <b/>
        <sz val="7"/>
        <rFont val="Arial"/>
        <family val="2"/>
      </rPr>
      <t>(e)</t>
    </r>
    <r>
      <rPr>
        <sz val="7"/>
        <rFont val="Arial"/>
        <family val="2"/>
      </rPr>
      <t xml:space="preserve"> Cost or other basis
from Form(s) 8949, Part
II, line 4, column (e )</t>
    </r>
  </si>
  <si>
    <t>ROUND DOWN</t>
  </si>
  <si>
    <t>ROUND UP</t>
  </si>
  <si>
    <t>ROUND</t>
  </si>
  <si>
    <t>Line 3 / Line 4</t>
  </si>
  <si>
    <t>x</t>
  </si>
  <si>
    <r>
      <rPr>
        <b/>
        <sz val="10"/>
        <rFont val="Arial"/>
        <family val="2"/>
      </rPr>
      <t xml:space="preserve">Line 2a </t>
    </r>
    <r>
      <rPr>
        <sz val="10"/>
        <rFont val="Arial"/>
        <family val="2"/>
      </rPr>
      <t xml:space="preserve">Enter your modified AGI on line 2a. Use the worksheet next to figure your modified AGI from your tax return. </t>
    </r>
  </si>
  <si>
    <r>
      <rPr>
        <b/>
        <sz val="10"/>
        <rFont val="Arial"/>
        <family val="2"/>
      </rPr>
      <t>Line 2b</t>
    </r>
    <r>
      <rPr>
        <sz val="10"/>
        <rFont val="Arial"/>
        <family val="2"/>
      </rPr>
      <t xml:space="preserve"> Enter the modified AGI for all of your dependents on line 2b. Use the worksheet next to figure the combined modified AGI for the dependents claimed as exemptions on your return. Only include the modified AGI of those dependents who are required to file a return. Do not include the modified AGI of dependents who are filing a tax return only to claim a refund of tax withheld or estimated tax. </t>
    </r>
  </si>
  <si>
    <t>Check if</t>
  </si>
  <si>
    <t>Hide note</t>
  </si>
  <si>
    <t>Enter the amount from line 45</t>
  </si>
  <si>
    <t xml:space="preserve">  .   .   .   .   .   .   .   .   .   .   .   .   .   .   .   .   .   .   .   .   .   .   .   .   .   .   .   .   . </t>
  </si>
  <si>
    <t>Worksheet used?</t>
  </si>
  <si>
    <r>
      <rPr>
        <b/>
        <sz val="9"/>
        <rFont val="Arial"/>
        <family val="2"/>
      </rPr>
      <t>Self-employment tax.</t>
    </r>
    <r>
      <rPr>
        <sz val="9"/>
        <rFont val="Arial"/>
        <family val="2"/>
      </rPr>
      <t xml:space="preserve"> Add lines 10 and 11. Enter here and on </t>
    </r>
    <r>
      <rPr>
        <b/>
        <sz val="9"/>
        <rFont val="Arial"/>
        <family val="2"/>
      </rPr>
      <t>Form 1040, line 57</t>
    </r>
    <r>
      <rPr>
        <sz val="9"/>
        <rFont val="Arial"/>
        <family val="2"/>
      </rPr>
      <t xml:space="preserve">, or </t>
    </r>
    <r>
      <rPr>
        <b/>
        <sz val="9"/>
        <rFont val="Arial"/>
        <family val="2"/>
      </rPr>
      <t>Form 1040NR, line 55</t>
    </r>
  </si>
  <si>
    <r>
      <rPr>
        <b/>
        <sz val="10"/>
        <rFont val="Arial"/>
        <family val="2"/>
      </rPr>
      <t>Caution.</t>
    </r>
    <r>
      <rPr>
        <sz val="10"/>
        <rFont val="Arial"/>
        <family val="2"/>
      </rPr>
      <t xml:space="preserve"> You may use this method no more than five times.</t>
    </r>
  </si>
  <si>
    <r>
      <t xml:space="preserve">or </t>
    </r>
    <r>
      <rPr>
        <b/>
        <sz val="10"/>
        <rFont val="Arial"/>
        <family val="2"/>
      </rPr>
      <t>Form 1040NR, line 55</t>
    </r>
  </si>
  <si>
    <r>
      <t xml:space="preserve">Enter the total here and on </t>
    </r>
    <r>
      <rPr>
        <b/>
        <sz val="9"/>
        <rFont val="Arial"/>
        <family val="2"/>
      </rPr>
      <t>Form 1040, line 57</t>
    </r>
    <r>
      <rPr>
        <sz val="9"/>
        <rFont val="Arial"/>
        <family val="2"/>
      </rPr>
      <t xml:space="preserve">, or </t>
    </r>
    <r>
      <rPr>
        <b/>
        <sz val="9"/>
        <rFont val="Arial"/>
        <family val="2"/>
      </rPr>
      <t>Form 1040NR, line 55</t>
    </r>
    <r>
      <rPr>
        <sz val="9"/>
        <rFont val="Arial"/>
        <family val="2"/>
      </rPr>
      <t>.</t>
    </r>
  </si>
  <si>
    <t xml:space="preserve">     for the AMT, if necessary), complete Part III on the back and enter the amount from line 64 here.</t>
  </si>
  <si>
    <r>
      <t>Enter the total of all collectibles gain or (loss) from items you reported on Form 8949, Part II</t>
    </r>
    <r>
      <rPr>
        <b/>
        <sz val="9"/>
        <rFont val="Arial"/>
        <family val="2"/>
      </rPr>
      <t>.   .   .   .   .   .   .   .   .</t>
    </r>
  </si>
  <si>
    <r>
      <t xml:space="preserve">Subtract line 20 from line 3 (rents) and/or 4 (royalties). 
If result is a (loss), see instructions to find out if you must file </t>
    </r>
    <r>
      <rPr>
        <b/>
        <sz val="9"/>
        <rFont val="Arial"/>
        <family val="2"/>
      </rPr>
      <t xml:space="preserve">Form 6198  .   .   .   .   .   .   .   .   .   .   .   .   .   .   .   .   .   . </t>
    </r>
  </si>
  <si>
    <t>here and on Form 1040, line 49</t>
  </si>
  <si>
    <t>Deductible meals and</t>
  </si>
  <si>
    <t>Earned income for figuring the credit includes the</t>
  </si>
  <si>
    <t>following amounts.</t>
  </si>
  <si>
    <t>1040A, line 7; or Form 1040NR, line 8; minus any amount:</t>
  </si>
  <si>
    <t>a. Included for a scholarship or fellowship grant that</t>
  </si>
  <si>
    <t>was not reported to you on a Form W-2,</t>
  </si>
  <si>
    <t>b. Also reported on Schedule SE (Form 1040)</t>
  </si>
  <si>
    <t>because you were a member of the clergy or you received</t>
  </si>
  <si>
    <t>$108.28 or more of church employee income,</t>
  </si>
  <si>
    <t>c. Received for work performed while an inmate in a</t>
  </si>
  <si>
    <t>penal institution, or</t>
  </si>
  <si>
    <t>d. Received as a pension or annuity from a</t>
  </si>
  <si>
    <t>nonqualified deferred compensation plan or a</t>
  </si>
  <si>
    <t>nongovernmental section 457(b) plan. This amount may</t>
  </si>
  <si>
    <t>be reported in box 11 of Form W-2. If you received such</t>
  </si>
  <si>
    <t>an amount but box 11 is blank, contact your employer for</t>
  </si>
  <si>
    <t>the amount received as a pension or annuity.</t>
  </si>
  <si>
    <t>any deduction you claim on Form 1040 or Form 1040NR,</t>
  </si>
  <si>
    <t>line 27.</t>
  </si>
  <si>
    <t>If you use either optional method to figure</t>
  </si>
  <si>
    <t>self-employment tax, subtract any deduction you claim on</t>
  </si>
  <si>
    <t>Form 1040 or Form 1040NR, line 27, from the total of the</t>
  </si>
  <si>
    <t>amounts shown on Schedule SE, Section B, lines 3 and</t>
  </si>
  <si>
    <t>4b.</t>
  </si>
  <si>
    <t>If you received church employee income of $108.28 or</t>
  </si>
  <si>
    <t>more, subtract any deduction you claim on Form 1040 or</t>
  </si>
  <si>
    <t>Form 1040NR, line 27, from the total of the amounts</t>
  </si>
  <si>
    <t>shown on Schedule SE, Section B, lines 3, 4b, and 5a.</t>
  </si>
  <si>
    <t>(Form 1040) as a statutory employee, the amount shown</t>
  </si>
  <si>
    <t>on line 1 of the schedule.</t>
  </si>
  <si>
    <t>4. Nontaxable combat pay, if you elect to include it in</t>
  </si>
  <si>
    <t>earned income. However, including this income will only</t>
  </si>
  <si>
    <t>give you a larger credit if your (or your spouse's) other</t>
  </si>
  <si>
    <t>earned income is less than the amount entered on line 3.</t>
  </si>
  <si>
    <t>To make the election, include all of your nontaxable</t>
  </si>
  <si>
    <t>combat pay in the amount you enter on line 4 (line 5 for</t>
  </si>
  <si>
    <t>your spouse if filing jointly).</t>
  </si>
  <si>
    <t>If you are filing jointly and both you and your spouse</t>
  </si>
  <si>
    <t>received nontaxable combat pay, you can each make</t>
  </si>
  <si>
    <t>your own election. (In other words, if one of you makes the</t>
  </si>
  <si>
    <t>election, the other one can also make it but does not have</t>
  </si>
  <si>
    <t>to.) The amount of your nontaxable combat pay should be</t>
  </si>
  <si>
    <t>shown in box 12 of your Form(s) W-2 with code Q.</t>
  </si>
  <si>
    <t>Lines 4 and 5</t>
  </si>
  <si>
    <r>
      <t xml:space="preserve">1. The amount shown on </t>
    </r>
    <r>
      <rPr>
        <b/>
        <sz val="10"/>
        <rFont val="Arial"/>
        <family val="2"/>
      </rPr>
      <t>Form 1040, line 7</t>
    </r>
    <r>
      <rPr>
        <sz val="10"/>
        <rFont val="Arial"/>
        <family val="2"/>
      </rPr>
      <t>; Form</t>
    </r>
  </si>
  <si>
    <r>
      <t xml:space="preserve">2. The amount shown on </t>
    </r>
    <r>
      <rPr>
        <b/>
        <sz val="10"/>
        <rFont val="Arial"/>
        <family val="2"/>
      </rPr>
      <t>Schedule SE, line 3</t>
    </r>
    <r>
      <rPr>
        <sz val="10"/>
        <rFont val="Arial"/>
        <family val="2"/>
      </rPr>
      <t>, minus</t>
    </r>
  </si>
  <si>
    <r>
      <t xml:space="preserve">3. If you are filing </t>
    </r>
    <r>
      <rPr>
        <b/>
        <sz val="10"/>
        <rFont val="Arial"/>
        <family val="2"/>
      </rPr>
      <t>Schedule C</t>
    </r>
    <r>
      <rPr>
        <sz val="10"/>
        <rFont val="Arial"/>
        <family val="2"/>
      </rPr>
      <t xml:space="preserve"> (Form 1040) or C-EZ</t>
    </r>
  </si>
  <si>
    <t>https://www.paypal.com/us/webapps/mpp/send-money-online</t>
  </si>
  <si>
    <r>
      <t xml:space="preserve">This spreadsheet is free.  
</t>
    </r>
    <r>
      <rPr>
        <sz val="11"/>
        <color rgb="FF800000"/>
        <rFont val="Comic Sans MS"/>
        <family val="4"/>
      </rPr>
      <t xml:space="preserve">However, if you would like to show your appreciation, 
you may make a contribution by clicking the following link to PayPal and 
sending money to 'incometaxspreadsheet@gmail.com'.
</t>
    </r>
  </si>
  <si>
    <t>Thank you!</t>
  </si>
  <si>
    <r>
      <rPr>
        <b/>
        <sz val="10"/>
        <rFont val="Arial"/>
        <family val="2"/>
      </rPr>
      <t>Note.</t>
    </r>
    <r>
      <rPr>
        <sz val="10"/>
        <rFont val="Arial"/>
        <family val="2"/>
      </rPr>
      <t xml:space="preserve"> You may aggregate all long-term transactions reported on Form(s) 1099-B showing basis was reported</t>
    </r>
  </si>
  <si>
    <t>Jan</t>
  </si>
  <si>
    <t>Feb</t>
  </si>
  <si>
    <t>Mar</t>
  </si>
  <si>
    <t>Apr</t>
  </si>
  <si>
    <t>Jun</t>
  </si>
  <si>
    <t>Jul</t>
  </si>
  <si>
    <t>Aug</t>
  </si>
  <si>
    <t>Sep</t>
  </si>
  <si>
    <t>Oct</t>
  </si>
  <si>
    <t>Nov</t>
  </si>
  <si>
    <t>Dec</t>
  </si>
  <si>
    <r>
      <t xml:space="preserve">Information about Form 8962 and its separate instructions is at </t>
    </r>
    <r>
      <rPr>
        <i/>
        <sz val="9"/>
        <rFont val="Arial"/>
        <family val="2"/>
      </rPr>
      <t>www.irs.gov/form8962</t>
    </r>
    <r>
      <rPr>
        <sz val="9"/>
        <rFont val="Arial"/>
        <family val="2"/>
      </rPr>
      <t>.</t>
    </r>
  </si>
  <si>
    <t>Did you enter 401% on line 5? (See instructions if you entered less than 100%.)</t>
  </si>
  <si>
    <t>how to report your excess advance PTC repayment amount.</t>
  </si>
  <si>
    <t>Monthly contribution amount. Divide line 8a</t>
  </si>
  <si>
    <t>by 12. Round to whole dollar amount.   .   .</t>
  </si>
  <si>
    <t>Annual and Monthly Contribution Amount</t>
  </si>
  <si>
    <t>Premium Tax Credit Claim and Reconciliation of Advance Payment of Premium Tax Credit</t>
  </si>
  <si>
    <t>Are you allocating policy amounts with another taxpayer or do you want to use the alternative calculation for year of marriage (see instructions)?</t>
  </si>
  <si>
    <t>See the instructions to determine if you can use line 11 or must complete lines 12 through 23.</t>
  </si>
  <si>
    <r>
      <rPr>
        <b/>
        <sz val="10"/>
        <rFont val="Arial"/>
        <family val="2"/>
      </rPr>
      <t xml:space="preserve">No. </t>
    </r>
    <r>
      <rPr>
        <sz val="10"/>
        <rFont val="Arial"/>
        <family val="2"/>
      </rPr>
      <t>Continue to lines 12–23. Compute</t>
    </r>
  </si>
  <si>
    <r>
      <rPr>
        <b/>
        <sz val="9"/>
        <rFont val="Arial"/>
        <family val="2"/>
      </rPr>
      <t>(c)</t>
    </r>
    <r>
      <rPr>
        <sz val="9"/>
        <rFont val="Arial"/>
        <family val="2"/>
      </rPr>
      <t xml:space="preserve"> Annual 
contribution amount 
(line 8a)</t>
    </r>
  </si>
  <si>
    <r>
      <rPr>
        <b/>
        <sz val="9"/>
        <rFont val="Arial"/>
        <family val="2"/>
      </rPr>
      <t xml:space="preserve">(b) </t>
    </r>
    <r>
      <rPr>
        <sz val="9"/>
        <rFont val="Arial"/>
        <family val="2"/>
      </rPr>
      <t>Annual applicable 
SLCSP premium 
(Form(s) 1095-A, 
line 33B)</t>
    </r>
  </si>
  <si>
    <t>Total premium tax credit. Enter the amount from line 11(e) or add lines 12(e) through 23(e) and enter the total here</t>
  </si>
  <si>
    <t>Advance payment of PTC. Enter the amount from line 11(f) or add lines 12(f) through 23(f) and enter the total here</t>
  </si>
  <si>
    <t>Repayment of Excess Advance Payment of the Premium Tax Credit</t>
  </si>
  <si>
    <t>Excess advance payment of PTC. If line 25 is greater than line 24, subtract line 24 from line 25. Enter the difference here</t>
  </si>
  <si>
    <t>Repayment limitation (see instructions)</t>
  </si>
  <si>
    <t>SSN of other taxpayer</t>
  </si>
  <si>
    <t>(e) Premium Percentage</t>
  </si>
  <si>
    <t>(f) SLCSP Percentage</t>
  </si>
  <si>
    <t>(g) Advance Payment of the PTC
Percentage</t>
  </si>
  <si>
    <t>Alternative Calculation for Year of Marriage</t>
  </si>
  <si>
    <t>To complete line(s) 35 and/or 36 and compute the amounts for lines 12–23, see the instructions for this Part V.</t>
  </si>
  <si>
    <r>
      <rPr>
        <b/>
        <sz val="10"/>
        <rFont val="Arial"/>
        <family val="2"/>
      </rPr>
      <t>Relief.</t>
    </r>
    <r>
      <rPr>
        <sz val="10"/>
        <rFont val="Arial"/>
        <family val="2"/>
      </rPr>
      <t xml:space="preserve"> Check this box if you are filing as </t>
    </r>
    <r>
      <rPr>
        <u/>
        <sz val="10"/>
        <rFont val="Arial"/>
        <family val="2"/>
      </rPr>
      <t>married</t>
    </r>
    <r>
      <rPr>
        <sz val="10"/>
        <rFont val="Arial"/>
        <family val="2"/>
      </rPr>
      <t xml:space="preserve"> </t>
    </r>
    <r>
      <rPr>
        <u/>
        <sz val="10"/>
        <rFont val="Arial"/>
        <family val="2"/>
      </rPr>
      <t>filing</t>
    </r>
    <r>
      <rPr>
        <sz val="10"/>
        <rFont val="Arial"/>
        <family val="2"/>
      </rPr>
      <t xml:space="preserve"> </t>
    </r>
    <r>
      <rPr>
        <u/>
        <sz val="10"/>
        <rFont val="Arial"/>
        <family val="2"/>
      </rPr>
      <t>separately</t>
    </r>
    <r>
      <rPr>
        <sz val="10"/>
        <rFont val="Arial"/>
        <family val="2"/>
      </rPr>
      <t xml:space="preserve"> and you are a victim of domestic abuse or spousal abandonment (see Situation 2 under Married taxpayers). By checking this box, you are certifying that you qualify for relief from filing a joint return with your spouse.</t>
    </r>
  </si>
  <si>
    <t>Contiguous</t>
  </si>
  <si>
    <t>X</t>
  </si>
  <si>
    <t>Tables 1-1, 1-2 &amp; 1-3 Federal Poverty Line</t>
  </si>
  <si>
    <t>Amount from Line 4.</t>
  </si>
  <si>
    <t>Is the amount on line 1 more than</t>
  </si>
  <si>
    <t>the amount on Line 3?</t>
  </si>
  <si>
    <t>Worksheet 2 -- Household Income as a Percentage of Poverty Line</t>
  </si>
  <si>
    <t>*If you are filing Form 8814 and the amount on Form 8814, line 4, is more than $1,050, you must enter certain amounts from that form on Worksheet 1-2. See Form 8814 (under 2b) in the instructions for this form.</t>
  </si>
  <si>
    <t>*Only include your dependents who are required to file an income tax return because their income meets the income tax return filing threshold.</t>
  </si>
  <si>
    <r>
      <rPr>
        <b/>
        <sz val="9"/>
        <rFont val="Arial"/>
        <family val="2"/>
      </rPr>
      <t>(a)</t>
    </r>
    <r>
      <rPr>
        <sz val="9"/>
        <rFont val="Arial"/>
        <family val="2"/>
      </rPr>
      <t xml:space="preserve"> Annual enrollment premiums (Form(s) 1095-A, line 33A)</t>
    </r>
  </si>
  <si>
    <r>
      <rPr>
        <b/>
        <sz val="9"/>
        <rFont val="Arial"/>
        <family val="2"/>
      </rPr>
      <t>(a)</t>
    </r>
    <r>
      <rPr>
        <sz val="9"/>
        <rFont val="Arial"/>
        <family val="2"/>
      </rPr>
      <t xml:space="preserve"> Monthly enrollment premiums (Form(s) 1095-A, lines 21–32, column A)</t>
    </r>
  </si>
  <si>
    <r>
      <rPr>
        <b/>
        <sz val="9"/>
        <rFont val="Arial"/>
        <family val="2"/>
      </rPr>
      <t>(b)</t>
    </r>
    <r>
      <rPr>
        <sz val="9"/>
        <rFont val="Arial"/>
        <family val="2"/>
      </rPr>
      <t xml:space="preserve"> Monthly applicable SLCSP premium (Form(s) 1095-A, lines 21–32, column B)</t>
    </r>
  </si>
  <si>
    <r>
      <rPr>
        <b/>
        <sz val="9"/>
        <rFont val="Arial"/>
        <family val="2"/>
      </rPr>
      <t>(d)</t>
    </r>
    <r>
      <rPr>
        <sz val="9"/>
        <rFont val="Arial"/>
        <family val="2"/>
      </rPr>
      <t xml:space="preserve"> Annual maximum 
premium assistance 
(subtract (c) from (b), if
zero or less, enter -0-)</t>
    </r>
  </si>
  <si>
    <r>
      <rPr>
        <b/>
        <sz val="9"/>
        <rFont val="Arial"/>
        <family val="2"/>
      </rPr>
      <t>(d)</t>
    </r>
    <r>
      <rPr>
        <sz val="9"/>
        <rFont val="Arial"/>
        <family val="2"/>
      </rPr>
      <t xml:space="preserve"> Monthly maximum premium assistance (subtract (c) from (b), if zero or less, enter -0-)</t>
    </r>
  </si>
  <si>
    <r>
      <rPr>
        <b/>
        <sz val="9"/>
        <rFont val="Arial"/>
        <family val="2"/>
      </rPr>
      <t>(e)</t>
    </r>
    <r>
      <rPr>
        <sz val="9"/>
        <rFont val="Arial"/>
        <family val="2"/>
      </rPr>
      <t xml:space="preserve"> Annual premium tax 
credit allowed 
(smaller of (a) or (d))</t>
    </r>
  </si>
  <si>
    <r>
      <rPr>
        <b/>
        <sz val="9"/>
        <rFont val="Arial"/>
        <family val="2"/>
      </rPr>
      <t>(e)</t>
    </r>
    <r>
      <rPr>
        <sz val="9"/>
        <rFont val="Arial"/>
        <family val="2"/>
      </rPr>
      <t xml:space="preserve"> Monthly premium tax credit allowed (smaller of (a) or (d))</t>
    </r>
  </si>
  <si>
    <r>
      <rPr>
        <b/>
        <sz val="9"/>
        <rFont val="Arial"/>
        <family val="2"/>
      </rPr>
      <t>(f)</t>
    </r>
    <r>
      <rPr>
        <sz val="9"/>
        <rFont val="Arial"/>
        <family val="2"/>
      </rPr>
      <t xml:space="preserve"> Annual advance 
payment of PTC 
(Form(s) 1095-A, 
line 33C)</t>
    </r>
  </si>
  <si>
    <r>
      <rPr>
        <b/>
        <sz val="9"/>
        <rFont val="Arial"/>
        <family val="2"/>
      </rPr>
      <t>(f)</t>
    </r>
    <r>
      <rPr>
        <sz val="9"/>
        <rFont val="Arial"/>
        <family val="2"/>
      </rPr>
      <t xml:space="preserve"> Monthly advance payment of PTC (Form(s) 1095-A, 
lines 21–32, 
column C)</t>
    </r>
  </si>
  <si>
    <t>Earned Income Credit (EIC)</t>
  </si>
  <si>
    <t>●</t>
  </si>
  <si>
    <t>Yes.  Continue.</t>
  </si>
  <si>
    <t>No.  You cannot take the credit.</t>
  </si>
  <si>
    <t>Do you, and your spouse if filing a joint return, have a social security number that allows you to work or is valid</t>
  </si>
  <si>
    <t>Is your filing status married filing separately?</t>
  </si>
  <si>
    <t>Yes.  You cannot take the credit.</t>
  </si>
  <si>
    <t>No.  Go to question 4.</t>
  </si>
  <si>
    <t>Are you filing Form 2555 or 2555-EZ (relating to foreign earned income)?</t>
  </si>
  <si>
    <t>No.  Continue</t>
  </si>
  <si>
    <t xml:space="preserve">Line 8a </t>
  </si>
  <si>
    <t xml:space="preserve">+ Line 8b </t>
  </si>
  <si>
    <t xml:space="preserve">+ Line 9a </t>
  </si>
  <si>
    <t>+ Line 13*</t>
  </si>
  <si>
    <t>*If line 13 is a loss, enter -0-.</t>
  </si>
  <si>
    <t>Yes.  Continue</t>
  </si>
  <si>
    <t>No.  Skip question 3; go to question 4.</t>
  </si>
  <si>
    <t>Are you filing Form 4797 (relating to sales of business property)?</t>
  </si>
  <si>
    <t xml:space="preserve">You are reporting income or a loss from the rental of </t>
  </si>
  <si>
    <t>No.  Go to Step 3.</t>
  </si>
  <si>
    <t>A qualifying child for the EIC is a child who is your…</t>
  </si>
  <si>
    <t>(for example, your grandchild, niece, or nephew)</t>
  </si>
  <si>
    <t>&lt;-- Enter number of qualifying children here.</t>
  </si>
  <si>
    <t>Do you have at least one child who meets the conditions to be your qualifying child?</t>
  </si>
  <si>
    <t>The child must have a valid social security</t>
  </si>
  <si>
    <t>No.  Skip Step 4; go to Step 5.</t>
  </si>
  <si>
    <t xml:space="preserve">         Enter “No” on the dotted line</t>
  </si>
  <si>
    <t>No.  Continue.</t>
  </si>
  <si>
    <t>Are you filing Schedule SE because you were a member of the clergy or you had church employee income of $108.28 or more?</t>
  </si>
  <si>
    <t>clergy or you had church employee income, or are you filing Schedule C or C-EZ as a statutory employee?</t>
  </si>
  <si>
    <t>No qualifying children,</t>
  </si>
  <si>
    <t>Yes.  Go to Step 6.</t>
  </si>
  <si>
    <t>Do you want the IRS to figure the credit for you?</t>
  </si>
  <si>
    <t>No.  Go to Worksheet A.</t>
  </si>
  <si>
    <t>No Qual. Children</t>
  </si>
  <si>
    <t>One Qualifying Child</t>
  </si>
  <si>
    <t>MFJ</t>
  </si>
  <si>
    <t>If line 2 is zero, STOP you cannot take the credit.</t>
  </si>
  <si>
    <t>Enter the amount from Form 1040, line 38.</t>
  </si>
  <si>
    <t>Are the amounts on lines 3 and 1 the same?</t>
  </si>
  <si>
    <r>
      <t>Yes.</t>
    </r>
    <r>
      <rPr>
        <sz val="10"/>
        <rFont val="Arial"/>
        <family val="2"/>
      </rPr>
      <t xml:space="preserve">  Skip line 5; enter the amount from line 2 on line 6.</t>
    </r>
  </si>
  <si>
    <r>
      <t>No.</t>
    </r>
    <r>
      <rPr>
        <sz val="10"/>
        <rFont val="Arial"/>
        <family val="2"/>
      </rPr>
      <t xml:space="preserve">   Go to line 5.</t>
    </r>
  </si>
  <si>
    <t>If you have:</t>
  </si>
  <si>
    <r>
      <t>Yes.</t>
    </r>
    <r>
      <rPr>
        <sz val="10"/>
        <rFont val="Arial"/>
        <family val="2"/>
      </rPr>
      <t xml:space="preserve">  Leave line 5 blank; enter the amount from line 2 on line 6.</t>
    </r>
  </si>
  <si>
    <t>Adj_Gross_Inc</t>
  </si>
  <si>
    <t xml:space="preserve">        pages 53–60 to find the credit. Be sure you use the correct</t>
  </si>
  <si>
    <t xml:space="preserve">        you have. Enter the credit here.</t>
  </si>
  <si>
    <t xml:space="preserve">        Look at the amounts on lines 5 and 2.</t>
  </si>
  <si>
    <t xml:space="preserve">        Then, enter the smaller amount on line 6.</t>
  </si>
  <si>
    <t>This is your earned income credit.</t>
  </si>
  <si>
    <t>Reminder—</t>
  </si>
  <si>
    <t>If you have a qualifying child, complete and attach Schedule EIC.</t>
  </si>
  <si>
    <t>Complete the parts below (Parts 1 through 3) that apply to you. Then, continue to Part 4.</t>
  </si>
  <si>
    <t>If you are married filing a joint return, include your spouse’s amounts, if any, with yours to figure the amounts to enter in Parts 1 through 3.</t>
  </si>
  <si>
    <t>Enter the amount from Schedule SE, Section A, line 3, or Section B, line 3, whichever applies.</t>
  </si>
  <si>
    <t xml:space="preserve">1a.        </t>
  </si>
  <si>
    <t>Enter any amount from Schedule SE, Section B, line 4b, and line 5a.</t>
  </si>
  <si>
    <t xml:space="preserve">1b.     + </t>
  </si>
  <si>
    <t>Combine lines 1a and 1b.</t>
  </si>
  <si>
    <t xml:space="preserve">1c.     = </t>
  </si>
  <si>
    <t>d.</t>
  </si>
  <si>
    <t>Enter the amount from Schedule SE, Section A, line 6, or Section B, line 13, whichever applies.</t>
  </si>
  <si>
    <t xml:space="preserve">1d.      - </t>
  </si>
  <si>
    <t>e.</t>
  </si>
  <si>
    <t>Subtract line 1d from 1c.</t>
  </si>
  <si>
    <r>
      <t xml:space="preserve">1e.      </t>
    </r>
    <r>
      <rPr>
        <sz val="10"/>
        <rFont val="Arial"/>
        <family val="2"/>
      </rPr>
      <t xml:space="preserve">= </t>
    </r>
  </si>
  <si>
    <t>For example, your net earnings from self-employment were less than $400.</t>
  </si>
  <si>
    <t xml:space="preserve">Do not include on these lines any statutory employee income, any net profit from services performed as a notary public, </t>
  </si>
  <si>
    <t>or any amount exempt from self-employment tax as the result of the filing and approval of Form 4029 or Form 4361.</t>
  </si>
  <si>
    <t xml:space="preserve">Enter any net farm profit or (loss) from Schedule F, line 36, and from </t>
  </si>
  <si>
    <t xml:space="preserve">2a.        </t>
  </si>
  <si>
    <t>farm partnerships, Schedule K-1 (Form 1065), box 14, code A*.</t>
  </si>
  <si>
    <t>Schedule C-EZ, line 3</t>
  </si>
  <si>
    <t>Enter any net profit or (loss) from Schedule C, line 31; Schedule C-EZ,</t>
  </si>
  <si>
    <t xml:space="preserve">2b.     + </t>
  </si>
  <si>
    <t>Schedule K-1 (Form 1065), box 14, code A (other than farming)</t>
  </si>
  <si>
    <t>line 3; Schedule K-1 (Form 1065), box 14, code A (other than farming);</t>
  </si>
  <si>
    <t>Schedule K-1 (Form 1065-B), box 9, code J1*.</t>
  </si>
  <si>
    <t>and Schedule K-1 (Form 1065-B), box 9, code J1*.</t>
  </si>
  <si>
    <t>Combine lines 2a and 2b.</t>
  </si>
  <si>
    <t xml:space="preserve">2c.     = </t>
  </si>
  <si>
    <t>*Reduce any Schedule K-1 amounts by any partnership section 179 expense deduction claimed,</t>
  </si>
  <si>
    <t xml:space="preserve"> unreimbursed partnership expenses claimed, and depletion claimed on oil and gas properties. If you</t>
  </si>
  <si>
    <t xml:space="preserve"> have any Schedule K-1 amounts, complete the appropriate line(s) of Schedule SE, Section A. Enter</t>
  </si>
  <si>
    <t>your name and social security number on Schedule SE and attach it to your return.</t>
  </si>
  <si>
    <t>Enter the amount from Schedule C, line 1, or Schedule C-EZ, line 1, that</t>
  </si>
  <si>
    <t>you are filing as a statutory employee.</t>
  </si>
  <si>
    <r>
      <t>Note.</t>
    </r>
    <r>
      <rPr>
        <sz val="10"/>
        <rFont val="Arial"/>
        <family val="2"/>
      </rPr>
      <t xml:space="preserve"> If line 4b includes income on which you should have paid self-employment tax but did not,</t>
    </r>
  </si>
  <si>
    <t>we may reduce your credit by the amount of self-employment tax not paid.</t>
  </si>
  <si>
    <t>4a.</t>
  </si>
  <si>
    <t>Enter your earned income from Step 5 on page 46.</t>
  </si>
  <si>
    <t>EarnedIncomeWSB</t>
  </si>
  <si>
    <t>If line 7 is zero,  STOP  you cannot take the credit.</t>
  </si>
  <si>
    <t>Are the amounts on lines 8 and 6 the same?</t>
  </si>
  <si>
    <t>Yes.  Skip line 10; enter the amount from line 7 on line 11.</t>
  </si>
  <si>
    <t>No.   Go to line 10.</t>
  </si>
  <si>
    <t xml:space="preserve">● </t>
  </si>
  <si>
    <t>Yes. Leave line 10 blank; enter the amount from line 7 on line 11.</t>
  </si>
  <si>
    <t xml:space="preserve">10.      </t>
  </si>
  <si>
    <t>column for your filing status and the number of children</t>
  </si>
  <si>
    <t>Look at the amounts on lines 10 and 7.</t>
  </si>
  <si>
    <t xml:space="preserve">11.      </t>
  </si>
  <si>
    <t>Reminder!</t>
  </si>
  <si>
    <t>Lines 66a and 66b --</t>
  </si>
  <si>
    <t>If the Worksheet Amount is:</t>
  </si>
  <si>
    <t>Single, Head of Household, or Qualifying Widow(er)</t>
  </si>
  <si>
    <t>Married Filing Jointly</t>
  </si>
  <si>
    <t>At least</t>
  </si>
  <si>
    <t>But less than</t>
  </si>
  <si>
    <t>No Children</t>
  </si>
  <si>
    <t>One Child</t>
  </si>
  <si>
    <t>3 or more children lived with you,</t>
  </si>
  <si>
    <t>2 children lived with you,</t>
  </si>
  <si>
    <t>1 child lived with you,</t>
  </si>
  <si>
    <t>No children lived with you,</t>
  </si>
  <si>
    <r>
      <t xml:space="preserve">for EIC purposes (explained later under </t>
    </r>
    <r>
      <rPr>
        <i/>
        <sz val="10"/>
        <rFont val="Arial"/>
        <family val="2"/>
      </rPr>
      <t>Definitions and Special Rules</t>
    </r>
    <r>
      <rPr>
        <sz val="10"/>
        <rFont val="Arial"/>
        <family val="2"/>
      </rPr>
      <t>)?</t>
    </r>
  </si>
  <si>
    <t>Enter “No” on the dotted line next to line 66a.</t>
  </si>
  <si>
    <t>No.  STOP  You cannot take the credit.</t>
  </si>
  <si>
    <t>Yes.  STOP  You cannot take the credit.</t>
  </si>
  <si>
    <r>
      <t xml:space="preserve">See </t>
    </r>
    <r>
      <rPr>
        <i/>
        <sz val="10"/>
        <rFont val="Arial"/>
        <family val="2"/>
      </rPr>
      <t>Non-resident aliens</t>
    </r>
    <r>
      <rPr>
        <sz val="10"/>
        <rFont val="Arial"/>
        <family val="2"/>
      </rPr>
      <t xml:space="preserve">, later, </t>
    </r>
  </si>
  <si>
    <r>
      <t xml:space="preserve">under </t>
    </r>
    <r>
      <rPr>
        <i/>
        <sz val="10"/>
        <rFont val="Arial"/>
        <family val="2"/>
      </rPr>
      <t>Definitions and Special Rules</t>
    </r>
  </si>
  <si>
    <t>No.  Continue to Step 2.</t>
  </si>
  <si>
    <r>
      <rPr>
        <b/>
        <sz val="10"/>
        <rFont val="Arial"/>
        <family val="2"/>
      </rPr>
      <t>Investment Income</t>
    </r>
    <r>
      <rPr>
        <sz val="10"/>
        <rFont val="Arial"/>
        <family val="2"/>
      </rPr>
      <t xml:space="preserve"> =</t>
    </r>
  </si>
  <si>
    <r>
      <t xml:space="preserve">Yes.  See </t>
    </r>
    <r>
      <rPr>
        <i/>
        <sz val="10"/>
        <rFont val="Arial"/>
        <family val="2"/>
      </rPr>
      <t>Form 4797 filers</t>
    </r>
    <r>
      <rPr>
        <sz val="10"/>
        <rFont val="Arial"/>
        <family val="2"/>
      </rPr>
      <t>,</t>
    </r>
  </si>
  <si>
    <t>You are filing Form 8814 (relating to election to report child’s interest</t>
  </si>
  <si>
    <t>and dividends on your return).</t>
  </si>
  <si>
    <t>You have income or loss from a passive activity.</t>
  </si>
  <si>
    <t>Error?</t>
  </si>
  <si>
    <t>Vacation / S.T. Rental</t>
  </si>
  <si>
    <r>
      <t xml:space="preserve">You are filing Schedule E.      </t>
    </r>
    <r>
      <rPr>
        <i/>
        <sz val="10"/>
        <rFont val="Arial"/>
        <family val="2"/>
      </rPr>
      <t xml:space="preserve"> (This is automatically completed.)</t>
    </r>
  </si>
  <si>
    <t>Yes.  Use Worksheet 1</t>
  </si>
  <si>
    <t xml:space="preserve">         in Pub. 596 to see if you</t>
  </si>
  <si>
    <t xml:space="preserve">         can take the credit.</t>
  </si>
  <si>
    <r>
      <t xml:space="preserve">Add the amounts from Form 1040:       </t>
    </r>
    <r>
      <rPr>
        <i/>
        <sz val="10"/>
        <rFont val="Arial"/>
        <family val="2"/>
      </rPr>
      <t>(This is automatically completed.)</t>
    </r>
  </si>
  <si>
    <t>half brother, half sister, or a descendant of any of them</t>
  </si>
  <si>
    <t xml:space="preserve">Son, daughter, stepchild, foster child, brother, sister, stepbrother, stepsister, </t>
  </si>
  <si>
    <t>(or your spouse, if filing jointly),</t>
  </si>
  <si>
    <t>Any age and permanently and totally disabled (defined later)</t>
  </si>
  <si>
    <r>
      <t>and</t>
    </r>
    <r>
      <rPr>
        <sz val="10"/>
        <rFont val="Arial"/>
        <family val="2"/>
      </rPr>
      <t>,</t>
    </r>
  </si>
  <si>
    <t>was …</t>
  </si>
  <si>
    <t>number (SSN) as defined later unless the</t>
  </si>
  <si>
    <t>If at least one qualifying child has a valid SSN</t>
  </si>
  <si>
    <t>Otherwise, you cannot take the credit.</t>
  </si>
  <si>
    <t>See CAUTIONS and TIP in the instructions.</t>
  </si>
  <si>
    <t>No.  Skip questions 2 and 3; go to Step 4.</t>
  </si>
  <si>
    <t xml:space="preserve">         go to Step 5.</t>
  </si>
  <si>
    <t>Yes.  Skip question 3 and Step 4;</t>
  </si>
  <si>
    <t xml:space="preserve">(Check "No" if the other person is not rquired to file, and </t>
  </si>
  <si>
    <t>to claim a refund of withheld income tax or estimated tax</t>
  </si>
  <si>
    <t>paid (see Pub. 596 for examples).)</t>
  </si>
  <si>
    <t>Were you, or your spouse if filing a joint return, at least age</t>
  </si>
  <si>
    <t>you, or your spouse if filing a joint return, were born after</t>
  </si>
  <si>
    <t>Was your main home, and your spouse's if filing a joint</t>
  </si>
  <si>
    <t>Members of the military stationed outside the United States,</t>
  </si>
  <si>
    <r>
      <t xml:space="preserve">see </t>
    </r>
    <r>
      <rPr>
        <i/>
        <sz val="10"/>
        <rFont val="Arial"/>
        <family val="2"/>
      </rPr>
      <t>Members of the military</t>
    </r>
    <r>
      <rPr>
        <sz val="10"/>
        <rFont val="Arial"/>
        <family val="2"/>
      </rPr>
      <t>, in the instructions, before you answer.</t>
    </r>
  </si>
  <si>
    <t>Enter "No" on the dotted</t>
  </si>
  <si>
    <t>line next to line 66a.</t>
  </si>
  <si>
    <t>and 6; go to Step 5.</t>
  </si>
  <si>
    <t>Yes.  Skip questions 5</t>
  </si>
  <si>
    <t>Yes.  STOP  You cannot take the</t>
  </si>
  <si>
    <t>credit.  Enter "No" on</t>
  </si>
  <si>
    <t>the dotted line next to</t>
  </si>
  <si>
    <t>line 66a.</t>
  </si>
  <si>
    <t>tax return?</t>
  </si>
  <si>
    <t>No.  Go to Step 5.</t>
  </si>
  <si>
    <r>
      <t xml:space="preserve">See </t>
    </r>
    <r>
      <rPr>
        <i/>
        <sz val="10"/>
        <rFont val="Arial"/>
        <family val="2"/>
      </rPr>
      <t>Clergy or Church employees</t>
    </r>
    <r>
      <rPr>
        <sz val="10"/>
        <rFont val="Arial"/>
        <family val="2"/>
      </rPr>
      <t xml:space="preserve">, </t>
    </r>
  </si>
  <si>
    <t>whichever applies.</t>
  </si>
  <si>
    <t>No.  Complete the</t>
  </si>
  <si>
    <t>following worksheet.</t>
  </si>
  <si>
    <t>Enter the amount from Form 1040, line 7</t>
  </si>
  <si>
    <t>Enter any amount included on Form 1040, line 7,</t>
  </si>
  <si>
    <t>that is a taxable scholarship or fellowship grant</t>
  </si>
  <si>
    <t>not reported on a Form W-2.</t>
  </si>
  <si>
    <t xml:space="preserve">Enter any amount included on Form 1040, line 7, </t>
  </si>
  <si>
    <t>that you received for work perform while an</t>
  </si>
  <si>
    <t>inmate in a penal institution.  (Enter "PRI" and</t>
  </si>
  <si>
    <t>the same amount on the dotted line next to Form</t>
  </si>
  <si>
    <t>1040, line 7.)</t>
  </si>
  <si>
    <t>that you received as a pension or annuity from a</t>
  </si>
  <si>
    <t>nongovernmental section 457 plan. (Enter “DFC”</t>
  </si>
  <si>
    <t>and the same amount on the dotted line next to</t>
  </si>
  <si>
    <t>Form 1040, line 7.) This amount may be shown</t>
  </si>
  <si>
    <t>in box 11 of Form W-2. If you received such an</t>
  </si>
  <si>
    <t>amount but box 11 is blank, contact your</t>
  </si>
  <si>
    <t>employer for the amount received</t>
  </si>
  <si>
    <t>that is a Medicaid waiver payment you exclude</t>
  </si>
  <si>
    <t>from income. (See the instructions for</t>
  </si>
  <si>
    <t>line 21)</t>
  </si>
  <si>
    <t>Add lines 2, 3, 4, and 5.</t>
  </si>
  <si>
    <t xml:space="preserve">Step 5 </t>
  </si>
  <si>
    <t xml:space="preserve">Step 4 </t>
  </si>
  <si>
    <t xml:space="preserve">Step 3 </t>
  </si>
  <si>
    <t>Step 2</t>
  </si>
  <si>
    <t>Step 1</t>
  </si>
  <si>
    <t>Filers Without a Qualifying Child</t>
  </si>
  <si>
    <t>Qualifying Child</t>
  </si>
  <si>
    <t>Investment Income</t>
  </si>
  <si>
    <t>All Filers</t>
  </si>
  <si>
    <t>Subtract line 6 from line 1</t>
  </si>
  <si>
    <t>Enter all of your nontaxable combat pay if you</t>
  </si>
  <si>
    <t>elect to include it in earned income. Also enter</t>
  </si>
  <si>
    <r>
      <rPr>
        <i/>
        <sz val="10"/>
        <rFont val="Arial"/>
        <family val="2"/>
      </rPr>
      <t>pay, nontaxable</t>
    </r>
    <r>
      <rPr>
        <sz val="10"/>
        <rFont val="Arial"/>
        <family val="2"/>
      </rPr>
      <t>, in the instructions.</t>
    </r>
  </si>
  <si>
    <r>
      <t xml:space="preserve">this amount on Form 1040, line 66b. See </t>
    </r>
    <r>
      <rPr>
        <i/>
        <sz val="10"/>
        <rFont val="Arial"/>
        <family val="2"/>
      </rPr>
      <t>Combat</t>
    </r>
  </si>
  <si>
    <t>Electing to include nontaxable combat</t>
  </si>
  <si>
    <t>pay may increase or decrease your EIC. Figure</t>
  </si>
  <si>
    <t>the credit with and without your nontaxable</t>
  </si>
  <si>
    <t>combat pay before making the election.</t>
  </si>
  <si>
    <t>earned income.</t>
  </si>
  <si>
    <r>
      <t xml:space="preserve">Add lines 7 and 8.  </t>
    </r>
    <r>
      <rPr>
        <b/>
        <sz val="10"/>
        <rFont val="Arial"/>
        <family val="2"/>
      </rPr>
      <t>This is your</t>
    </r>
  </si>
  <si>
    <t>Yes.  Skip question 3 and Step 6;</t>
  </si>
  <si>
    <t>go to Worksheet B.</t>
  </si>
  <si>
    <r>
      <rPr>
        <i/>
        <sz val="10"/>
        <rFont val="Arial"/>
        <family val="2"/>
      </rPr>
      <t>figured by the IRS</t>
    </r>
    <r>
      <rPr>
        <sz val="10"/>
        <rFont val="Arial"/>
        <family val="2"/>
      </rPr>
      <t>, in the instructions.</t>
    </r>
  </si>
  <si>
    <r>
      <t xml:space="preserve">Yes.  See </t>
    </r>
    <r>
      <rPr>
        <i/>
        <sz val="10"/>
        <rFont val="Arial"/>
        <family val="2"/>
      </rPr>
      <t>Credit figured by the IRS.</t>
    </r>
  </si>
  <si>
    <t>How To Figure the Credit</t>
  </si>
  <si>
    <t>Earned Income</t>
  </si>
  <si>
    <t xml:space="preserve">Step 6 </t>
  </si>
  <si>
    <t xml:space="preserve"> - All Filers Using Worksheet A</t>
  </si>
  <si>
    <t>PART 1</t>
  </si>
  <si>
    <r>
      <rPr>
        <b/>
        <sz val="10"/>
        <rFont val="Arial"/>
        <family val="2"/>
      </rPr>
      <t xml:space="preserve">Before you begin: </t>
    </r>
    <r>
      <rPr>
        <sz val="10"/>
        <rFont val="Arial"/>
        <family val="2"/>
      </rPr>
      <t xml:space="preserve"> Be sure you are using the correct worksheet.</t>
    </r>
  </si>
  <si>
    <t>Use this worksheet only if you answered "No" to Step 5, question 2.</t>
  </si>
  <si>
    <t>Otherwise, use Worksheet B.</t>
  </si>
  <si>
    <t>Enter your earned income from Step 5.</t>
  </si>
  <si>
    <t>Look up the amount on line 1 above in the EIC Table (right after</t>
  </si>
  <si>
    <t>Worksheet B) to find the credit. Be sure you use the correct column</t>
  </si>
  <si>
    <t>for your filing status and the number of children you have. Enter the</t>
  </si>
  <si>
    <t>credit here.</t>
  </si>
  <si>
    <t>EIC_EarnedIncome</t>
  </si>
  <si>
    <t>Three Children+</t>
  </si>
  <si>
    <t>Two Children</t>
  </si>
  <si>
    <t>Two Qualify Children</t>
  </si>
  <si>
    <t>Three Qualify Children</t>
  </si>
  <si>
    <t>- Filers who answered "No" on Line 4.</t>
  </si>
  <si>
    <t>PART 2</t>
  </si>
  <si>
    <t>- Your Earned Income Credit</t>
  </si>
  <si>
    <t>PART 3</t>
  </si>
  <si>
    <r>
      <t>No.</t>
    </r>
    <r>
      <rPr>
        <sz val="10"/>
        <rFont val="Arial"/>
        <family val="2"/>
      </rPr>
      <t xml:space="preserve">   Look up the amount on line 3 in the EIC Table to find the</t>
    </r>
  </si>
  <si>
    <t>Worksheet B  —  Earned Income Credit (EIC)  —  Lines 66a and 66b</t>
  </si>
  <si>
    <t xml:space="preserve">         next to line 66a.</t>
  </si>
  <si>
    <t>Worksheet A  —  Earned Income Credit (EIC)  —  Lines 66a and 66b</t>
  </si>
  <si>
    <t>Worksheet B  —  Earned Income Credit (EIC)  —  Lines 66a and 66b (continued)</t>
  </si>
  <si>
    <t>If line 4b is zero or less,   STOP  you cannot take the credit. Enter “No” on the dotted line next to line 66a.</t>
  </si>
  <si>
    <t>No.   You cannot take the credit. Enter “No” on the dotted line next to line 66a.</t>
  </si>
  <si>
    <t>Form 1040, line 66a.</t>
  </si>
  <si>
    <t>M420</t>
  </si>
  <si>
    <t>- Self-Employed, Members of the Clergy, and People With Church Employee Income Filing Schedule SE</t>
  </si>
  <si>
    <t>- Self-Employed NOT Required To File Schedule SE</t>
  </si>
  <si>
    <t>- Statutory Employees Filing Schedule C or C-EZ</t>
  </si>
  <si>
    <t>- All Filers Using Worksheet B</t>
  </si>
  <si>
    <t>PART 4</t>
  </si>
  <si>
    <t>PART 5</t>
  </si>
  <si>
    <t>- Filers Who Answered “No” on Line 9</t>
  </si>
  <si>
    <t>PART 6</t>
  </si>
  <si>
    <t>PART 7</t>
  </si>
  <si>
    <t>No. Look up the amount on line 8 in the EIC Table to find the</t>
  </si>
  <si>
    <t>credit. Be sure you use the correct column for your filing</t>
  </si>
  <si>
    <t>Enter your total earned income from Part 4, line 4b.</t>
  </si>
  <si>
    <t>here.</t>
  </si>
  <si>
    <t>status and the number of children you have. Enter the credit</t>
  </si>
  <si>
    <r>
      <t xml:space="preserve">Then, enter the </t>
    </r>
    <r>
      <rPr>
        <b/>
        <sz val="10"/>
        <rFont val="Arial"/>
        <family val="2"/>
      </rPr>
      <t>smaller</t>
    </r>
    <r>
      <rPr>
        <sz val="10"/>
        <rFont val="Arial"/>
        <family val="2"/>
      </rPr>
      <t xml:space="preserve"> amount on line 11.</t>
    </r>
  </si>
  <si>
    <t>If your EIC for a year after 1996 was reduced or disallowed, see</t>
  </si>
  <si>
    <t>Foreign Earned Income</t>
  </si>
  <si>
    <t>2555</t>
  </si>
  <si>
    <t>For Use by U.S. Citizens and Resident Aliens Only</t>
  </si>
  <si>
    <t>Name shown on Form 1040</t>
  </si>
  <si>
    <t>General Information</t>
  </si>
  <si>
    <t>Your foreign address (including country)</t>
  </si>
  <si>
    <t>Employer’s name</t>
  </si>
  <si>
    <t>Employer’s U.S. address</t>
  </si>
  <si>
    <t>Employer’s foreign address</t>
  </si>
  <si>
    <t xml:space="preserve">b </t>
  </si>
  <si>
    <t>Employer is (check
any that apply):</t>
  </si>
  <si>
    <t>4 a</t>
  </si>
  <si>
    <t xml:space="preserve"> A foreign entity</t>
  </si>
  <si>
    <t xml:space="preserve"> A foreign affiliate of a U.S. company</t>
  </si>
  <si>
    <t xml:space="preserve">a </t>
  </si>
  <si>
    <t xml:space="preserve">c </t>
  </si>
  <si>
    <t xml:space="preserve">d </t>
  </si>
  <si>
    <t xml:space="preserve">e </t>
  </si>
  <si>
    <t xml:space="preserve"> Self</t>
  </si>
  <si>
    <t xml:space="preserve"> A U.S. company</t>
  </si>
  <si>
    <t xml:space="preserve"> Other (specify)</t>
  </si>
  <si>
    <t>If you previously filed Form 2555 or Form 2555-EZ, enter the last year you filed the form.</t>
  </si>
  <si>
    <t>6 a</t>
  </si>
  <si>
    <t xml:space="preserve"> and go to line 7.</t>
  </si>
  <si>
    <t>Have you ever revoked either of the exclusions?</t>
  </si>
  <si>
    <t>If you answered “Yes,” enter the type of exclusion and the tax year for which the revocation was effective.</t>
  </si>
  <si>
    <t>Of what country are you a citizen/national?</t>
  </si>
  <si>
    <t>Did you maintain a separate foreign residence for your family because of adverse living conditions at your</t>
  </si>
  <si>
    <t>8 a</t>
  </si>
  <si>
    <t>If “Yes,” enter city and country of the separate foreign residence. Also, enter the number of days during your tax year that you</t>
  </si>
  <si>
    <t>maintained a second household at that address.</t>
  </si>
  <si>
    <t>List your tax home(s) during your tax year and date(s) established.</t>
  </si>
  <si>
    <t>the information asked for, any exclusion or deduction you claim may be disallowed.</t>
  </si>
  <si>
    <t>Taxpayers Qualifying Under Bona Fide Residence Test (see instructions)</t>
  </si>
  <si>
    <t>Date bona fide residence began</t>
  </si>
  <si>
    <t>, and ended</t>
  </si>
  <si>
    <t>Kind of living quarters in foreign country</t>
  </si>
  <si>
    <t xml:space="preserve"> Purchased house</t>
  </si>
  <si>
    <t>Rented house or apartment</t>
  </si>
  <si>
    <t>Rented room</t>
  </si>
  <si>
    <t xml:space="preserve"> Quarters furnished by employer</t>
  </si>
  <si>
    <t>Did any of your family live with you abroad during any part of the tax year?</t>
  </si>
  <si>
    <t xml:space="preserve">12 a </t>
  </si>
  <si>
    <t>If “Yes,” who and for what period?</t>
  </si>
  <si>
    <t>Have you submitted a statement to the authorities of the foreign country where you claim bona fide</t>
  </si>
  <si>
    <t xml:space="preserve">13 a </t>
  </si>
  <si>
    <t>Are you required to pay income tax to the country where you claim bona fide residence? See instructions</t>
  </si>
  <si>
    <t>this part.</t>
  </si>
  <si>
    <r>
      <rPr>
        <b/>
        <sz val="8"/>
        <rFont val="Arial"/>
        <family val="2"/>
      </rPr>
      <t>(a)</t>
    </r>
    <r>
      <rPr>
        <sz val="8"/>
        <rFont val="Arial"/>
        <family val="2"/>
      </rPr>
      <t xml:space="preserve"> Date 
arrived in U.S.</t>
    </r>
  </si>
  <si>
    <r>
      <rPr>
        <b/>
        <sz val="8"/>
        <rFont val="Arial"/>
        <family val="2"/>
      </rPr>
      <t>(b)</t>
    </r>
    <r>
      <rPr>
        <sz val="8"/>
        <rFont val="Arial"/>
        <family val="2"/>
      </rPr>
      <t xml:space="preserve"> Date left
U.S.</t>
    </r>
  </si>
  <si>
    <r>
      <rPr>
        <b/>
        <sz val="8"/>
        <rFont val="Arial"/>
        <family val="2"/>
      </rPr>
      <t>(c)</t>
    </r>
    <r>
      <rPr>
        <sz val="8"/>
        <rFont val="Arial"/>
        <family val="2"/>
      </rPr>
      <t xml:space="preserve"> Number of
days in U.S. 
on business</t>
    </r>
  </si>
  <si>
    <r>
      <rPr>
        <b/>
        <sz val="8"/>
        <rFont val="Arial"/>
        <family val="2"/>
      </rPr>
      <t>(d)</t>
    </r>
    <r>
      <rPr>
        <sz val="8"/>
        <rFont val="Arial"/>
        <family val="2"/>
      </rPr>
      <t xml:space="preserve"> Income earned in 
U.S. on business 
(attach computation)</t>
    </r>
  </si>
  <si>
    <r>
      <t xml:space="preserve">(a) </t>
    </r>
    <r>
      <rPr>
        <sz val="8"/>
        <rFont val="Arial"/>
        <family val="2"/>
      </rPr>
      <t>Date 
arrived in U.S.</t>
    </r>
  </si>
  <si>
    <t>List any contractual terms or other conditions relating to the length of your employment abroad.</t>
  </si>
  <si>
    <t xml:space="preserve">15 a </t>
  </si>
  <si>
    <t>Enter the type of visa under which you entered the foreign country.</t>
  </si>
  <si>
    <t>Did your visa limit the length of your stay or employment in a foreign country? If “Yes,” attach explanation</t>
  </si>
  <si>
    <t>Did you maintain a home in the United States while living abroad?</t>
  </si>
  <si>
    <t>If “Yes,” enter address of your home, whether it was rented, the names of the occupants, and their relationship</t>
  </si>
  <si>
    <t>Cat. No. 11900P</t>
  </si>
  <si>
    <r>
      <rPr>
        <sz val="8"/>
        <rFont val="Arial"/>
        <family val="2"/>
      </rPr>
      <t xml:space="preserve">Form </t>
    </r>
    <r>
      <rPr>
        <b/>
        <sz val="12"/>
        <rFont val="Arial"/>
        <family val="2"/>
      </rPr>
      <t>2555</t>
    </r>
  </si>
  <si>
    <t>Taxpayers Qualifying Under Physical Presence Test (see instructions)</t>
  </si>
  <si>
    <t>The physical presence test is based on the 12-month period from</t>
  </si>
  <si>
    <t>through</t>
  </si>
  <si>
    <t>Enter your principal country of employment during your tax year.</t>
  </si>
  <si>
    <t>(a) Name of country 
(including U.S.)</t>
  </si>
  <si>
    <t>(b) Date arrived</t>
  </si>
  <si>
    <t>(c) Date left</t>
  </si>
  <si>
    <t>(d) Full days 
present 
in country</t>
  </si>
  <si>
    <t>(e) Number of 
days in U.S. 
on business</t>
  </si>
  <si>
    <t>(f) Income earned in U.S. 
on business 
(attach computation)</t>
  </si>
  <si>
    <t>All Taxpayers</t>
  </si>
  <si>
    <t>constructively received the income.</t>
  </si>
  <si>
    <t>the service.</t>
  </si>
  <si>
    <t>Amount 
(in U.S. dollars)</t>
  </si>
  <si>
    <t>Total wages, salaries, bonuses, commissions, etc.</t>
  </si>
  <si>
    <t>Allowable share of income for personal services performed (see instructions):</t>
  </si>
  <si>
    <t>In a business (including farming) or profession</t>
  </si>
  <si>
    <t>In a partnership. List partnership’s name and address and type of income.</t>
  </si>
  <si>
    <t xml:space="preserve">20 </t>
  </si>
  <si>
    <t xml:space="preserve">19 </t>
  </si>
  <si>
    <t xml:space="preserve">21 </t>
  </si>
  <si>
    <t>Noncash income (market value of property or facilities furnished by employer—attach statement</t>
  </si>
  <si>
    <t>showing how it was determined):</t>
  </si>
  <si>
    <t>Home (lodging)</t>
  </si>
  <si>
    <t>Meals</t>
  </si>
  <si>
    <t>Car</t>
  </si>
  <si>
    <t>21c</t>
  </si>
  <si>
    <t>Other property or facilities. List type and amount.</t>
  </si>
  <si>
    <t>21d</t>
  </si>
  <si>
    <t>22a</t>
  </si>
  <si>
    <t>22b</t>
  </si>
  <si>
    <t>22c</t>
  </si>
  <si>
    <t>22d</t>
  </si>
  <si>
    <t>Cost of living and overseas differential</t>
  </si>
  <si>
    <t>Allowances, reimbursements, or expenses paid on your behalf for services you performed:</t>
  </si>
  <si>
    <t xml:space="preserve">22 </t>
  </si>
  <si>
    <t>22e</t>
  </si>
  <si>
    <t>Family</t>
  </si>
  <si>
    <t>Education</t>
  </si>
  <si>
    <t>Home leave</t>
  </si>
  <si>
    <t>Quarters</t>
  </si>
  <si>
    <t>For any other purpose. List type and amount.</t>
  </si>
  <si>
    <t xml:space="preserve">f </t>
  </si>
  <si>
    <t>22f</t>
  </si>
  <si>
    <t>Add lines 22a through 22f</t>
  </si>
  <si>
    <t xml:space="preserve">g </t>
  </si>
  <si>
    <t>22g</t>
  </si>
  <si>
    <t xml:space="preserve">23 </t>
  </si>
  <si>
    <t>Other foreign earned income. List type and amount.</t>
  </si>
  <si>
    <t>Add lines 19 through 21d, line 22g, and line 23</t>
  </si>
  <si>
    <t xml:space="preserve">24 </t>
  </si>
  <si>
    <t>Total amount of meals and lodging included on line 24 that is excludable (see instructions)</t>
  </si>
  <si>
    <t xml:space="preserve">25 </t>
  </si>
  <si>
    <t xml:space="preserve">26 </t>
  </si>
  <si>
    <t>Subtract line 25 from line 24. Enter the result here and on line 27 on page 3.</t>
  </si>
  <si>
    <t>foreign earned income.</t>
  </si>
  <si>
    <t xml:space="preserve">27 </t>
  </si>
  <si>
    <t>Enter the amount from line 26</t>
  </si>
  <si>
    <t>Are you claiming the housing exclusion or housing deduction?</t>
  </si>
  <si>
    <r>
      <t xml:space="preserve"> </t>
    </r>
    <r>
      <rPr>
        <b/>
        <sz val="10"/>
        <rFont val="Arial"/>
        <family val="2"/>
      </rPr>
      <t xml:space="preserve">Yes. </t>
    </r>
    <r>
      <rPr>
        <sz val="10"/>
        <rFont val="Arial"/>
        <family val="2"/>
      </rPr>
      <t xml:space="preserve"> Complete Part VI.</t>
    </r>
  </si>
  <si>
    <r>
      <t xml:space="preserve"> </t>
    </r>
    <r>
      <rPr>
        <b/>
        <sz val="10"/>
        <rFont val="Arial"/>
        <family val="2"/>
      </rPr>
      <t>No.</t>
    </r>
    <r>
      <rPr>
        <sz val="10"/>
        <rFont val="Arial"/>
        <family val="2"/>
      </rPr>
      <t xml:space="preserve">   Go to Part VII.</t>
    </r>
  </si>
  <si>
    <t>Taxpayers Claiming the Housing Exclusion and/or Deduction</t>
  </si>
  <si>
    <t>Qualified housing expenses for the tax year (see instructions)</t>
  </si>
  <si>
    <t>Enter location where housing expenses incurred (see instructions)</t>
  </si>
  <si>
    <t xml:space="preserve">29 a </t>
  </si>
  <si>
    <t>Enter limit on housing expenses (see instructions)</t>
  </si>
  <si>
    <t>29b</t>
  </si>
  <si>
    <t>year (see instructions)</t>
  </si>
  <si>
    <t>days</t>
  </si>
  <si>
    <t>any of Part IX</t>
  </si>
  <si>
    <t>Enter employer-provided amounts (see instructions)</t>
  </si>
  <si>
    <t>amount on line 34. Also, complete Part VIII</t>
  </si>
  <si>
    <t>income exclusion, complete Parts VII and VIII before Part IX.</t>
  </si>
  <si>
    <t>Taxpayers Claiming the Foreign Earned Income Exclusion</t>
  </si>
  <si>
    <t>Part VII</t>
  </si>
  <si>
    <t>Maximum foreign earned income exclusion</t>
  </si>
  <si>
    <t>37</t>
  </si>
  <si>
    <t>If you completed Part VI, enter the number from line 31.</t>
  </si>
  <si>
    <t>38</t>
  </si>
  <si>
    <t>All others, enter the number of days in your qualifying period that</t>
  </si>
  <si>
    <t>a decimal (rounded to at least three places).</t>
  </si>
  <si>
    <t>Multiply line 37 by line 39</t>
  </si>
  <si>
    <t>39</t>
  </si>
  <si>
    <t>40</t>
  </si>
  <si>
    <t>Subtract line 36 from line 27</t>
  </si>
  <si>
    <t>41</t>
  </si>
  <si>
    <t>42</t>
  </si>
  <si>
    <t>Part VIII</t>
  </si>
  <si>
    <t>Taxpayers Claiming the Housing Exclusion, Foreign Earned Income Exclusion, or Both</t>
  </si>
  <si>
    <t>Add lines 36 and 42</t>
  </si>
  <si>
    <t>43</t>
  </si>
  <si>
    <t>Deductions allowed in figuring your adjusted gross income (Form 1040, line 37) that are allocable</t>
  </si>
  <si>
    <t>44</t>
  </si>
  <si>
    <t>to the excluded income. See instructions and attach computation</t>
  </si>
  <si>
    <t>45</t>
  </si>
  <si>
    <t>Next to the amount enter “Form 2555.” On Form 1040, subtract this amount from your income</t>
  </si>
  <si>
    <t>to arrive at total income on Form 1040, line 22</t>
  </si>
  <si>
    <t>Part IX</t>
  </si>
  <si>
    <r>
      <t>Taxpayers Claiming the Housing Deduction</t>
    </r>
    <r>
      <rPr>
        <sz val="12"/>
        <rFont val="Arial"/>
        <family val="2"/>
      </rPr>
      <t>—Complete this part only if (a) line 33 is more than line 36 and
(b) line 27 is more than line 43.</t>
    </r>
  </si>
  <si>
    <t>Subtract line 36 from line 33</t>
  </si>
  <si>
    <t>Subtract line 43 from line 27</t>
  </si>
  <si>
    <t>46</t>
  </si>
  <si>
    <t>47</t>
  </si>
  <si>
    <t>48</t>
  </si>
  <si>
    <t>figure the amount to enter on line 49. Otherwise, go to line 50.</t>
  </si>
  <si>
    <t>49</t>
  </si>
  <si>
    <t>50</t>
  </si>
  <si>
    <t>line 36. Next to the amount on Form 1040, enter “Form 2555.” Add it to the total adjustments</t>
  </si>
  <si>
    <t>reported on that line</t>
  </si>
  <si>
    <t>Number of days</t>
  </si>
  <si>
    <t>in your tax year.</t>
  </si>
  <si>
    <r>
      <t xml:space="preserve">Subtract line 44 from line 43. Enter the result here and in parentheses on </t>
    </r>
    <r>
      <rPr>
        <b/>
        <sz val="10"/>
        <rFont val="Arial"/>
        <family val="2"/>
      </rPr>
      <t>Form 1040, line 21</t>
    </r>
    <r>
      <rPr>
        <sz val="10"/>
        <rFont val="Arial"/>
        <family val="2"/>
      </rPr>
      <t>.</t>
    </r>
  </si>
  <si>
    <r>
      <t xml:space="preserve">Enter the </t>
    </r>
    <r>
      <rPr>
        <b/>
        <sz val="10"/>
        <rFont val="Arial"/>
        <family val="2"/>
      </rPr>
      <t>smaller</t>
    </r>
    <r>
      <rPr>
        <sz val="10"/>
        <rFont val="Arial"/>
        <family val="2"/>
      </rPr>
      <t xml:space="preserve"> of line 46 or line 47</t>
    </r>
  </si>
  <si>
    <r>
      <rPr>
        <b/>
        <sz val="10"/>
        <rFont val="Arial"/>
        <family val="2"/>
      </rPr>
      <t>Housing deduction.</t>
    </r>
    <r>
      <rPr>
        <sz val="10"/>
        <rFont val="Arial"/>
        <family val="2"/>
      </rPr>
      <t xml:space="preserve"> Add lines 48 and 49. Enter the total here and on Form 1040 to the left of</t>
    </r>
  </si>
  <si>
    <t xml:space="preserve">.   .   .   .   .   .   .   .   .   .   .   .   .   .   .   .   .   .   .   .   .   .   .   .   .   .   .   .   .   .   .   .   .   . </t>
  </si>
  <si>
    <t xml:space="preserve">.   .   .   .   .   .   .   .   .   .   .   .   .   .   .   .   .   .   .   .   .   .   .   .   .   .   .   .   .   .   .   .   .   .   .   .   .   . </t>
  </si>
  <si>
    <t xml:space="preserve">.   .   .   .   .   .   .   .   .   .   .   .   .   .   .   .   .   .   .   .   .   .   .   .   .   .   .   .   .   .   .   .   .   .   .   .   .   .   .   . </t>
  </si>
  <si>
    <t xml:space="preserve">.   .   .   .   .   .   .   .   .   .   .   .   .   .   .   .   .   .   .   .   .   .   .   .   .   .   .   .   .   .   .   .   . </t>
  </si>
  <si>
    <t xml:space="preserve">.   .   .   .   .   .   .   .   .   .   .   .   .   .   .   .   .   .   .   .   .   .   .   .   .   .   .   .   .   .   .   .   .   .   .   . </t>
  </si>
  <si>
    <r>
      <rPr>
        <b/>
        <sz val="10"/>
        <rFont val="Arial"/>
        <family val="2"/>
      </rPr>
      <t xml:space="preserve">Note: </t>
    </r>
    <r>
      <rPr>
        <sz val="10"/>
        <rFont val="Arial"/>
        <family val="2"/>
      </rPr>
      <t>The housing deduction is figured in Part IX. If you choose to claim the foreign earned</t>
    </r>
  </si>
  <si>
    <t xml:space="preserve">Subtract line 32 from line 30. </t>
  </si>
  <si>
    <t>Use this worksheet if you answered “Yes” to Step 5, question 2.</t>
  </si>
  <si>
    <t>Before you check Box A, B, or C below, see whether you received any Form(s) 1099-B or substitute statement(s) from your broker. A substitute 
statement will have the same information as Form 1099-B. Either will show whether your basis (usually your cost) was reported to the IRS by your
broker and may even tell you which box to check.</t>
  </si>
  <si>
    <t>Before you check Box D, E, or F below, see whether you received any Form(s) 1099-B or substitute statement(s) from your broker. A substitute 
statement will have the same information as Form 1099-B. Either will show whether your basis (usually your cost) was reported to the IRS by your
broker and may even tell you which box to check.</t>
  </si>
  <si>
    <r>
      <rPr>
        <b/>
        <sz val="9"/>
        <rFont val="Arial"/>
        <family val="2"/>
      </rPr>
      <t>Note.</t>
    </r>
    <r>
      <rPr>
        <sz val="9"/>
        <rFont val="Arial"/>
        <family val="2"/>
      </rPr>
      <t xml:space="preserve"> If you checked Box D above but the basis reported to the IRS was incorrect, enter in column (e) the basis as reported to the IRS, and enter an 
adjustment in column (g) to correct the basis. See </t>
    </r>
    <r>
      <rPr>
        <i/>
        <sz val="9"/>
        <rFont val="Arial"/>
        <family val="2"/>
      </rPr>
      <t>Column (g)</t>
    </r>
    <r>
      <rPr>
        <sz val="9"/>
        <rFont val="Arial"/>
        <family val="2"/>
      </rPr>
      <t xml:space="preserve"> in the separate instructions for how to figure the amount of the adjustment.</t>
    </r>
  </si>
  <si>
    <r>
      <t xml:space="preserve"> This is your </t>
    </r>
    <r>
      <rPr>
        <b/>
        <sz val="9"/>
        <rFont val="Arial"/>
        <family val="2"/>
      </rPr>
      <t>total income</t>
    </r>
    <r>
      <rPr>
        <sz val="9"/>
        <rFont val="Arial"/>
        <family val="2"/>
      </rPr>
      <t xml:space="preserve">        </t>
    </r>
  </si>
  <si>
    <r>
      <rPr>
        <sz val="7"/>
        <rFont val="Arial"/>
        <family val="2"/>
      </rPr>
      <t xml:space="preserve">Form </t>
    </r>
    <r>
      <rPr>
        <sz val="8"/>
        <rFont val="Arial"/>
        <family val="2"/>
      </rPr>
      <t xml:space="preserve">8959  </t>
    </r>
    <r>
      <rPr>
        <b/>
        <sz val="8"/>
        <rFont val="Arial"/>
        <family val="2"/>
      </rPr>
      <t>b</t>
    </r>
  </si>
  <si>
    <r>
      <t xml:space="preserve">Taxes from:  </t>
    </r>
    <r>
      <rPr>
        <b/>
        <sz val="9"/>
        <rFont val="Arial"/>
        <family val="2"/>
      </rPr>
      <t>a</t>
    </r>
  </si>
  <si>
    <r>
      <t xml:space="preserve">Form </t>
    </r>
    <r>
      <rPr>
        <b/>
        <sz val="9"/>
        <rFont val="Arial"/>
        <family val="2"/>
      </rPr>
      <t>1040</t>
    </r>
  </si>
  <si>
    <r>
      <rPr>
        <b/>
        <sz val="7"/>
        <rFont val="Arial"/>
        <family val="2"/>
      </rPr>
      <t xml:space="preserve">(h) Gain or (loss) </t>
    </r>
    <r>
      <rPr>
        <sz val="7"/>
        <rFont val="Arial"/>
        <family val="2"/>
      </rPr>
      <t xml:space="preserve">
Subtract column (e) 
from column (d) and 
combine the result with 
column (g)</t>
    </r>
  </si>
  <si>
    <t>Enter the total of the amounts from Form 1040, lines</t>
  </si>
  <si>
    <r>
      <t>entered on the dotted line next to line 36</t>
    </r>
    <r>
      <rPr>
        <b/>
        <sz val="10"/>
        <rFont val="Arial"/>
        <family val="2"/>
      </rPr>
      <t xml:space="preserve">.   .   .   .   .   .   .   .   .   .   .   .   .   .   .   .   .   .   .  </t>
    </r>
  </si>
  <si>
    <t>23 through 31a, plus any write-in adjustments you</t>
  </si>
  <si>
    <r>
      <t>For more details, see Pub. 590-A</t>
    </r>
    <r>
      <rPr>
        <b/>
        <sz val="10"/>
        <rFont val="Arial"/>
        <family val="2"/>
      </rPr>
      <t xml:space="preserve">.   .   .   .   .   .   .   .   .   .   .   .   .   .   .   .   .   .   .   .   .   .   . </t>
    </r>
  </si>
  <si>
    <t>see Pub. 590-A to figure your IRA deduction.</t>
  </si>
  <si>
    <r>
      <rPr>
        <b/>
        <sz val="10"/>
        <rFont val="Arial"/>
        <family val="2"/>
      </rPr>
      <t>smallest</t>
    </r>
    <r>
      <rPr>
        <sz val="10"/>
        <rFont val="Arial"/>
        <family val="2"/>
      </rPr>
      <t xml:space="preserve"> of line 7b, 10, or 11b. This is the most you can deduct. Add the amounts on lines 12a</t>
    </r>
  </si>
  <si>
    <r>
      <t xml:space="preserve">On line 12a, enter the </t>
    </r>
    <r>
      <rPr>
        <b/>
        <sz val="10"/>
        <rFont val="Arial"/>
        <family val="2"/>
      </rPr>
      <t>smallest</t>
    </r>
    <r>
      <rPr>
        <sz val="10"/>
        <rFont val="Arial"/>
        <family val="2"/>
      </rPr>
      <t xml:space="preserve"> of line 7a, 10, or 11a. On line 12b, enter the</t>
    </r>
  </si>
  <si>
    <t>Do not complete the rest of this worksheet.</t>
  </si>
  <si>
    <t xml:space="preserve"> .   .   .   .   .   .   .   .   .   .   .   .   .   .   .   .   .   .   .   .   .   .   .   .   .   .</t>
  </si>
  <si>
    <t>Combine lines 1e, 2c, 3, and 4a.</t>
  </si>
  <si>
    <t>This is your total earned income.</t>
  </si>
  <si>
    <t xml:space="preserve">3 or more qualifying children, </t>
  </si>
  <si>
    <t>2 qualifying children,</t>
  </si>
  <si>
    <t>1 qualifying child,</t>
  </si>
  <si>
    <r>
      <t>Yes.</t>
    </r>
    <r>
      <rPr>
        <sz val="10"/>
        <rFont val="Arial"/>
        <family val="2"/>
      </rPr>
      <t xml:space="preserve">  If you want the IRS to figure your credit, see </t>
    </r>
    <r>
      <rPr>
        <i/>
        <sz val="10"/>
        <rFont val="Arial"/>
        <family val="2"/>
      </rPr>
      <t>Credit figured by the IRS</t>
    </r>
    <r>
      <rPr>
        <sz val="10"/>
        <rFont val="Arial"/>
        <family val="2"/>
      </rPr>
      <t>, earlier.</t>
    </r>
  </si>
  <si>
    <t xml:space="preserve">        If you want to figure the credit yourself, enter the amount from line 4b on line 6 of this worksheet</t>
  </si>
  <si>
    <t>1 or more qualifying children,</t>
  </si>
  <si>
    <t>3 or more qualifying children,</t>
  </si>
  <si>
    <t>Schedule C, line 31 (excluding statutory employee income, etc.)</t>
  </si>
  <si>
    <t xml:space="preserve">.   .   .   .   .   .   .   .   .   .   .   .   .   .   .   .   .   .   .   .   .   .   .   .   .   .   .   .   .   .   .   .   .   .   .   .   .   .   .   .   .   .   .  </t>
  </si>
  <si>
    <t xml:space="preserve">.   .   .   .   .   .   .   .   .   .   .   .   .   .   .   .   .   .   .   .   .   .   .   .   .   .   .   .   .   .   .   .   .   .   .   .  </t>
  </si>
  <si>
    <r>
      <t>Gross profit.</t>
    </r>
    <r>
      <rPr>
        <sz val="9"/>
        <rFont val="Arial"/>
        <family val="2"/>
      </rPr>
      <t xml:space="preserve">  Subtract line 4 from line 3</t>
    </r>
  </si>
  <si>
    <t xml:space="preserve">.   .   .   .   .   .   .   .   .   .   .   .   .   .   .   .   .   .   .   .   .   .   .   .   .   .   .   .   .   .   .   .   .   .   .   .   .   .   .  </t>
  </si>
  <si>
    <t xml:space="preserve">6.  </t>
  </si>
  <si>
    <t xml:space="preserve">7. </t>
  </si>
  <si>
    <t xml:space="preserve">8.  </t>
  </si>
  <si>
    <t xml:space="preserve">4a.   </t>
  </si>
  <si>
    <t xml:space="preserve">4b.   </t>
  </si>
  <si>
    <t xml:space="preserve">3.   </t>
  </si>
  <si>
    <t>for Line 66.</t>
  </si>
  <si>
    <t>Head of house-hold</t>
  </si>
  <si>
    <r>
      <t xml:space="preserve">Enter the </t>
    </r>
    <r>
      <rPr>
        <b/>
        <sz val="10"/>
        <rFont val="Arial"/>
        <family val="2"/>
      </rPr>
      <t>smallest</t>
    </r>
    <r>
      <rPr>
        <sz val="10"/>
        <rFont val="Arial"/>
        <family val="2"/>
      </rPr>
      <t xml:space="preserve"> of line 3, 4, or 5</t>
    </r>
  </si>
  <si>
    <r>
      <t xml:space="preserve">student or was disabled, see the instructions); </t>
    </r>
    <r>
      <rPr>
        <b/>
        <sz val="10"/>
        <rFont val="Arial"/>
        <family val="2"/>
      </rPr>
      <t>all others</t>
    </r>
    <r>
      <rPr>
        <sz val="10"/>
        <rFont val="Arial"/>
        <family val="2"/>
      </rPr>
      <t>, enter the amount from line 4</t>
    </r>
  </si>
  <si>
    <t>Foreign Earned Income Tax Worksheet—Line 31</t>
  </si>
  <si>
    <t>Enter the amount from Form 6251, line 30</t>
  </si>
  <si>
    <t>Enter the amount from your (and your spouse's if filing jointly) Form 2555,</t>
  </si>
  <si>
    <t>lines 45 and 50, or Form 2555-EZ, line 18</t>
  </si>
  <si>
    <t>Enter the total amount of any itemized deductions or exclusions you</t>
  </si>
  <si>
    <t>could not claim because they are related to excluded income</t>
  </si>
  <si>
    <t>Subtract line 2b from line 2a. If zero or less, enter -0-</t>
  </si>
  <si>
    <t>Add lines 1 and 2c</t>
  </si>
  <si>
    <t>Tax on the amount on line 3.</t>
  </si>
  <si>
    <t>(as refigured for the AMT, if necessary), enter the amount from line 3 of this worksheet on Form 6251,</t>
  </si>
  <si>
    <t>line 36. Complete the rest of Part III of Form 6251. However, before completing Part III, see Forms</t>
  </si>
  <si>
    <t>2555 and 2555-EZ, later, to see if you must complete Part III with certain modifications. Then enter the</t>
  </si>
  <si>
    <t>amount from Form 6251, line 64, here.</t>
  </si>
  <si>
    <t>separately) from the result.</t>
  </si>
  <si>
    <t>married filing separately) from the result</t>
  </si>
  <si>
    <t>Subtract line 5 from line 4. Enter the result here and on Form 6251, line 31</t>
  </si>
  <si>
    <r>
      <t xml:space="preserve">If you reported capital gain distributions directly on Form 1040, line 13; </t>
    </r>
    <r>
      <rPr>
        <b/>
        <sz val="8"/>
        <rFont val="Arial"/>
        <family val="2"/>
      </rPr>
      <t>or</t>
    </r>
    <r>
      <rPr>
        <sz val="8"/>
        <rFont val="Arial"/>
        <family val="2"/>
      </rPr>
      <t xml:space="preserve"> you reported qualified</t>
    </r>
  </si>
  <si>
    <r>
      <t xml:space="preserve">dividends on Form 1040, line 9b; </t>
    </r>
    <r>
      <rPr>
        <b/>
        <sz val="8"/>
        <rFont val="Arial"/>
        <family val="2"/>
      </rPr>
      <t>or</t>
    </r>
    <r>
      <rPr>
        <sz val="8"/>
        <rFont val="Arial"/>
        <family val="2"/>
      </rPr>
      <t xml:space="preserve"> you had a gain on both lines 15 and 16 of Schedule D (Form 1040)</t>
    </r>
  </si>
  <si>
    <t>Federal poverty line. Enter the federal poverty line amount from Table 1-1, 1-2, or 1-3 (see instr.). Check the appro-</t>
  </si>
  <si>
    <t>priate box for the federal poverty table used.</t>
  </si>
  <si>
    <t>Household income as a percentage of federal poverty line (see instructions)</t>
  </si>
  <si>
    <t xml:space="preserve">.   .   .   .   .   .   .   .   .   .   .   .   .   .  </t>
  </si>
  <si>
    <r>
      <t xml:space="preserve">No. </t>
    </r>
    <r>
      <rPr>
        <sz val="10"/>
        <rFont val="Arial"/>
        <family val="2"/>
      </rPr>
      <t>Continue to line 7.</t>
    </r>
  </si>
  <si>
    <r>
      <rPr>
        <b/>
        <sz val="10"/>
        <rFont val="Arial"/>
        <family val="2"/>
      </rPr>
      <t>Yes.</t>
    </r>
    <r>
      <rPr>
        <sz val="10"/>
        <rFont val="Arial"/>
        <family val="2"/>
      </rPr>
      <t xml:space="preserve"> Continue to line 11. Compute your annual PTC. Skip lines 12–23</t>
    </r>
  </si>
  <si>
    <r>
      <t>No.</t>
    </r>
    <r>
      <rPr>
        <sz val="10"/>
        <rFont val="Arial"/>
        <family val="2"/>
      </rPr>
      <t xml:space="preserve"> Continue to line 10.</t>
    </r>
  </si>
  <si>
    <t>Part VI</t>
  </si>
  <si>
    <t>If you are filing Form 2555 or 2555-EZ, enter the amount from</t>
  </si>
  <si>
    <t>line 10. Otherwise, complete the Line 11 Worksheet, later,</t>
  </si>
  <si>
    <t>Use this worksheet only if you answered “Yes” on line 11 of the Child Tax Credit Worksheet earlier and</t>
  </si>
  <si>
    <t>are not filing Form 2555 or 2555-EZ.</t>
  </si>
  <si>
    <t>“UT” and entered on line 62.</t>
  </si>
  <si>
    <t>line 3 of the worksheet in the instructions for line 31</t>
  </si>
  <si>
    <r>
      <t xml:space="preserve">Be sure you have read the </t>
    </r>
    <r>
      <rPr>
        <b/>
        <sz val="10"/>
        <rFont val="Arial"/>
        <family val="2"/>
      </rPr>
      <t>Exception</t>
    </r>
    <r>
      <rPr>
        <sz val="10"/>
        <rFont val="Arial"/>
        <family val="2"/>
      </rPr>
      <t xml:space="preserve"> in the instructions for this line to see if you must fill in</t>
    </r>
  </si>
  <si>
    <t>Enter the amount from Form 1040, line 43</t>
  </si>
  <si>
    <t>Enter the amount from your (and your spouse's, if filing jointly) Form 2555, lines 45 and 50, or</t>
  </si>
  <si>
    <t>2a.</t>
  </si>
  <si>
    <t>Enter the total amount of any itemized deductions or exclusions you couldn't claim because they are</t>
  </si>
  <si>
    <t>related to excluded income</t>
  </si>
  <si>
    <t>Figure the tax on the amount on line 3. Use the Tax Table, Tax Computation Worksheet,</t>
  </si>
  <si>
    <t>Qualified Dividends and Capital Gain Tax Worksheet*, Schedule D Tax Worksheet*, or Form</t>
  </si>
  <si>
    <t>8615, whichever applies. See the instructions for line 44 to see which tax computation method</t>
  </si>
  <si>
    <t>applies. (Do not use a second Foreign Earned Income Tax Worksheet to figure the tax on this</t>
  </si>
  <si>
    <t>line)</t>
  </si>
  <si>
    <t>Figure the tax on the amount on line 2c. If the amount on line 2c is less than $100,000, use the</t>
  </si>
  <si>
    <t>Tax Table to figure this tax. If the amount on line 2c is $100,000 or more, use the Tax Computation</t>
  </si>
  <si>
    <t>Subtract line 5 from line 4. Enter the result. If zero or less, enter -0-. Also include this amount on</t>
  </si>
  <si>
    <t>Form 1040, line 44</t>
  </si>
  <si>
    <t>use either of those worksheets to figure the tax on line 4 above. Complete the rest of that worksheet through line 6 (line 10 if you use the</t>
  </si>
  <si>
    <t>Schedule D Tax Worksheet). Next, you must determine if you have a capital gain excess. To find out if you have a capital gain excess, subtract</t>
  </si>
  <si>
    <t>Form 1040, line 43, from line 6 of your Qualified Dividends and Capital Gain Tax Worksheet (line 10 of your Schedule D Tax Worksheet). If</t>
  </si>
  <si>
    <t>the result is more than zero, that amount is your capital gain excess.</t>
  </si>
  <si>
    <t>*Enter the amount from line 3 above on line 1 of the Qualified Dividends and Capital Gain Tax Worksheet or Schedule D Tax Worksheet if you</t>
  </si>
  <si>
    <t>If you do not have a capital gain excess, complete the rest of either of those worksheets according to the worksheet's instructions. Then</t>
  </si>
  <si>
    <t>complete lines 5 and 6 above.</t>
  </si>
  <si>
    <t>If you have a capital gain excess, complete a second Qualified Dividends and Capital Gain Tax Worksheet or Schedule D Tax Worksheet</t>
  </si>
  <si>
    <t>(whichever applies) as instructed above but in its entirety and with the following additional modifications. Then complete lines 5 and 6 above.</t>
  </si>
  <si>
    <t>These modifications are to be made only for purposes of filling out the Foreign Earned Income Tax Worksheet above.</t>
  </si>
  <si>
    <t>1. Reduce (but not below zero) the amount you would otherwise enter on line 3 of your Qualified Dividends and Capital Gain Tax Worksheet</t>
  </si>
  <si>
    <t>or line 9 of your Schedule D Tax Worksheet by your capital gain excess.</t>
  </si>
  <si>
    <t>2. Reduce (but not below zero) the amount you would otherwise enter on line 2 of your Qualified Dividends and Capital Gain Tax Worksheet</t>
  </si>
  <si>
    <t>or line 6 of your Schedule D Tax Worksheet by any of your capital gain excess not used in (1) above.</t>
  </si>
  <si>
    <t>3. Reduce (but not below zero) the amount on your Schedule D (Form 1040), line 18, by your capital gain excess.</t>
  </si>
  <si>
    <t>4. Include your capital gain excess as a loss on line 16 of your Unrecaptured Section 1250 Gain Worksheet in the Instructions for</t>
  </si>
  <si>
    <t>Schedule D (Form 1040).</t>
  </si>
  <si>
    <t>Foreign Earned Income Tax Worksheet — Line 44</t>
  </si>
  <si>
    <t>https://www.irs.gov/pub/irs-pdf/f1040sei.pdf</t>
  </si>
  <si>
    <t xml:space="preserve">    Student Loan Interest Deduction Worksheet—Line 33</t>
  </si>
  <si>
    <t>Pub. 970 to figure your deduction.</t>
  </si>
  <si>
    <t>Be sure you have read the Exception in the instructions for this line to see if you can use this worksheet instead of</t>
  </si>
  <si>
    <t>Enter the amount from Form 1040, line 22</t>
  </si>
  <si>
    <t>Subtract line 3 from line 2</t>
  </si>
  <si>
    <t>any write-in adjustments you entered on the dotted line next to line 36</t>
  </si>
  <si>
    <t>Enter the total of the amounts from Form 1040, lines 23 through 32, plus</t>
  </si>
  <si>
    <t>Skip lines 6 and 7, enter -0- on line 8, and go to line 9.</t>
  </si>
  <si>
    <t>Subtract line 5 from line 4</t>
  </si>
  <si>
    <t>(rounded to at least three places). If the result is 1.000 or more, enter 1.000</t>
  </si>
  <si>
    <t>Multiply line 1 by line 7</t>
  </si>
  <si>
    <t>Schedule A, C, E, etc.)</t>
  </si>
  <si>
    <r>
      <rPr>
        <b/>
        <sz val="10"/>
        <rFont val="Arial"/>
        <family val="2"/>
      </rPr>
      <t>Student loan interest deduction.</t>
    </r>
    <r>
      <rPr>
        <sz val="10"/>
        <rFont val="Arial"/>
        <family val="2"/>
      </rPr>
      <t xml:space="preserve"> Subtract line 8 from line 1. Enter the result here and on Form 1040,</t>
    </r>
  </si>
  <si>
    <r>
      <t xml:space="preserve">Line 33. </t>
    </r>
    <r>
      <rPr>
        <b/>
        <sz val="10"/>
        <rFont val="Arial"/>
        <family val="2"/>
      </rPr>
      <t>Do not</t>
    </r>
    <r>
      <rPr>
        <sz val="10"/>
        <rFont val="Arial"/>
        <family val="2"/>
      </rPr>
      <t xml:space="preserve"> include this amount in figuring any other deduction on your return (such as on</t>
    </r>
  </si>
  <si>
    <t>Date &amp; Time</t>
  </si>
  <si>
    <t>Mortgage Insurance Premiums Deduction Worksheet—Line 13</t>
  </si>
  <si>
    <t>Is the amount on line 2 more than the amount on line 3?</t>
  </si>
  <si>
    <t>Your deduction isn't limited. Enter the amount from line 1 of this worksheet on</t>
  </si>
  <si>
    <t>Subtract line 3 from line 2. If the result isn't a multiple of $1,000 ($500 if married filing</t>
  </si>
  <si>
    <t>separately), increase it to the next multiple of $1,000 ($500 if married filing separately).</t>
  </si>
  <si>
    <t>For example, increase $425 to $1,000, increase $2,025 to $3,000; or if married filing</t>
  </si>
  <si>
    <t>separately, increase $425 to $500, increase $2,025 to $2,500, etc.</t>
  </si>
  <si>
    <t>Divide line 4 by $10,000 ($5,000 if married filing separately). Enter result as a decimal. If the result is 1.0 or more, enter 1.0.</t>
  </si>
  <si>
    <t>Multiply line 1 by line 5</t>
  </si>
  <si>
    <r>
      <rPr>
        <b/>
        <sz val="8"/>
        <rFont val="Arial"/>
        <family val="2"/>
      </rPr>
      <t xml:space="preserve">Mortgage insurance premiums deduction. </t>
    </r>
    <r>
      <rPr>
        <sz val="8"/>
        <rFont val="Arial"/>
        <family val="2"/>
      </rPr>
      <t>Subtract line 6 from line 1. Enter the result here and on Schedule A,</t>
    </r>
  </si>
  <si>
    <t xml:space="preserve">S.E. Tax Deduction = </t>
  </si>
  <si>
    <t xml:space="preserve">Self Employment Tax= </t>
  </si>
  <si>
    <t>400 or 401  .   .   .   .   .   .  leave line 28 blank</t>
  </si>
  <si>
    <t xml:space="preserve">  Limits on Deductions —Line 19</t>
  </si>
  <si>
    <t>your adjusted gross income is more than:</t>
  </si>
  <si>
    <t>Reference:</t>
  </si>
  <si>
    <t>IRS Publication 526, Charitable Contributions</t>
  </si>
  <si>
    <t xml:space="preserve"> if married filing separately,</t>
  </si>
  <si>
    <t xml:space="preserve"> if single,</t>
  </si>
  <si>
    <t xml:space="preserve"> if head of household, or</t>
  </si>
  <si>
    <t xml:space="preserve"> if married filing jointly or qualify</t>
  </si>
  <si>
    <t>(Refer to Publication 526)</t>
  </si>
  <si>
    <r>
      <t xml:space="preserve">Yes. </t>
    </r>
    <r>
      <rPr>
        <sz val="10"/>
        <rFont val="Arial"/>
        <family val="2"/>
      </rPr>
      <t xml:space="preserve">Complete the </t>
    </r>
    <r>
      <rPr>
        <b/>
        <sz val="10"/>
        <rFont val="Arial"/>
        <family val="2"/>
      </rPr>
      <t>Qualified Dividends and Capital Gain Tax Worksheet</t>
    </r>
    <r>
      <rPr>
        <sz val="10"/>
        <rFont val="Arial"/>
        <family val="2"/>
      </rPr>
      <t xml:space="preserve"> in the instructions</t>
    </r>
  </si>
  <si>
    <t>For Paperwork Reduction Act Notice, see the Form 1040 instructions.</t>
  </si>
  <si>
    <t>Payer #5</t>
  </si>
  <si>
    <t>Payer #6</t>
  </si>
  <si>
    <t>Payer #7</t>
  </si>
  <si>
    <t>29a</t>
  </si>
  <si>
    <t>Check here to use this worksheet anyway.</t>
  </si>
  <si>
    <t>All</t>
  </si>
  <si>
    <t>Month</t>
  </si>
  <si>
    <t>Day</t>
  </si>
  <si>
    <t>Year</t>
  </si>
  <si>
    <t>BadBirthdaySpouse</t>
  </si>
  <si>
    <t>BadBirthday_Yours</t>
  </si>
  <si>
    <t xml:space="preserve">   file Form 4562.</t>
  </si>
  <si>
    <t xml:space="preserve">   and are not required to file Form 4562 for this business. See the instructions for line 13 on instructions to find out if you must</t>
  </si>
  <si>
    <r>
      <t>Nonfarm Optional Method.</t>
    </r>
    <r>
      <rPr>
        <sz val="10"/>
        <rFont val="Arial"/>
        <family val="2"/>
      </rPr>
      <t xml:space="preserve">You may use this method </t>
    </r>
    <r>
      <rPr>
        <b/>
        <sz val="10"/>
        <rFont val="Arial"/>
        <family val="2"/>
      </rPr>
      <t>only</t>
    </r>
    <r>
      <rPr>
        <sz val="10"/>
        <rFont val="Arial"/>
        <family val="2"/>
      </rPr>
      <t xml:space="preserve"> if </t>
    </r>
    <r>
      <rPr>
        <b/>
        <sz val="10"/>
        <rFont val="Arial"/>
        <family val="2"/>
      </rPr>
      <t>(a)</t>
    </r>
    <r>
      <rPr>
        <sz val="10"/>
        <rFont val="Arial"/>
        <family val="2"/>
      </rPr>
      <t xml:space="preserve"> your net nonfarm profits</t>
    </r>
    <r>
      <rPr>
        <vertAlign val="superscript"/>
        <sz val="10"/>
        <rFont val="Arial"/>
        <family val="2"/>
      </rPr>
      <t>3</t>
    </r>
    <r>
      <rPr>
        <sz val="10"/>
        <rFont val="Arial"/>
        <family val="2"/>
      </rPr>
      <t xml:space="preserve"> were less</t>
    </r>
  </si>
  <si>
    <t>70th Birthday --&gt;</t>
  </si>
  <si>
    <t>YOU are 70.5 -&gt;</t>
  </si>
  <si>
    <t>SPOUSE is 70.5 -&gt;</t>
  </si>
  <si>
    <t>on</t>
  </si>
  <si>
    <t>End of tax year minus 6 months --&gt;</t>
  </si>
  <si>
    <t xml:space="preserve"> do not apply to you.</t>
  </si>
  <si>
    <r>
      <rPr>
        <b/>
        <sz val="7"/>
        <rFont val="Arial"/>
        <family val="2"/>
      </rPr>
      <t>(d)</t>
    </r>
    <r>
      <rPr>
        <sz val="7"/>
        <rFont val="Arial"/>
        <family val="2"/>
      </rPr>
      <t xml:space="preserve"> 
Proceeds 
(sales
price)</t>
    </r>
  </si>
  <si>
    <r>
      <rPr>
        <b/>
        <sz val="7"/>
        <rFont val="Arial"/>
        <family val="2"/>
      </rPr>
      <t xml:space="preserve">(d)
</t>
    </r>
    <r>
      <rPr>
        <sz val="7"/>
        <rFont val="Arial"/>
        <family val="2"/>
      </rPr>
      <t>Proceeds 
(sales
price)</t>
    </r>
  </si>
  <si>
    <r>
      <rPr>
        <b/>
        <sz val="7"/>
        <rFont val="Arial"/>
        <family val="2"/>
      </rPr>
      <t>(e)</t>
    </r>
    <r>
      <rPr>
        <sz val="7"/>
        <rFont val="Arial"/>
        <family val="2"/>
      </rPr>
      <t xml:space="preserve">
Cost
(or other basis)</t>
    </r>
  </si>
  <si>
    <r>
      <rPr>
        <b/>
        <sz val="7"/>
        <rFont val="Arial"/>
        <family val="2"/>
      </rPr>
      <t xml:space="preserve">(g)
</t>
    </r>
    <r>
      <rPr>
        <sz val="7"/>
        <rFont val="Arial"/>
        <family val="2"/>
      </rPr>
      <t>Adjustments to
gain or loss from
Form(s) 8949, Part I,
line 2, column (g)</t>
    </r>
  </si>
  <si>
    <r>
      <rPr>
        <b/>
        <sz val="7"/>
        <rFont val="Arial"/>
        <family val="2"/>
      </rPr>
      <t xml:space="preserve">(g)
</t>
    </r>
    <r>
      <rPr>
        <sz val="7"/>
        <rFont val="Arial"/>
        <family val="2"/>
      </rPr>
      <t>Adjustments to
gain or loss from
Form(s) 8949, Part II,
line 4, column (g)</t>
    </r>
  </si>
  <si>
    <r>
      <t xml:space="preserve">Net long-term capital gain or (loss). </t>
    </r>
    <r>
      <rPr>
        <sz val="9"/>
        <rFont val="Arial"/>
        <family val="2"/>
      </rPr>
      <t>Combine lines 8a through 14 in column (h). Then go to Part III on
the back.</t>
    </r>
    <r>
      <rPr>
        <b/>
        <sz val="10"/>
        <rFont val="Arial"/>
        <family val="2"/>
      </rPr>
      <t xml:space="preserve">   .   .   .   .   .   .   .   .   .   .   .   .   .   .   .   .   .   .   .   .   .   .   .   .   .   .   .   .   .   .   .   .   .   .   .   . </t>
    </r>
  </si>
  <si>
    <r>
      <t>Net short-term capital gain or (loss).</t>
    </r>
    <r>
      <rPr>
        <sz val="9"/>
        <rFont val="Arial"/>
        <family val="2"/>
      </rPr>
      <t xml:space="preserve"> Combine lines 1a through 6 in column (h). If you have any
long-term capital gains or losses, go to Part II below. Otherwise, go to Part III on the back</t>
    </r>
    <r>
      <rPr>
        <b/>
        <sz val="9"/>
        <rFont val="Arial"/>
        <family val="2"/>
      </rPr>
      <t>.   .   .   .   .   .   .   .   .   .</t>
    </r>
  </si>
  <si>
    <t xml:space="preserve">Attach to Form 1040 or Form 1040NR.   </t>
  </si>
  <si>
    <r>
      <t xml:space="preserve">Information about Schedule SE and its separate instructions is at </t>
    </r>
    <r>
      <rPr>
        <b/>
        <i/>
        <sz val="8"/>
        <rFont val="Arial"/>
        <family val="2"/>
      </rPr>
      <t>www.irs.gov/schedulese</t>
    </r>
    <r>
      <rPr>
        <b/>
        <sz val="8"/>
        <rFont val="Arial"/>
        <family val="2"/>
      </rPr>
      <t>.</t>
    </r>
  </si>
  <si>
    <r>
      <t xml:space="preserve">   Optional Methods To Figure Net Earnings </t>
    </r>
    <r>
      <rPr>
        <sz val="11"/>
        <rFont val="Arial"/>
        <family val="2"/>
      </rPr>
      <t>(see instructions)</t>
    </r>
  </si>
  <si>
    <r>
      <t>gross nonfarm income</t>
    </r>
    <r>
      <rPr>
        <vertAlign val="superscript"/>
        <sz val="10"/>
        <rFont val="Arial"/>
        <family val="2"/>
      </rPr>
      <t>4</t>
    </r>
    <r>
      <rPr>
        <sz val="10"/>
        <rFont val="Arial"/>
        <family val="2"/>
      </rPr>
      <t xml:space="preserve"> </t>
    </r>
    <r>
      <rPr>
        <b/>
        <sz val="10"/>
        <rFont val="Arial"/>
        <family val="2"/>
      </rPr>
      <t>and (b)</t>
    </r>
    <r>
      <rPr>
        <sz val="10"/>
        <rFont val="Arial"/>
        <family val="2"/>
      </rPr>
      <t xml:space="preserve"> you had net earnings from</t>
    </r>
  </si>
  <si>
    <t>From Sch. C, line 31; Sch. C-EZ, line 3; Sch. K-1 (Form 1065), box 14, code A;    
and Sch. K-1 (Form 1065-B), box 9, code J1.</t>
  </si>
  <si>
    <t>From Sch. C, line 7; Sch. C-EZ, line 1; Sch. K-1 (Form 1065), box 14, code C; 
and Sch. K-1 (Form 1065-B), box 9, code J2.</t>
  </si>
  <si>
    <t>Attach to Form 1040. Complete the Foreign Earned Income Tax Worksheet in</t>
  </si>
  <si>
    <t>the Instructions for Form 1040 if you enter an amount on lines 45 or 50.</t>
  </si>
  <si>
    <r>
      <t xml:space="preserve">Information about Form 2555 and its separate instructions is at </t>
    </r>
    <r>
      <rPr>
        <b/>
        <i/>
        <sz val="9"/>
        <rFont val="Arial"/>
        <family val="2"/>
      </rPr>
      <t>www.irs.gov/form2555</t>
    </r>
    <r>
      <rPr>
        <b/>
        <sz val="9"/>
        <rFont val="Arial"/>
        <family val="2"/>
      </rPr>
      <t>.</t>
    </r>
  </si>
  <si>
    <t>If you didn't previously file Form 2555 or 2555-EZ to claim either of the exclusions, check here</t>
  </si>
  <si>
    <t>residence that you aren't a resident of that country? See instructions</t>
  </si>
  <si>
    <r>
      <t xml:space="preserve">the income from column </t>
    </r>
    <r>
      <rPr>
        <b/>
        <sz val="10"/>
        <rFont val="Arial"/>
        <family val="2"/>
      </rPr>
      <t>(d)</t>
    </r>
    <r>
      <rPr>
        <sz val="10"/>
        <rFont val="Arial"/>
        <family val="2"/>
      </rPr>
      <t xml:space="preserve"> in Part IV, but report it on Form 1040.</t>
    </r>
  </si>
  <si>
    <r>
      <t xml:space="preserve">If you were present in the United States or its possessions during the tax year, complete columns </t>
    </r>
    <r>
      <rPr>
        <b/>
        <sz val="10"/>
        <rFont val="Arial"/>
        <family val="2"/>
      </rPr>
      <t>(a)–(d)</t>
    </r>
    <r>
      <rPr>
        <sz val="10"/>
        <rFont val="Arial"/>
        <family val="2"/>
      </rPr>
      <t xml:space="preserve"> below. </t>
    </r>
    <r>
      <rPr>
        <b/>
        <sz val="10"/>
        <rFont val="Arial"/>
        <family val="2"/>
      </rPr>
      <t>Don't</t>
    </r>
    <r>
      <rPr>
        <sz val="10"/>
        <rFont val="Arial"/>
        <family val="2"/>
      </rPr>
      <t xml:space="preserve"> include</t>
    </r>
  </si>
  <si>
    <t>Next, complete either Part II or Part III. If an item doesn't apply, enter “NA.” If you don't give</t>
  </si>
  <si>
    <t>If you answered “Yes” to 13a and “No” to 13b, you don't qualify as a bona fide resident. Don't complete the rest of</t>
  </si>
  <si>
    <t>foreign countries that didn't involve travel on or over international waters, or in or over the United States, for 24 hours or more.</t>
  </si>
  <si>
    <t>If you have no travel to report during the period, enter “Physically present in a foreign country or countries for the entire 12-month period."</t>
  </si>
  <si>
    <r>
      <rPr>
        <b/>
        <sz val="10"/>
        <rFont val="Arial"/>
        <family val="2"/>
      </rPr>
      <t>Don't</t>
    </r>
    <r>
      <rPr>
        <sz val="10"/>
        <rFont val="Arial"/>
        <family val="2"/>
      </rPr>
      <t xml:space="preserve"> include the income from column </t>
    </r>
    <r>
      <rPr>
        <b/>
        <sz val="10"/>
        <rFont val="Arial"/>
        <family val="2"/>
      </rPr>
      <t>(f)</t>
    </r>
    <r>
      <rPr>
        <sz val="10"/>
        <rFont val="Arial"/>
        <family val="2"/>
      </rPr>
      <t xml:space="preserve"> below in Part IV, but report it on Form 1040.</t>
    </r>
  </si>
  <si>
    <r>
      <t xml:space="preserve">earned in a prior tax year, or will be earned in a later tax year (such as a bonus), see the instructions. </t>
    </r>
    <r>
      <rPr>
        <b/>
        <sz val="10"/>
        <rFont val="Arial"/>
        <family val="2"/>
      </rPr>
      <t>Don't</t>
    </r>
    <r>
      <rPr>
        <sz val="10"/>
        <rFont val="Arial"/>
        <family val="2"/>
      </rPr>
      <t xml:space="preserve"> include income from line</t>
    </r>
  </si>
  <si>
    <r>
      <t xml:space="preserve">14, column </t>
    </r>
    <r>
      <rPr>
        <b/>
        <sz val="10"/>
        <rFont val="Arial"/>
        <family val="2"/>
      </rPr>
      <t>(d)</t>
    </r>
    <r>
      <rPr>
        <sz val="10"/>
        <rFont val="Arial"/>
        <family val="2"/>
      </rPr>
      <t xml:space="preserve">, or line 18, column </t>
    </r>
    <r>
      <rPr>
        <b/>
        <sz val="10"/>
        <rFont val="Arial"/>
        <family val="2"/>
      </rPr>
      <t>(f)</t>
    </r>
    <r>
      <rPr>
        <sz val="10"/>
        <rFont val="Arial"/>
        <family val="2"/>
      </rPr>
      <t>. Report amounts in U.S. dollars, using the exchange rates in effect when you actually or</t>
    </r>
  </si>
  <si>
    <t>If the result is zero or less, don't complete the rest of this part or</t>
  </si>
  <si>
    <t>don't enter more than “1.000”</t>
  </si>
  <si>
    <t>Divide line 34 by line 27. Enter the result as a decimal (rounded to at least three places), but</t>
  </si>
  <si>
    <r>
      <rPr>
        <b/>
        <sz val="10"/>
        <rFont val="Arial"/>
        <family val="2"/>
      </rPr>
      <t xml:space="preserve">Housing exclusion. </t>
    </r>
    <r>
      <rPr>
        <sz val="10"/>
        <rFont val="Arial"/>
        <family val="2"/>
      </rPr>
      <t>Multiply line 33 by line 35. Enter the result but don't enter more than the</t>
    </r>
  </si>
  <si>
    <r>
      <rPr>
        <b/>
        <sz val="10"/>
        <rFont val="Arial"/>
        <family val="2"/>
      </rPr>
      <t>Foreign earned income exclusion.</t>
    </r>
    <r>
      <rPr>
        <sz val="10"/>
        <rFont val="Arial"/>
        <family val="2"/>
      </rPr>
      <t xml:space="preserve"> Enter the </t>
    </r>
    <r>
      <rPr>
        <b/>
        <sz val="10"/>
        <rFont val="Arial"/>
        <family val="2"/>
      </rPr>
      <t>smaller</t>
    </r>
    <r>
      <rPr>
        <sz val="10"/>
        <rFont val="Arial"/>
        <family val="2"/>
      </rPr>
      <t xml:space="preserve"> of line 40 or line 41. Also, complete Part VIII</t>
    </r>
  </si>
  <si>
    <r>
      <rPr>
        <b/>
        <sz val="10"/>
        <rFont val="Arial"/>
        <family val="2"/>
      </rPr>
      <t xml:space="preserve">Note:   </t>
    </r>
    <r>
      <rPr>
        <sz val="10"/>
        <rFont val="Arial"/>
        <family val="2"/>
      </rPr>
      <t xml:space="preserve"> If line 47 is </t>
    </r>
    <r>
      <rPr>
        <b/>
        <sz val="10"/>
        <rFont val="Arial"/>
        <family val="2"/>
      </rPr>
      <t>more</t>
    </r>
    <r>
      <rPr>
        <sz val="10"/>
        <rFont val="Arial"/>
        <family val="2"/>
      </rPr>
      <t xml:space="preserve"> </t>
    </r>
    <r>
      <rPr>
        <b/>
        <sz val="10"/>
        <rFont val="Arial"/>
        <family val="2"/>
      </rPr>
      <t>than</t>
    </r>
    <r>
      <rPr>
        <sz val="10"/>
        <rFont val="Arial"/>
        <family val="2"/>
      </rPr>
      <t xml:space="preserve"> line 48 and you couldn't deduct </t>
    </r>
  </si>
  <si>
    <r>
      <t xml:space="preserve">Enter the </t>
    </r>
    <r>
      <rPr>
        <b/>
        <sz val="10"/>
        <rFont val="Arial"/>
        <family val="2"/>
      </rPr>
      <t>smaller</t>
    </r>
    <r>
      <rPr>
        <sz val="10"/>
        <rFont val="Arial"/>
        <family val="2"/>
      </rPr>
      <t xml:space="preserve"> of line 28 or line 29b</t>
    </r>
  </si>
  <si>
    <r>
      <rPr>
        <b/>
        <sz val="10"/>
        <rFont val="Arial"/>
        <family val="2"/>
      </rPr>
      <t>Note:</t>
    </r>
    <r>
      <rPr>
        <sz val="10"/>
        <rFont val="Arial"/>
        <family val="2"/>
      </rPr>
      <t xml:space="preserve"> Enter on lines 19 through 23 all income, including noncash income, you earned and actually or constructively received during</t>
    </r>
  </si>
  <si>
    <r>
      <t xml:space="preserve">If you traveled abroad during the 12-month period entered on line 16, complete columns </t>
    </r>
    <r>
      <rPr>
        <b/>
        <sz val="10"/>
        <rFont val="Arial"/>
        <family val="2"/>
      </rPr>
      <t>(a)–(f)</t>
    </r>
    <r>
      <rPr>
        <sz val="10"/>
        <rFont val="Arial"/>
        <family val="2"/>
      </rPr>
      <t xml:space="preserve"> below. Exclude travel between</t>
    </r>
  </si>
  <si>
    <r>
      <t xml:space="preserve">tax home? See </t>
    </r>
    <r>
      <rPr>
        <b/>
        <sz val="10"/>
        <rFont val="Arial"/>
        <family val="2"/>
      </rPr>
      <t>Second foreign household</t>
    </r>
    <r>
      <rPr>
        <sz val="10"/>
        <rFont val="Arial"/>
        <family val="2"/>
      </rPr>
      <t xml:space="preserve"> in the instructions</t>
    </r>
  </si>
  <si>
    <r>
      <t xml:space="preserve"> </t>
    </r>
    <r>
      <rPr>
        <b/>
        <sz val="9"/>
        <rFont val="Arial"/>
        <family val="2"/>
      </rPr>
      <t>(B)</t>
    </r>
    <r>
      <rPr>
        <sz val="9"/>
        <rFont val="Arial"/>
        <family val="2"/>
      </rPr>
      <t xml:space="preserve"> Short-term transactions reported on Form(s) 1099-B showing basis </t>
    </r>
    <r>
      <rPr>
        <b/>
        <sz val="9"/>
        <rFont val="Arial"/>
        <family val="2"/>
      </rPr>
      <t>wasn't</t>
    </r>
    <r>
      <rPr>
        <sz val="9"/>
        <rFont val="Arial"/>
        <family val="2"/>
      </rPr>
      <t xml:space="preserve"> reported to the IRS</t>
    </r>
  </si>
  <si>
    <r>
      <t xml:space="preserve"> </t>
    </r>
    <r>
      <rPr>
        <b/>
        <sz val="9"/>
        <rFont val="Arial"/>
        <family val="2"/>
      </rPr>
      <t>(D)</t>
    </r>
    <r>
      <rPr>
        <sz val="9"/>
        <rFont val="Arial"/>
        <family val="2"/>
      </rPr>
      <t xml:space="preserve"> Long-term transactions reported on Form(s) 1099-B showing basis was reported to the IRS (see </t>
    </r>
    <r>
      <rPr>
        <b/>
        <sz val="9"/>
        <rFont val="Arial"/>
        <family val="2"/>
      </rPr>
      <t>Note</t>
    </r>
    <r>
      <rPr>
        <sz val="9"/>
        <rFont val="Arial"/>
        <family val="2"/>
      </rPr>
      <t xml:space="preserve"> above)</t>
    </r>
  </si>
  <si>
    <r>
      <t xml:space="preserve"> </t>
    </r>
    <r>
      <rPr>
        <b/>
        <sz val="9"/>
        <rFont val="Arial"/>
        <family val="2"/>
      </rPr>
      <t>(E)</t>
    </r>
    <r>
      <rPr>
        <sz val="9"/>
        <rFont val="Arial"/>
        <family val="2"/>
      </rPr>
      <t xml:space="preserve"> Long-term transactions reported on Form(s) 1099-B showing basis </t>
    </r>
    <r>
      <rPr>
        <b/>
        <sz val="9"/>
        <rFont val="Arial"/>
        <family val="2"/>
      </rPr>
      <t>wasn't</t>
    </r>
    <r>
      <rPr>
        <sz val="9"/>
        <rFont val="Arial"/>
        <family val="2"/>
      </rPr>
      <t xml:space="preserve"> reported to the IRS</t>
    </r>
  </si>
  <si>
    <r>
      <t xml:space="preserve"> </t>
    </r>
    <r>
      <rPr>
        <b/>
        <sz val="9"/>
        <rFont val="Arial"/>
        <family val="2"/>
      </rPr>
      <t>(F)</t>
    </r>
    <r>
      <rPr>
        <sz val="9"/>
        <rFont val="Arial"/>
        <family val="2"/>
      </rPr>
      <t xml:space="preserve"> Long-term transactions not reported to you on Form 1099-B</t>
    </r>
  </si>
  <si>
    <r>
      <rPr>
        <b/>
        <sz val="9"/>
        <rFont val="Marlett"/>
        <charset val="2"/>
      </rPr>
      <t>4</t>
    </r>
    <r>
      <rPr>
        <b/>
        <sz val="9"/>
        <rFont val="Arial"/>
        <family val="2"/>
      </rPr>
      <t xml:space="preserve">  If any line doesn't apply to you, leave it blank. See separate instructions.</t>
    </r>
  </si>
  <si>
    <t>You cannot claim the PTC if your filing status is married filing separately unless you qualify for an exception (see instructions). If you qualify, check the box.</t>
  </si>
  <si>
    <t>Household income. Add the amounts on lines 2a and 2b (see instructions)</t>
  </si>
  <si>
    <r>
      <rPr>
        <b/>
        <sz val="10"/>
        <rFont val="Arial"/>
        <family val="2"/>
      </rPr>
      <t>Yes.</t>
    </r>
    <r>
      <rPr>
        <sz val="10"/>
        <rFont val="Arial"/>
        <family val="2"/>
      </rPr>
      <t xml:space="preserve"> You are not eligible to take the PTC. If advance payment of the PTC was made, see the instructions for</t>
    </r>
  </si>
  <si>
    <t>Annual contribution amt. Multiply line 3 by</t>
  </si>
  <si>
    <t>line 7. Round to nearest whole dollar.</t>
  </si>
  <si>
    <t>Part V, Alternative Calculation for Year of Marriage.</t>
  </si>
  <si>
    <t>Skip to</t>
  </si>
  <si>
    <t xml:space="preserve">Part IV, Allocation of Policy Amounts, or </t>
  </si>
  <si>
    <r>
      <rPr>
        <b/>
        <sz val="9"/>
        <rFont val="Arial"/>
        <family val="2"/>
      </rPr>
      <t>(c)</t>
    </r>
    <r>
      <rPr>
        <sz val="9"/>
        <rFont val="Arial"/>
        <family val="2"/>
      </rPr>
      <t xml:space="preserve"> Monthly contribution amount (amount from line 8b or alternative marriage monthly calculation)</t>
    </r>
  </si>
  <si>
    <t>Net Premium Tax Credit: If line 24 is greater than line 25, subtract line 25 from line 24. Enter the difference here and on</t>
  </si>
  <si>
    <t>Form 1040, line 69; Form 1040A, line 45; or Form 1040NR, line 65. If line 24 equals line 25, enter zero. Stop here.</t>
  </si>
  <si>
    <t xml:space="preserve"> If line 25 is greater than line 24, leave this line blank and continue to line 27</t>
  </si>
  <si>
    <t>Allocation of Policy Amounts</t>
  </si>
  <si>
    <t>Allocation 1</t>
  </si>
  <si>
    <t>Allocation 2</t>
  </si>
  <si>
    <t>Allocation 3</t>
  </si>
  <si>
    <t>Allocation 4</t>
  </si>
  <si>
    <t>Have you completed all policy amount allocations?</t>
  </si>
  <si>
    <r>
      <t xml:space="preserve">Yes.  </t>
    </r>
    <r>
      <rPr>
        <sz val="10"/>
        <rFont val="Arial"/>
        <family val="2"/>
      </rPr>
      <t>Multiply the amounts on Form 1095-A by the allocation percentages entered by policy. Add all allocated policy amounts and non-</t>
    </r>
  </si>
  <si>
    <t>allocated policy amounts from Forms 1095-A, if any, to compute a combined total for each month. Enter the combined total for each month on</t>
  </si>
  <si>
    <t>lines 12–23, columns (a), (b), and (f). Compute the amounts for lines 12–23, columns (c)–(e), and continue to line 24.</t>
  </si>
  <si>
    <t>Alternative monthly
contribution amount</t>
  </si>
  <si>
    <r>
      <t xml:space="preserve">Schedule A, line 13. </t>
    </r>
    <r>
      <rPr>
        <b/>
        <sz val="8"/>
        <rFont val="Arial"/>
        <family val="2"/>
      </rPr>
      <t>Don't</t>
    </r>
    <r>
      <rPr>
        <sz val="8"/>
        <rFont val="Arial"/>
        <family val="2"/>
      </rPr>
      <t xml:space="preserve"> complete the rest of this worksheet.</t>
    </r>
  </si>
  <si>
    <t>See the instructions for line 13 to see if you must use this worksheet to figure your deduction.</t>
  </si>
  <si>
    <t xml:space="preserve"> Before you begin:      √</t>
  </si>
  <si>
    <r>
      <t xml:space="preserve">If you wish to deduct </t>
    </r>
    <r>
      <rPr>
        <i/>
        <sz val="8"/>
        <rFont val="Arial"/>
        <family val="2"/>
      </rPr>
      <t>General sales taxes</t>
    </r>
    <r>
      <rPr>
        <sz val="8"/>
        <rFont val="Arial"/>
        <family val="2"/>
      </rPr>
      <t>, enter the tax amount in Column P and place an 'X' in box 5b.</t>
    </r>
  </si>
  <si>
    <t>Instruction for Line 5</t>
  </si>
  <si>
    <t>the dotted lines next to line 28.</t>
  </si>
  <si>
    <t>Be sure your total gambling and casualty or theft losses are clearly identified on</t>
  </si>
  <si>
    <t>Your deduction isn't limited. Enter the amount from line 1 of this</t>
  </si>
  <si>
    <r>
      <t xml:space="preserve">worksheet on Schedule A, line 29. </t>
    </r>
    <r>
      <rPr>
        <b/>
        <sz val="8"/>
        <rFont val="Arial"/>
        <family val="2"/>
      </rPr>
      <t>Don't</t>
    </r>
    <r>
      <rPr>
        <sz val="8"/>
        <rFont val="Arial"/>
        <family val="2"/>
      </rPr>
      <t xml:space="preserve"> complete the rest of this worksheet.</t>
    </r>
  </si>
  <si>
    <t>Your deduction is not limited. Enter the amount from line 1 of this</t>
  </si>
  <si>
    <r>
      <t xml:space="preserve">worksheet on Schedule A, line 29.  </t>
    </r>
    <r>
      <rPr>
        <b/>
        <sz val="8"/>
        <rFont val="Arial"/>
        <family val="2"/>
      </rPr>
      <t xml:space="preserve">Don't </t>
    </r>
    <r>
      <rPr>
        <sz val="8"/>
        <rFont val="Arial"/>
        <family val="2"/>
      </rPr>
      <t>complete the rest of this worksheet.</t>
    </r>
  </si>
  <si>
    <t>Otherwise, complete the Qualified Dividends</t>
  </si>
  <si>
    <t xml:space="preserve">and Capital Gain Tax Worksheet in the Instructions for Form 1040, line 44 (or in the Instructions for Form 1040NR, line 42) to </t>
  </si>
  <si>
    <t>figure your tax.   Before completing this worksheet, complete Form 1040 through line 43 (or Form 1040NR through line 41).</t>
  </si>
  <si>
    <r>
      <t>Exception:   Don't</t>
    </r>
    <r>
      <rPr>
        <sz val="9"/>
        <rFont val="Arial"/>
        <family val="2"/>
      </rPr>
      <t xml:space="preserve"> use the Qualified Dividends and Capital Gain Tax Worksheet </t>
    </r>
    <r>
      <rPr>
        <b/>
        <u/>
        <sz val="9"/>
        <rFont val="Arial"/>
        <family val="2"/>
      </rPr>
      <t>or</t>
    </r>
    <r>
      <rPr>
        <sz val="9"/>
        <rFont val="Arial"/>
        <family val="2"/>
      </rPr>
      <t xml:space="preserve"> this worksheet to figure your tax if:</t>
    </r>
  </si>
  <si>
    <t xml:space="preserve">Enter your taxable income from Form 1040, line 43 (or Form 1040NR, line 41). (However, if you are filing </t>
  </si>
  <si>
    <t xml:space="preserve">Form 2555 or 2555-EZ (relating to foreign earned income), enter instead the amount from line 3 of the </t>
  </si>
  <si>
    <t>Foreign Earned Income Tax Worksheet in the Instructions for Form 1040, line 44)</t>
  </si>
  <si>
    <t>(or Form 1040NR, line 10b)</t>
  </si>
  <si>
    <t>Enter your qualified dividends from Form 1040, line 9b</t>
  </si>
  <si>
    <r>
      <t xml:space="preserve">Enter the amount from Form 4952
(used to figure investment interest
expense deduction), line 4g  </t>
    </r>
    <r>
      <rPr>
        <b/>
        <sz val="10"/>
        <rFont val="Arial"/>
        <family val="2"/>
      </rPr>
      <t xml:space="preserve"> .   .   .   .   .   .   .   .   .   .   .   .   .   .   .   .</t>
    </r>
  </si>
  <si>
    <t>If the amount on line 19 is $100,000 or more, use the Tax Computation Worksheet</t>
  </si>
  <si>
    <r>
      <t xml:space="preserve">Figure the tax on the amount on </t>
    </r>
    <r>
      <rPr>
        <b/>
        <sz val="9"/>
        <rFont val="Arial"/>
        <family val="2"/>
      </rPr>
      <t>line 19</t>
    </r>
    <r>
      <rPr>
        <sz val="9"/>
        <rFont val="Arial"/>
        <family val="2"/>
      </rPr>
      <t>. If the amount on line 19 is less than $100,000, use the Tax Table to figure the tax.</t>
    </r>
  </si>
  <si>
    <t>If the amount on line 1 is $100,000 or more, use the Tax Computation Worksheet</t>
  </si>
  <si>
    <t>Figure the tax on the amount on line 1. If the amount on line 1 is less than $100,000, use the Tax Table to figure the tax.</t>
  </si>
  <si>
    <t>include this amount on Form 1040, line 44 (or Form 1040NR, line 42). (If you are filing Form 2555 or 2555-EZ, don't enter this amount</t>
  </si>
  <si>
    <t>don't make an entry for any section 1202 exclusion that is 100% of the gain.</t>
  </si>
  <si>
    <t>Capital Loss Carryover Worksheet—Lines 6 and 14</t>
  </si>
  <si>
    <t xml:space="preserve">.   .   .   .   .   .   .   .   .   .   .   .   .   .   .   .   .   .   .   .   .   .   .   .   .   .   .   .   .   .   .   .   .   .   .   .   .   .   .   .   .   .   .   .   .   .   .   .   .   .   </t>
  </si>
  <si>
    <t>If a loss, enclose the amount in parentheses</t>
  </si>
  <si>
    <t xml:space="preserve">.   .   .   .   .   .   .   .   .   .   .   .   .   .   .   .   .   .   .   .   .   .   .   .   .   .   .   .   .   .   .   .   .   .   .   .   .   .   .   .   </t>
  </si>
  <si>
    <t xml:space="preserve"> .   .   .   .   .   .   .   .   .   .   .   .   .   .   .   .   .   .   .   .   .   .   .   .   .   .   </t>
  </si>
  <si>
    <t>Combine lines 1 and 2. If zero or less, enter -0-</t>
  </si>
  <si>
    <t>Enter the smaller of line 2 or line 3</t>
  </si>
  <si>
    <t xml:space="preserve"> .   .   .   .   .   .   .   .   .   .   .   .   .   .   .   .   .   .   .   .   .   .   .   .   .   .   .   .   .   .   .   .   .   .   .   .   .   </t>
  </si>
  <si>
    <t xml:space="preserve"> .   .   .   .   .   .   .   .   .   .   .   .   .   .   .   .   .   .   .   .   .   .   .   .   .   .   .   </t>
  </si>
  <si>
    <t xml:space="preserve">  .   .   .   .   .   .   .   .   .   .   .   .   .   .   .   .   .   .   .   .   .   .   .   .   .   .   .   .   .   .   .   .   .   .   </t>
  </si>
  <si>
    <t>Add lines 4 and 6</t>
  </si>
  <si>
    <t xml:space="preserve">.   .   .   .   .   .   .   .   .   .   .   .   .   .   .   .   .   .   .   .   .   .   .   .   .   .   .   .   .   .   .   .   .   .   .   .   .   .   .   .   .   .   .   .   .   .   .   .   .   .   .   </t>
  </si>
  <si>
    <r>
      <t>l</t>
    </r>
    <r>
      <rPr>
        <sz val="9"/>
        <rFont val="Arial"/>
        <family val="2"/>
      </rPr>
      <t xml:space="preserve"> </t>
    </r>
  </si>
  <si>
    <t xml:space="preserve">.   .   .   .   .   .   .   .   .   .   .   .   .   .   .   .   .   .   .   .   .   .   .   .   .   .   .   .   .   .   .   .   </t>
  </si>
  <si>
    <t xml:space="preserve"> If more than zero, also enter this amount on Schedule D, line 6</t>
  </si>
  <si>
    <t>D - 11</t>
  </si>
  <si>
    <t>Subtract line 5 from line 4. If zero or less, enter -0-</t>
  </si>
  <si>
    <t>Add lines 10 and 11</t>
  </si>
  <si>
    <t>Subtract line 7 from line 5. If zero or less, enter -0-.</t>
  </si>
  <si>
    <t xml:space="preserve"> If more than zero, also enter this amount on Schedule D, line 14</t>
  </si>
  <si>
    <t>If you excluded canceled debt from income in 2016, see Pub. 4681.</t>
  </si>
  <si>
    <t>Otherwise, you don't have any carryovers.</t>
  </si>
  <si>
    <t>any capital loss carryover from the joint return can be deducted only on the return of the spouse who actually had the loss.</t>
  </si>
  <si>
    <t>Subtract line 12 from line 9. If zero or less, enter -0-.</t>
  </si>
  <si>
    <t>&lt;---  Line 21 is less than zero.</t>
  </si>
  <si>
    <t>&lt;---  Line 21 loss is smaller than Line 16 loss.</t>
  </si>
  <si>
    <t>&lt;---  Line 41 is less than zero.</t>
  </si>
  <si>
    <t>&lt;-- Any entries?</t>
  </si>
  <si>
    <t>&lt;---  Worksheet is applicable.</t>
  </si>
  <si>
    <t>No.  I don't meet these requirements.</t>
  </si>
  <si>
    <r>
      <t xml:space="preserve">separately  and  you  </t>
    </r>
    <r>
      <rPr>
        <b/>
        <sz val="10"/>
        <rFont val="Arial"/>
        <family val="2"/>
      </rPr>
      <t>lived  apart</t>
    </r>
    <r>
      <rPr>
        <sz val="10"/>
        <rFont val="Arial"/>
        <family val="2"/>
      </rPr>
      <t xml:space="preserve">  from  your  spouse  for all of</t>
    </r>
  </si>
  <si>
    <t>Look up the amount on line 6 above in the EIC Table to find</t>
  </si>
  <si>
    <t>the credit. Be sure you use the correct column for your filing status</t>
  </si>
  <si>
    <t>and the number of children you have. Enter the credit here.</t>
  </si>
  <si>
    <t>Form 8862, who must fi_x001F_le, earlier, to find out if you must file Form</t>
  </si>
  <si>
    <t xml:space="preserve">  Before you begin:</t>
  </si>
  <si>
    <t>If Form 6251, line 30, is zero, don't complete this worksheet.</t>
  </si>
  <si>
    <t>Bad</t>
  </si>
  <si>
    <t>The spreadsheet automatically includes, on line 5, income taxes paid based on W-2 &amp; 1099 information.</t>
  </si>
  <si>
    <t xml:space="preserve">    Earned Income Calculation</t>
  </si>
  <si>
    <t>Enter the amount from Form 1040, line 12</t>
  </si>
  <si>
    <t>Enter the amount from Form 1040, line 18</t>
  </si>
  <si>
    <t>Enter the amount from Form 1040, line 27</t>
  </si>
  <si>
    <t>This is your earned income.</t>
  </si>
  <si>
    <t>Add lines 7, 8, 9, and 10</t>
  </si>
  <si>
    <t>Electing to include nontaxable combat pay may increase or decrease your EIC. Figure the credit with and without your nontaxable combat pay before making the election.</t>
  </si>
  <si>
    <t>Subtract Line 12 from Line 11.</t>
  </si>
  <si>
    <t>This information is used in the Standard Deduction Worksheet for Dependents -- Line 40.</t>
  </si>
  <si>
    <t xml:space="preserve">Information for Lines 2, 3, 4, 5, and 8 are </t>
  </si>
  <si>
    <t>entered on the sheet labeled "Earned Income".</t>
  </si>
  <si>
    <t>NOTE:</t>
  </si>
  <si>
    <t>Earned Income Credit (See sheet "Line 66").</t>
  </si>
  <si>
    <r>
      <rPr>
        <b/>
        <i/>
        <sz val="9"/>
        <rFont val="Arial"/>
        <family val="2"/>
      </rPr>
      <t>Earned income</t>
    </r>
    <r>
      <rPr>
        <i/>
        <sz val="9"/>
        <rFont val="Arial"/>
        <family val="2"/>
      </rPr>
      <t xml:space="preserve"> includes wages, salaries, tips, professional fees, and other compensation received for personal services you performed. It also includes any taxable scholarship or fellowship grant. Generally, your earned income is the total of the amount(s) you reported on Form 1040, lines 7, 12, and 18, minus the amount, if any, on line 27.   Source: Standard Deducation Worksheet for Dependents -- Line 40.</t>
    </r>
  </si>
  <si>
    <t>Standard Deduction Worksheet for Dependents and</t>
  </si>
  <si>
    <t>Earned Income Credit Worksheet</t>
  </si>
  <si>
    <t>Sources:</t>
  </si>
  <si>
    <t>Information entered into Lines 2, 3, 4, 5 and 8 are used to calculate the</t>
  </si>
  <si>
    <t>line 11b.</t>
  </si>
  <si>
    <t>More</t>
  </si>
  <si>
    <t>line 2a.</t>
  </si>
  <si>
    <t>Add lines 1 through 4. Enter here and on Form 8962,</t>
  </si>
  <si>
    <t xml:space="preserve">Form 1040A, line 22; Form 1040EZ, line 4; and </t>
  </si>
  <si>
    <t>line 2b</t>
  </si>
  <si>
    <t>Amount from Line 3 of Form 8962.</t>
  </si>
  <si>
    <t>Table 2. Applicable Figure</t>
  </si>
  <si>
    <t>Your deduction may be further limited to 30% or 20% of your adjusted gross income, depending on the type of property you give</t>
  </si>
  <si>
    <t xml:space="preserve"> IMPORTANT !</t>
  </si>
  <si>
    <t xml:space="preserve"> Check here if YOU are claimed as a dependent on someone elses return.</t>
  </si>
  <si>
    <t>You</t>
  </si>
  <si>
    <t>Birthdate and age calculator</t>
  </si>
  <si>
    <t>for Line 64.</t>
  </si>
  <si>
    <t>Hide note for</t>
  </si>
  <si>
    <t>full year coverage.</t>
  </si>
  <si>
    <t xml:space="preserve">  Line 39 ---&gt;</t>
  </si>
  <si>
    <r>
      <t xml:space="preserve">Manual
Overide </t>
    </r>
    <r>
      <rPr>
        <b/>
        <sz val="10"/>
        <rFont val="Wingdings"/>
        <charset val="2"/>
      </rPr>
      <t>ê</t>
    </r>
  </si>
  <si>
    <t>Child Tax Credit Worksheet -- Pub. 972</t>
  </si>
  <si>
    <r>
      <t>To be a qualifying child for the child tax credit, the child must be your dependent,</t>
    </r>
    <r>
      <rPr>
        <b/>
        <i/>
        <sz val="9"/>
        <rFont val="Arial"/>
        <family val="2"/>
      </rPr>
      <t xml:space="preserve"> under age 17</t>
    </r>
  </si>
  <si>
    <r>
      <t xml:space="preserve">requirements listed earlier under </t>
    </r>
    <r>
      <rPr>
        <sz val="9"/>
        <rFont val="Arial"/>
        <family val="2"/>
      </rPr>
      <t>Qualifying Child</t>
    </r>
    <r>
      <rPr>
        <i/>
        <sz val="9"/>
        <rFont val="Arial"/>
        <family val="2"/>
      </rPr>
      <t xml:space="preserve">. Also see </t>
    </r>
    <r>
      <rPr>
        <sz val="9"/>
        <rFont val="Arial"/>
        <family val="2"/>
      </rPr>
      <t>Taxpayer identification number needed by due date of return,</t>
    </r>
    <r>
      <rPr>
        <i/>
        <sz val="9"/>
        <rFont val="Arial"/>
        <family val="2"/>
      </rPr>
      <t xml:space="preserve"> earlier.</t>
    </r>
  </si>
  <si>
    <t>Form 2555-EZ, line 18; and Form 4563, line 15.</t>
  </si>
  <si>
    <t>49.</t>
  </si>
  <si>
    <t>Form 1040A, line 35,</t>
  </si>
  <si>
    <t>Then, use Parts II -- IV of Schedule 8812 to</t>
  </si>
  <si>
    <t>Initial publication of 2016 Federal Income Tax Spreadsheet.</t>
  </si>
  <si>
    <t xml:space="preserve">Check here if your spouse itemized </t>
  </si>
  <si>
    <t>cannot be</t>
  </si>
  <si>
    <t>at annuity starting date</t>
  </si>
  <si>
    <t xml:space="preserve">  Check here if you completed this worksheet last year.</t>
  </si>
  <si>
    <t>Were annuity payments for your life</t>
  </si>
  <si>
    <r>
      <rPr>
        <u/>
        <sz val="8"/>
        <rFont val="Arial"/>
        <family val="2"/>
      </rPr>
      <t>and</t>
    </r>
    <r>
      <rPr>
        <sz val="8"/>
        <rFont val="Arial"/>
        <family val="2"/>
      </rPr>
      <t xml:space="preserve"> that of your beneficiary?</t>
    </r>
  </si>
  <si>
    <t>Line 10</t>
  </si>
  <si>
    <t>Added check if spouse itemized deductions in previous tax year (when married filing separately).</t>
  </si>
  <si>
    <t>Line 16</t>
  </si>
  <si>
    <t>Important Instructions for use of this Worksheet:</t>
  </si>
  <si>
    <t xml:space="preserve">If your Form 1099-R doesn't show the taxable amount, you must use the General Rule explained in Pub. 939 to figure the </t>
  </si>
  <si>
    <r>
      <t>l</t>
    </r>
    <r>
      <rPr>
        <sz val="8"/>
        <rFont val="Arial"/>
        <family val="2"/>
      </rPr>
      <t xml:space="preserve"> </t>
    </r>
  </si>
  <si>
    <r>
      <t xml:space="preserve">taxable part to enter on line 16b. </t>
    </r>
    <r>
      <rPr>
        <u/>
        <sz val="10"/>
        <rFont val="Arial"/>
        <family val="2"/>
      </rPr>
      <t>But</t>
    </r>
    <r>
      <rPr>
        <sz val="10"/>
        <rFont val="Arial"/>
        <family val="2"/>
      </rPr>
      <t xml:space="preserve"> if your annuity starting date was </t>
    </r>
    <r>
      <rPr>
        <u/>
        <sz val="10"/>
        <rFont val="Arial"/>
        <family val="2"/>
      </rPr>
      <t>after</t>
    </r>
    <r>
      <rPr>
        <sz val="10"/>
        <rFont val="Arial"/>
        <family val="2"/>
      </rPr>
      <t xml:space="preserve"> July 1, 1986, see Simplified Method to find out</t>
    </r>
  </si>
  <si>
    <t>if you must use that method to figure the taxable part.</t>
  </si>
  <si>
    <t>a lower taxable amount by using the General Rule or the Simplified Method or if the exclusion for retired public safety officers applies.</t>
  </si>
  <si>
    <t>If your Form 1099-R shows a taxable amount, you can report that amount on Form 1040, line 16b. But you may be able to report</t>
  </si>
  <si>
    <t xml:space="preserve">This worksheet is used as a tool for calculating the taxable amount of an annuity.  </t>
  </si>
  <si>
    <r>
      <rPr>
        <b/>
        <sz val="9"/>
        <rFont val="Arial"/>
        <family val="2"/>
      </rPr>
      <t>Taxable amount.</t>
    </r>
    <r>
      <rPr>
        <sz val="9"/>
        <rFont val="Arial"/>
        <family val="2"/>
      </rPr>
      <t xml:space="preserve"> Subtract line 8 from line 1. Enter the result, but not less than zero. Also, </t>
    </r>
    <r>
      <rPr>
        <b/>
        <sz val="9"/>
        <rFont val="Arial"/>
        <family val="2"/>
      </rPr>
      <t>enter this amount on Sheet</t>
    </r>
  </si>
  <si>
    <r>
      <rPr>
        <b/>
        <sz val="9"/>
        <rFont val="Arial"/>
        <family val="2"/>
      </rPr>
      <t xml:space="preserve">1099-R', line 2a. </t>
    </r>
    <r>
      <rPr>
        <sz val="9"/>
        <rFont val="Arial"/>
        <family val="2"/>
      </rPr>
      <t xml:space="preserve"> If your Form 1099-R shows a larger amount, use the amount on this line instead of the amount from</t>
    </r>
  </si>
  <si>
    <t>1040 &amp; Line 16</t>
  </si>
  <si>
    <t>Added information at top of 'Line 16' to explain how to implement this spreadsheet.
The result of this worksheet must be manually added to the applicable annuity on '1099-R'.
The results of this worksheet will be NOT automatically added to Form 1040, Line 16b.</t>
  </si>
  <si>
    <t>Simplified age and annuity entry information scheme.  Thanks, Myrna C.</t>
  </si>
  <si>
    <t>Spouse</t>
  </si>
  <si>
    <t>(IF both, check both boxes.)</t>
  </si>
  <si>
    <t>W-2 SS Wages and Tips</t>
  </si>
  <si>
    <t>Sch. SE</t>
  </si>
  <si>
    <t>Reworked filer check boxes to allow BOTH you and your spouse to be checked (assuming both were involved in the business).  Also, reworked Section B, Part 1, Line 8a to include Social Security wages and tips from sheet "W-2s".  Thank you, Calai B.</t>
  </si>
  <si>
    <t>Unprotected "Claimed as a Dependent" check boxes.  Thank you, Chip S.</t>
  </si>
  <si>
    <t>Updated Exemption Worksheet -- Line 29 for 2016 amounts.  Thank you, Amber.</t>
  </si>
  <si>
    <r>
      <t xml:space="preserve">b </t>
    </r>
    <r>
      <rPr>
        <sz val="9"/>
        <rFont val="Arial"/>
        <family val="2"/>
      </rPr>
      <t>Recipient's SSN</t>
    </r>
  </si>
  <si>
    <t>Manual
Override</t>
  </si>
  <si>
    <t>Made Line 9b a calculated value when itemizing deductions (Sch. A) and state income taxes were being deducted.  Good suggestion, Dr. Narkis S.</t>
  </si>
  <si>
    <t>Sch. D WS</t>
  </si>
  <si>
    <t>Corrected calculation for Line 29.  It was always yielding '0'.  Thank you, Bryon G.</t>
  </si>
  <si>
    <t>© Glenn Reeves, 2017</t>
  </si>
  <si>
    <t>Line 32</t>
  </si>
  <si>
    <t>Reworked response to page if YOU were covered by a retirement plan and YOUR SPOUSE was not (and vice versa).  Thank you, Phil Y.</t>
  </si>
  <si>
    <t>Corrected calculation for Line 5 of the "Capital Loss Carryover Worksheet—Lines 6 and 14" to yield a "0" (versus a &lt;blank&gt;) when Line 7 of the 2015 Schedule D is a GAIN.  Thank you, Chris H.</t>
  </si>
  <si>
    <t>Sch. E (1)</t>
  </si>
  <si>
    <t>Corrected calculation of Line 25 to use losses indicated on deductible rental real estate losses from Line 22.  Thank you, Andrew N.</t>
  </si>
  <si>
    <t>Corrected calculation for Line 2b when both YOU and YOUR SPOUSE are covered by a retirement plan.  Thank you, Gabe C.</t>
  </si>
  <si>
    <t>Additional State and Local Income Taxes Paid Worksheet—Line 5</t>
  </si>
  <si>
    <t>local income tax return.  Don't include penalties or interest.</t>
  </si>
  <si>
    <t>Mandatory contributions you made to state disability benefit funds, temporary disability benefit funds, etc. (See instructions.)</t>
  </si>
  <si>
    <t>(There is no IRS worksheet like this.)</t>
  </si>
  <si>
    <r>
      <rPr>
        <b/>
        <sz val="8"/>
        <rFont val="Arial"/>
        <family val="2"/>
      </rPr>
      <t>Additional State and Local Income Taxes Paid.</t>
    </r>
    <r>
      <rPr>
        <sz val="8"/>
        <rFont val="Arial"/>
        <family val="2"/>
      </rPr>
      <t xml:space="preserve">   Add lines 1 through 3.  </t>
    </r>
  </si>
  <si>
    <t xml:space="preserve"> If box 5a is checked, these amounts will be added into Line 5.</t>
  </si>
  <si>
    <t>Sch. A</t>
  </si>
  <si>
    <t>Added a worksheet for "Additional State and Local Income Taxes Paid Worksheet—Line 5".  (There's no IRS worksheet for this.)  Good idea, Timothy R.</t>
  </si>
  <si>
    <r>
      <t xml:space="preserve">Were you covered by a retirement plan (see </t>
    </r>
    <r>
      <rPr>
        <i/>
        <sz val="10"/>
        <rFont val="Arial"/>
        <family val="2"/>
      </rPr>
      <t>Were You Covered by a</t>
    </r>
  </si>
  <si>
    <t>Minor changes made to facilitate Open Office users.</t>
  </si>
  <si>
    <t>Minor changes made to facilitate Open Office users. 
(Eliminated use of names "YouAre70.5" and "SpouseIs70.5"). Thank you, Bob L.</t>
  </si>
  <si>
    <t>Corrected the calculation for Line 10.  Previous calculation was indicating "Yes" when it should have been indicating "No" (and vice versa). Thank you, Myrna C.</t>
  </si>
  <si>
    <t>Reworked check box for Line 5a to check if entries are made into new Income Tax Paid Worksheet--Line 5.</t>
  </si>
  <si>
    <t>Modified Line 40 to display "Birthdate(s) needed." if birthdates have not been entered.</t>
  </si>
  <si>
    <t>Modified Lines 11 and 12 through 23 to eliminate error messages that were occurring in column (d) if column (c) were to be blank.</t>
  </si>
  <si>
    <t>Corrected Line 34 to include Form 1040, Line 46, in its calculation.</t>
  </si>
  <si>
    <t>Revised Line 32 to automatically include Form 1040, Line 48, Foreign Tax Credit.   Also, added a note prior to Step 32 to verify Line 32 entry, if any, is correct.</t>
  </si>
  <si>
    <t>Corrected Line 6a calculation for people not filing as MFJ and where the result of the calculation is less than $200 to show $200.  Thank you, Tim D.</t>
  </si>
  <si>
    <t>Updated Line 36, maximum foreign earned income exclusion, from $100,800 to $101,300.  Thank you, James C.</t>
  </si>
  <si>
    <t>Enter the total of the taxable parts on Form 1040, line 16b.</t>
  </si>
  <si>
    <r>
      <t xml:space="preserve"> More than one pension or annuity.</t>
    </r>
    <r>
      <rPr>
        <sz val="9"/>
        <rFont val="Arial"/>
        <family val="2"/>
      </rPr>
      <t xml:space="preserve">  If you had more than one partially taxable pension or annuity, figure the taxable part of each separately.</t>
    </r>
  </si>
  <si>
    <r>
      <t xml:space="preserve"> Yes. </t>
    </r>
    <r>
      <rPr>
        <sz val="10"/>
        <rFont val="Arial"/>
        <family val="2"/>
      </rPr>
      <t xml:space="preserve">              STOP</t>
    </r>
  </si>
  <si>
    <r>
      <t xml:space="preserve">The output of this worksheet needs to be manually entered into the sheet labeled "1099-R", Line 2a, </t>
    </r>
    <r>
      <rPr>
        <b/>
        <i/>
        <sz val="10"/>
        <color rgb="FFC00000"/>
        <rFont val="Arial"/>
        <family val="2"/>
      </rPr>
      <t>Taxable Amount</t>
    </r>
    <r>
      <rPr>
        <b/>
        <sz val="10"/>
        <color rgb="FFC00000"/>
        <rFont val="Arial"/>
        <family val="2"/>
      </rPr>
      <t>.</t>
    </r>
  </si>
  <si>
    <t>Corrected logic on Line 10 "Yes/No" boxes.  Thank you, Beto!</t>
  </si>
  <si>
    <r>
      <rPr>
        <b/>
        <sz val="10"/>
        <rFont val="Arial"/>
        <family val="2"/>
      </rPr>
      <t>Line 9b—State, Local, and Foreign Income Tax</t>
    </r>
    <r>
      <rPr>
        <sz val="10"/>
        <rFont val="Arial"/>
        <family val="2"/>
      </rPr>
      <t xml:space="preserve">
Include state, local, and foreign income taxes you paid for the tax year that are attributable to net investment income. Form 1040NR filers include only taxes paid for the U.S. residency period of the tax year. Sales taxes are not deductible in computing net investment income. You may not take a deduction for any foreign income taxes paid for the tax year if you took a credit for any portion of it. See section 275(a)(4).
You can determine the portion of your state, local, and foreign income taxes allocable to net investment income using any reasonable method. See </t>
    </r>
    <r>
      <rPr>
        <b/>
        <sz val="10"/>
        <rFont val="Arial"/>
        <family val="2"/>
      </rPr>
      <t>Reasonable method allocations</t>
    </r>
    <r>
      <rPr>
        <sz val="10"/>
        <rFont val="Arial"/>
        <family val="2"/>
      </rPr>
      <t xml:space="preserve"> in IRS Form 8969 instructions.
Note. Enter the amount of state, local, or foreign income taxes on Form 8960, line 9b, net of any deduction limitations imposed by section 68.  See IRS Form 8969 instructions for assistance in figuring the amount to report on line 9b.</t>
    </r>
  </si>
  <si>
    <t>Made Line 9b a manual entry value and added IRS instructions for the line.    Sorry, Dr. Narkis S.    Good suggestion Andy C.</t>
  </si>
  <si>
    <t>Corrected calculation for Line 39; it was not including Line 28 as it should.  Thank you, Erica F.</t>
  </si>
  <si>
    <t>and the type of organization you give it to. A higher limit applies to certain qualified conservation contributions.</t>
  </si>
  <si>
    <t>These limits are described in detail in Publication 526.</t>
  </si>
  <si>
    <t>W-2</t>
  </si>
  <si>
    <t>Re-located cautionary note that occupied Lines 12c and 12d to an area outside of the entry area.  Thank you, Justin R.</t>
  </si>
  <si>
    <t>Line 44</t>
  </si>
  <si>
    <t>On Line 15, corrected the amount for "Head of Household" from $411,000 to $441,000.  Thank you, Justin A.</t>
  </si>
  <si>
    <t>Under penalties of perjury, I declare that I have examined this return and accompanying schedules and statements, and to the best of my knowledge and belief, they are true, correct, and</t>
  </si>
  <si>
    <t xml:space="preserve">accurately list all amounts and sources of income I received during the tax year. Declaration of preparer (other than taxpayer) is based on all information of which preparer has any knowledge. </t>
  </si>
  <si>
    <t>Updated the taxpayer declaration at the bottom of the form to match the 2016 IRS Form 1040.  Thanks, John M.</t>
  </si>
  <si>
    <t>Sch. D</t>
  </si>
  <si>
    <t>Corrected Line 14 calculation to include input from Sch. D WS, Line 13.  Thank you, Bill B.</t>
  </si>
  <si>
    <t>Underpayment of Estimated Tax
by Individuals, Estates, and Trusts</t>
  </si>
  <si>
    <t>Attach to Form 1040, 1040A, 1040NR, 1040NR-EZ, or 1041.</t>
  </si>
  <si>
    <t>Name(s) shown on tax return</t>
  </si>
  <si>
    <t>Identifying number</t>
  </si>
  <si>
    <t>Do You Have To File Form 2210?</t>
  </si>
  <si>
    <t>Complete lines 8 and 9 below. Is line 6 equal to or more than line 9?</t>
  </si>
  <si>
    <t>You may owe a penalty. Does any box in Part II below apply?</t>
  </si>
  <si>
    <t>You must figure your penalty.</t>
  </si>
  <si>
    <t>Required Annual Payment</t>
  </si>
  <si>
    <t>Enter your 2016 tax after credits from Form 1040, line 56 (see instructions if not filing Form 1040)</t>
  </si>
  <si>
    <t>Other taxes, including self-employment tax and, if applicable, Additional Medicare Tax and/or Net</t>
  </si>
  <si>
    <t>Investment Income Tax (see instructions)</t>
  </si>
  <si>
    <t>Refundable credits, including the premium tax credit (see instructions)</t>
  </si>
  <si>
    <r>
      <rPr>
        <b/>
        <sz val="10"/>
        <rFont val="Arial"/>
        <family val="2"/>
      </rPr>
      <t>Don't</t>
    </r>
    <r>
      <rPr>
        <sz val="10"/>
        <rFont val="Arial"/>
        <family val="2"/>
      </rPr>
      <t xml:space="preserve"> file Form 2210</t>
    </r>
  </si>
  <si>
    <r>
      <t xml:space="preserve">Withholding taxes. </t>
    </r>
    <r>
      <rPr>
        <b/>
        <sz val="10"/>
        <rFont val="Arial"/>
        <family val="2"/>
      </rPr>
      <t>Don't</t>
    </r>
    <r>
      <rPr>
        <sz val="10"/>
        <rFont val="Arial"/>
        <family val="2"/>
      </rPr>
      <t xml:space="preserve"> include estimated tax payments (see instructions)</t>
    </r>
  </si>
  <si>
    <t>Maximum required annual payment based on prior year’s tax (see instructions)</t>
  </si>
  <si>
    <t>Required annual payment. Enter the smaller of line 5 or line 8</t>
  </si>
  <si>
    <r>
      <rPr>
        <b/>
        <sz val="10"/>
        <rFont val="Arial"/>
        <family val="2"/>
      </rPr>
      <t>Next:</t>
    </r>
    <r>
      <rPr>
        <sz val="10"/>
        <rFont val="Arial"/>
        <family val="2"/>
      </rPr>
      <t xml:space="preserve"> Is line 9 more than line 6?</t>
    </r>
  </si>
  <si>
    <r>
      <rPr>
        <b/>
        <sz val="10"/>
        <rFont val="Arial"/>
        <family val="2"/>
      </rPr>
      <t>Yes.</t>
    </r>
    <r>
      <rPr>
        <sz val="10"/>
        <rFont val="Arial"/>
        <family val="2"/>
      </rPr>
      <t xml:space="preserve"> You may owe a penalty, but </t>
    </r>
    <r>
      <rPr>
        <b/>
        <sz val="10"/>
        <rFont val="Arial"/>
        <family val="2"/>
      </rPr>
      <t>don't</t>
    </r>
    <r>
      <rPr>
        <sz val="10"/>
        <rFont val="Arial"/>
        <family val="2"/>
      </rPr>
      <t xml:space="preserve"> file Form 2210 unless one or more boxes in Part II below applies.</t>
    </r>
  </si>
  <si>
    <r>
      <t xml:space="preserve">If box </t>
    </r>
    <r>
      <rPr>
        <b/>
        <sz val="10"/>
        <rFont val="Arial"/>
        <family val="2"/>
      </rPr>
      <t>B</t>
    </r>
    <r>
      <rPr>
        <sz val="10"/>
        <rFont val="Arial"/>
        <family val="2"/>
      </rPr>
      <t xml:space="preserve">, </t>
    </r>
    <r>
      <rPr>
        <b/>
        <sz val="10"/>
        <rFont val="Arial"/>
        <family val="2"/>
      </rPr>
      <t>C</t>
    </r>
    <r>
      <rPr>
        <sz val="10"/>
        <rFont val="Arial"/>
        <family val="2"/>
      </rPr>
      <t xml:space="preserve">, or </t>
    </r>
    <r>
      <rPr>
        <b/>
        <sz val="10"/>
        <rFont val="Arial"/>
        <family val="2"/>
      </rPr>
      <t>D</t>
    </r>
    <r>
      <rPr>
        <sz val="10"/>
        <rFont val="Arial"/>
        <family val="2"/>
      </rPr>
      <t xml:space="preserve"> applies, you must figure your penalty and file Form 2210.</t>
    </r>
  </si>
  <si>
    <r>
      <t xml:space="preserve">If box </t>
    </r>
    <r>
      <rPr>
        <b/>
        <sz val="10"/>
        <rFont val="Arial"/>
        <family val="2"/>
      </rPr>
      <t>A</t>
    </r>
    <r>
      <rPr>
        <sz val="10"/>
        <rFont val="Arial"/>
        <family val="2"/>
      </rPr>
      <t xml:space="preserve"> or </t>
    </r>
    <r>
      <rPr>
        <b/>
        <sz val="10"/>
        <rFont val="Arial"/>
        <family val="2"/>
      </rPr>
      <t>E</t>
    </r>
    <r>
      <rPr>
        <sz val="10"/>
        <rFont val="Arial"/>
        <family val="2"/>
      </rPr>
      <t xml:space="preserve"> applies (but not </t>
    </r>
    <r>
      <rPr>
        <b/>
        <sz val="10"/>
        <rFont val="Arial"/>
        <family val="2"/>
      </rPr>
      <t>B</t>
    </r>
    <r>
      <rPr>
        <sz val="10"/>
        <rFont val="Arial"/>
        <family val="2"/>
      </rPr>
      <t>,</t>
    </r>
    <r>
      <rPr>
        <b/>
        <sz val="10"/>
        <rFont val="Arial"/>
        <family val="2"/>
      </rPr>
      <t xml:space="preserve"> C</t>
    </r>
    <r>
      <rPr>
        <sz val="10"/>
        <rFont val="Arial"/>
        <family val="2"/>
      </rPr>
      <t xml:space="preserve">, or </t>
    </r>
    <r>
      <rPr>
        <b/>
        <sz val="10"/>
        <rFont val="Arial"/>
        <family val="2"/>
      </rPr>
      <t>D</t>
    </r>
    <r>
      <rPr>
        <sz val="10"/>
        <rFont val="Arial"/>
        <family val="2"/>
      </rPr>
      <t xml:space="preserve">) file only page 1 of Form 2210. You </t>
    </r>
    <r>
      <rPr>
        <b/>
        <sz val="10"/>
        <rFont val="Arial"/>
        <family val="2"/>
      </rPr>
      <t>aren't</t>
    </r>
    <r>
      <rPr>
        <sz val="10"/>
        <rFont val="Arial"/>
        <family val="2"/>
      </rPr>
      <t xml:space="preserve"> required to figure your penalty; the IRS</t>
    </r>
  </si>
  <si>
    <t>will figure it and send you a bill for any unpaid amount. If you want to figure your penalty, you may use Part III or IV as a</t>
  </si>
  <si>
    <r>
      <t xml:space="preserve">worksheet and enter your penalty on your tax return, but </t>
    </r>
    <r>
      <rPr>
        <b/>
        <sz val="10"/>
        <rFont val="Arial"/>
        <family val="2"/>
      </rPr>
      <t>file only page 1 of Form 2210.</t>
    </r>
  </si>
  <si>
    <t xml:space="preserve"> Part II</t>
  </si>
  <si>
    <t xml:space="preserve"> Part I</t>
  </si>
  <si>
    <r>
      <t xml:space="preserve">Your income varied during the year and your penalty is reduced or eliminated when figured using the </t>
    </r>
    <r>
      <rPr>
        <b/>
        <sz val="10"/>
        <rFont val="Arial"/>
        <family val="2"/>
      </rPr>
      <t>annualized income</t>
    </r>
  </si>
  <si>
    <r>
      <rPr>
        <b/>
        <sz val="10"/>
        <rFont val="Arial"/>
        <family val="2"/>
      </rPr>
      <t>installment method</t>
    </r>
    <r>
      <rPr>
        <sz val="10"/>
        <rFont val="Arial"/>
        <family val="2"/>
      </rPr>
      <t>. You must figure the penalty using Schedule Al and file Form 2210.</t>
    </r>
  </si>
  <si>
    <t>Your penalty is lower when figured by treating the federal income tax withheld from your income as paid on the dates it was</t>
  </si>
  <si>
    <t xml:space="preserve">   actually withheld, instead of in equal amounts on the payment due dates. You must figure your penalty and file Form 2210.</t>
  </si>
  <si>
    <r>
      <t xml:space="preserve">above. You must file page 1 of Form 2210, but you </t>
    </r>
    <r>
      <rPr>
        <b/>
        <sz val="10"/>
        <rFont val="Arial"/>
        <family val="2"/>
      </rPr>
      <t>aren't</t>
    </r>
    <r>
      <rPr>
        <sz val="10"/>
        <rFont val="Arial"/>
        <family val="2"/>
      </rPr>
      <t xml:space="preserve"> required to figure your penalty (unless box </t>
    </r>
    <r>
      <rPr>
        <b/>
        <sz val="10"/>
        <rFont val="Arial"/>
        <family val="2"/>
      </rPr>
      <t>B</t>
    </r>
    <r>
      <rPr>
        <sz val="10"/>
        <rFont val="Arial"/>
        <family val="2"/>
      </rPr>
      <t xml:space="preserve">, </t>
    </r>
    <r>
      <rPr>
        <b/>
        <sz val="10"/>
        <rFont val="Arial"/>
        <family val="2"/>
      </rPr>
      <t>C</t>
    </r>
    <r>
      <rPr>
        <sz val="10"/>
        <rFont val="Arial"/>
        <family val="2"/>
      </rPr>
      <t xml:space="preserve">, or </t>
    </r>
    <r>
      <rPr>
        <b/>
        <sz val="10"/>
        <rFont val="Arial"/>
        <family val="2"/>
      </rPr>
      <t>D</t>
    </r>
    <r>
      <rPr>
        <sz val="10"/>
        <rFont val="Arial"/>
        <family val="2"/>
      </rPr>
      <t xml:space="preserve"> applies).</t>
    </r>
  </si>
  <si>
    <r>
      <t xml:space="preserve">Form  </t>
    </r>
    <r>
      <rPr>
        <b/>
        <sz val="11"/>
        <rFont val="Arial"/>
        <family val="2"/>
      </rPr>
      <t>2210</t>
    </r>
  </si>
  <si>
    <t>Cat. No. 11744P</t>
  </si>
  <si>
    <t>For Paperwork Reduction Act Notice, see separate instructions.</t>
  </si>
  <si>
    <r>
      <rPr>
        <b/>
        <sz val="10"/>
        <rFont val="Arial"/>
        <family val="2"/>
      </rPr>
      <t>Don't file Form 2210.</t>
    </r>
    <r>
      <rPr>
        <sz val="10"/>
        <rFont val="Arial"/>
        <family val="2"/>
      </rPr>
      <t xml:space="preserve"> You aren't required to figure
your penalty because the IRS will figure it and send
you a bill for any unpaid amount. If you want to figure
it, you may use Part III or Part IV as a worksheet and
enter your penalty amount on your tax return, but
</t>
    </r>
    <r>
      <rPr>
        <b/>
        <sz val="10"/>
        <rFont val="Arial"/>
        <family val="2"/>
      </rPr>
      <t>don't file Form 2210.</t>
    </r>
  </si>
  <si>
    <r>
      <t xml:space="preserve">You </t>
    </r>
    <r>
      <rPr>
        <b/>
        <sz val="10"/>
        <rFont val="Arial"/>
        <family val="2"/>
      </rPr>
      <t>aren't</t>
    </r>
    <r>
      <rPr>
        <sz val="10"/>
        <rFont val="Arial"/>
        <family val="2"/>
      </rPr>
      <t xml:space="preserve"> required to figure your penalty because the IRS
will figure it and send you a bill for any unpaid amount. If you
want to figure it, you may use Part III or Part IV as a
worksheet and enter your penalty amount on your tax return,
but </t>
    </r>
    <r>
      <rPr>
        <b/>
        <sz val="10"/>
        <rFont val="Arial"/>
        <family val="2"/>
      </rPr>
      <t>file only page 1 of Form 2210.</t>
    </r>
  </si>
  <si>
    <r>
      <t xml:space="preserve">Sequence No. </t>
    </r>
    <r>
      <rPr>
        <b/>
        <sz val="10"/>
        <rFont val="Arial"/>
        <family val="2"/>
      </rPr>
      <t>06</t>
    </r>
  </si>
  <si>
    <r>
      <t xml:space="preserve">Information about Form 2210 and its separate instructions is at </t>
    </r>
    <r>
      <rPr>
        <b/>
        <i/>
        <sz val="8"/>
        <rFont val="Arial"/>
        <family val="2"/>
      </rPr>
      <t>www.irs.gov/form2210</t>
    </r>
    <r>
      <rPr>
        <b/>
        <sz val="8"/>
        <rFont val="Arial"/>
        <family val="2"/>
      </rPr>
      <t>.</t>
    </r>
  </si>
  <si>
    <r>
      <t xml:space="preserve">You </t>
    </r>
    <r>
      <rPr>
        <b/>
        <sz val="10"/>
        <rFont val="Arial"/>
        <family val="2"/>
      </rPr>
      <t>must</t>
    </r>
    <r>
      <rPr>
        <sz val="10"/>
        <rFont val="Arial"/>
        <family val="2"/>
      </rPr>
      <t xml:space="preserve"> file Form 2210. Does box B, C, or D in Part II apply?</t>
    </r>
  </si>
  <si>
    <r>
      <t xml:space="preserve">You don't owe a penalty. </t>
    </r>
    <r>
      <rPr>
        <b/>
        <sz val="10"/>
        <rFont val="Arial"/>
        <family val="2"/>
      </rPr>
      <t>Don't file Form 2210</t>
    </r>
    <r>
      <rPr>
        <sz val="10"/>
        <rFont val="Arial"/>
        <family val="2"/>
      </rPr>
      <t xml:space="preserve">
(but if box </t>
    </r>
    <r>
      <rPr>
        <b/>
        <sz val="10"/>
        <rFont val="Arial"/>
        <family val="2"/>
      </rPr>
      <t>E</t>
    </r>
    <r>
      <rPr>
        <sz val="10"/>
        <rFont val="Arial"/>
        <family val="2"/>
      </rPr>
      <t xml:space="preserve"> in Part II applies, you must file page 1 of 
Form 2210).</t>
    </r>
  </si>
  <si>
    <r>
      <rPr>
        <b/>
        <sz val="10"/>
        <rFont val="Arial"/>
        <family val="2"/>
      </rPr>
      <t>Don't file Form 2210.</t>
    </r>
    <r>
      <rPr>
        <sz val="10"/>
        <rFont val="Arial"/>
        <family val="2"/>
      </rPr>
      <t xml:space="preserve"> You don't owe a penalty.</t>
    </r>
  </si>
  <si>
    <r>
      <t xml:space="preserve">Page </t>
    </r>
    <r>
      <rPr>
        <b/>
        <sz val="11"/>
        <rFont val="Arial"/>
        <family val="2"/>
      </rPr>
      <t>2</t>
    </r>
  </si>
  <si>
    <t xml:space="preserve"> Part III</t>
  </si>
  <si>
    <t>Short Method</t>
  </si>
  <si>
    <t>Can You Use the</t>
  </si>
  <si>
    <t>Short Method?</t>
  </si>
  <si>
    <t>You can use the short method if:</t>
  </si>
  <si>
    <t>You made no estimated tax payments (or your only payments were withheld</t>
  </si>
  <si>
    <t>You paid the same amount of estimated tax on each of the four payment</t>
  </si>
  <si>
    <t>due dates.</t>
  </si>
  <si>
    <t>Must You Use the</t>
  </si>
  <si>
    <t>Regular Method?</t>
  </si>
  <si>
    <t>You must use the regular method (Part IV) instead of the short method if:</t>
  </si>
  <si>
    <t>You made any estimated tax payments late,</t>
  </si>
  <si>
    <t>You are filing Form 1040NR or 1040NR-EZ and you didn't receive wages as</t>
  </si>
  <si>
    <t>an employee subject to U.S. income tax withholding.</t>
  </si>
  <si>
    <r>
      <rPr>
        <b/>
        <i/>
        <sz val="10"/>
        <rFont val="Arial"/>
        <family val="2"/>
      </rPr>
      <t>Note:</t>
    </r>
    <r>
      <rPr>
        <i/>
        <sz val="10"/>
        <rFont val="Arial"/>
        <family val="2"/>
      </rPr>
      <t xml:space="preserve"> If any payment was made earlier than the due date, you can use the short method, but using it may cause you to pay a</t>
    </r>
  </si>
  <si>
    <t>larger penalty than the regular method. If the payment was only a few days early, the difference is likely to be small.</t>
  </si>
  <si>
    <t>Enter the amount from Form 2210, line 9</t>
  </si>
  <si>
    <t>Enter the amount, if any, from Form 2210, line 6</t>
  </si>
  <si>
    <t>Add lines 11 and 12</t>
  </si>
  <si>
    <t>penalty. Don't file Form 2210 unless you checked box E in Part II</t>
  </si>
  <si>
    <t>amount to enter on line 16.</t>
  </si>
  <si>
    <t>Amount on</t>
  </si>
  <si>
    <t>line 14</t>
  </si>
  <si>
    <t>Number of days paid</t>
  </si>
  <si>
    <t>Form 1040A, line 51; Form 1040NR, line 76; Form 1040NR-EZ, line 26; or Form 1041, line 26.</t>
  </si>
  <si>
    <t>Don't file Form 2210 unless you checked a box in Part II</t>
  </si>
  <si>
    <r>
      <t xml:space="preserve">You checked box </t>
    </r>
    <r>
      <rPr>
        <b/>
        <sz val="10"/>
        <rFont val="Arial"/>
        <family val="2"/>
      </rPr>
      <t>C</t>
    </r>
    <r>
      <rPr>
        <sz val="10"/>
        <rFont val="Arial"/>
        <family val="2"/>
      </rPr>
      <t xml:space="preserve"> or </t>
    </r>
    <r>
      <rPr>
        <b/>
        <sz val="10"/>
        <rFont val="Arial"/>
        <family val="2"/>
      </rPr>
      <t>D</t>
    </r>
    <r>
      <rPr>
        <sz val="10"/>
        <rFont val="Arial"/>
        <family val="2"/>
      </rPr>
      <t xml:space="preserve"> in Part II, </t>
    </r>
    <r>
      <rPr>
        <b/>
        <sz val="10"/>
        <rFont val="Arial"/>
        <family val="2"/>
      </rPr>
      <t>or</t>
    </r>
  </si>
  <si>
    <r>
      <t xml:space="preserve">federal income tax), </t>
    </r>
    <r>
      <rPr>
        <b/>
        <sz val="10"/>
        <rFont val="Arial"/>
        <family val="2"/>
      </rPr>
      <t>or</t>
    </r>
  </si>
  <si>
    <r>
      <rPr>
        <b/>
        <sz val="10"/>
        <rFont val="Arial"/>
        <family val="2"/>
      </rPr>
      <t>Penalty.</t>
    </r>
    <r>
      <rPr>
        <sz val="10"/>
        <rFont val="Arial"/>
        <family val="2"/>
      </rPr>
      <t xml:space="preserve"> Subtract line 16 from line 15. Enter the result here and on Form 1040, line 79;</t>
    </r>
  </si>
  <si>
    <r>
      <t xml:space="preserve">If the amount on line 14  was paid </t>
    </r>
    <r>
      <rPr>
        <b/>
        <sz val="10"/>
        <rFont val="Arial"/>
        <family val="2"/>
      </rPr>
      <t>on or after</t>
    </r>
    <r>
      <rPr>
        <sz val="10"/>
        <rFont val="Arial"/>
        <family val="2"/>
      </rPr>
      <t xml:space="preserve"> </t>
    </r>
  </si>
  <si>
    <r>
      <t xml:space="preserve">If the amount on line 14 was paid </t>
    </r>
    <r>
      <rPr>
        <b/>
        <sz val="10"/>
        <rFont val="Arial"/>
        <family val="2"/>
      </rPr>
      <t>before</t>
    </r>
  </si>
  <si>
    <t>Date Paid</t>
  </si>
  <si>
    <t xml:space="preserve"> Part IV</t>
  </si>
  <si>
    <t>Regular Method</t>
  </si>
  <si>
    <t>(See the instructions if you are filing Form 1040NR or 1040NR-EZ.)</t>
  </si>
  <si>
    <t>Section A—Figure Your Underpayment</t>
  </si>
  <si>
    <t>Payment Due Dates</t>
  </si>
  <si>
    <r>
      <t xml:space="preserve">Page </t>
    </r>
    <r>
      <rPr>
        <b/>
        <sz val="11"/>
        <rFont val="Arial"/>
        <family val="2"/>
      </rPr>
      <t>3</t>
    </r>
  </si>
  <si>
    <r>
      <rPr>
        <b/>
        <sz val="10"/>
        <rFont val="Arial"/>
        <family val="2"/>
      </rPr>
      <t>(a)</t>
    </r>
    <r>
      <rPr>
        <sz val="10"/>
        <rFont val="Arial"/>
        <family val="2"/>
      </rPr>
      <t xml:space="preserve">
4/15/16</t>
    </r>
  </si>
  <si>
    <r>
      <rPr>
        <b/>
        <sz val="10"/>
        <rFont val="Arial"/>
        <family val="2"/>
      </rPr>
      <t>(b)</t>
    </r>
    <r>
      <rPr>
        <sz val="10"/>
        <rFont val="Arial"/>
        <family val="2"/>
      </rPr>
      <t xml:space="preserve">
6/15/16</t>
    </r>
  </si>
  <si>
    <r>
      <rPr>
        <b/>
        <sz val="10"/>
        <rFont val="Arial"/>
        <family val="2"/>
      </rPr>
      <t>(d)</t>
    </r>
    <r>
      <rPr>
        <sz val="10"/>
        <rFont val="Arial"/>
        <family val="2"/>
      </rPr>
      <t xml:space="preserve">
1/15/17</t>
    </r>
  </si>
  <si>
    <t>enter the amounts from Schedule AI, line 25.</t>
  </si>
  <si>
    <t>each column</t>
  </si>
  <si>
    <r>
      <rPr>
        <b/>
        <sz val="10"/>
        <rFont val="Arial"/>
        <family val="2"/>
      </rPr>
      <t xml:space="preserve">Required installments. </t>
    </r>
    <r>
      <rPr>
        <sz val="10"/>
        <rFont val="Arial"/>
        <family val="2"/>
      </rPr>
      <t>If box C in Part II applies,</t>
    </r>
  </si>
  <si>
    <t>Estimated tax paid and tax withheld (see the</t>
  </si>
  <si>
    <t>instructions). For column (a) only, also enter the amount</t>
  </si>
  <si>
    <t>from line 19 on line 23. If line 19 is equal to or more</t>
  </si>
  <si>
    <t>checked a box in Part II</t>
  </si>
  <si>
    <t>Complete lines 20 through 26 of one column</t>
  </si>
  <si>
    <t>before going to line 20 of the next column.</t>
  </si>
  <si>
    <t>Enter the amount, if any, from line 26 in the previous</t>
  </si>
  <si>
    <t>column</t>
  </si>
  <si>
    <t xml:space="preserve">.   .   .   .   .   .   .   .   .   .   .   .   .   .   .   .   .   .   .   .   . </t>
  </si>
  <si>
    <t xml:space="preserve">Subtract line 22 from line 21. If zero or less, enter -0-. </t>
  </si>
  <si>
    <t>For column (a) only, enter the amount from line 19</t>
  </si>
  <si>
    <t>If line 23 is zero, subtract line 21 from line 22.</t>
  </si>
  <si>
    <t>Otherwise, enter -0-</t>
  </si>
  <si>
    <t>line 23, subtract line 23 from line 18. Then go to line</t>
  </si>
  <si>
    <r>
      <rPr>
        <b/>
        <sz val="10"/>
        <rFont val="Arial"/>
        <family val="2"/>
      </rPr>
      <t>Underpayment.</t>
    </r>
    <r>
      <rPr>
        <sz val="10"/>
        <rFont val="Arial"/>
        <family val="2"/>
      </rPr>
      <t xml:space="preserve"> If line 18 is equal to or more than</t>
    </r>
  </si>
  <si>
    <t>subtract line 18 from line 23. Then go to line 20 of</t>
  </si>
  <si>
    <t>the next column</t>
  </si>
  <si>
    <t>instructions.)</t>
  </si>
  <si>
    <t>in Part II</t>
  </si>
  <si>
    <r>
      <t xml:space="preserve">Page </t>
    </r>
    <r>
      <rPr>
        <b/>
        <sz val="11"/>
        <rFont val="Arial"/>
        <family val="2"/>
      </rPr>
      <t>4</t>
    </r>
  </si>
  <si>
    <r>
      <rPr>
        <b/>
        <sz val="10"/>
        <rFont val="Arial"/>
        <family val="2"/>
      </rPr>
      <t>Penalty.</t>
    </r>
    <r>
      <rPr>
        <sz val="10"/>
        <rFont val="Arial"/>
        <family val="2"/>
      </rPr>
      <t xml:space="preserve"> Enter the total penalty from line 14 of the Worksheet for Form 2210, Part IV, Section B—</t>
    </r>
  </si>
  <si>
    <t>Figure the Penalty. Also include this amount on Form 1040, line 79; Form 1040A, line 51;</t>
  </si>
  <si>
    <r>
      <rPr>
        <b/>
        <sz val="10"/>
        <rFont val="Arial"/>
        <family val="2"/>
      </rPr>
      <t>Section B</t>
    </r>
    <r>
      <rPr>
        <sz val="10"/>
        <rFont val="Arial"/>
        <family val="2"/>
      </rPr>
      <t>—</t>
    </r>
    <r>
      <rPr>
        <b/>
        <sz val="10"/>
        <rFont val="Arial"/>
        <family val="2"/>
      </rPr>
      <t>Figure the Penalty</t>
    </r>
    <r>
      <rPr>
        <sz val="10"/>
        <rFont val="Arial"/>
        <family val="2"/>
      </rPr>
      <t xml:space="preserve"> (Use the Worksheet for Form 2210, Part IV, Section B—Figure the Penalty in the</t>
    </r>
  </si>
  <si>
    <t>Enter the total amount, if any, of estimated tax payments you made</t>
  </si>
  <si>
    <t>If none apply, don't file Form 2210.</t>
  </si>
  <si>
    <r>
      <rPr>
        <b/>
        <sz val="11"/>
        <rFont val="Arial"/>
        <family val="2"/>
      </rPr>
      <t>Reasons for Filing.</t>
    </r>
    <r>
      <rPr>
        <sz val="11"/>
        <rFont val="Arial"/>
        <family val="2"/>
      </rPr>
      <t xml:space="preserve">   </t>
    </r>
    <r>
      <rPr>
        <sz val="10"/>
        <rFont val="Arial"/>
        <family val="2"/>
      </rPr>
      <t>Check applicable boxes.</t>
    </r>
  </si>
  <si>
    <t>don't owe a penalty.</t>
  </si>
  <si>
    <t>Don't file Form 2210 unless you</t>
  </si>
  <si>
    <t xml:space="preserve">Form 1040NR-EZ, line 26; or Form 1041, line 26. </t>
  </si>
  <si>
    <t>Don't file Form 2210 unless you checked a box</t>
  </si>
  <si>
    <r>
      <t>Schedule AI—Annualized Income Installment Method</t>
    </r>
    <r>
      <rPr>
        <sz val="12"/>
        <rFont val="Arial"/>
        <family val="2"/>
      </rPr>
      <t xml:space="preserve"> (See the instructions.)</t>
    </r>
  </si>
  <si>
    <t>Estates and trusts, don't use the period ending dates shown to the right.</t>
  </si>
  <si>
    <t>Instead, use the following: 2/29/16, 4/30/16, 7/31/16, and 11/30/16.</t>
  </si>
  <si>
    <t>Annualized Income Installments</t>
  </si>
  <si>
    <t>Enter your adjusted gross income for each period (see</t>
  </si>
  <si>
    <t>instructions). (Estates and trusts, enter your taxable</t>
  </si>
  <si>
    <t>income without your exemption for each period.)</t>
  </si>
  <si>
    <t>Annualization amounts. (Estates and trusts, see instructions)</t>
  </si>
  <si>
    <t>Annualized income. Multiply line 1 by line 2</t>
  </si>
  <si>
    <t>If you itemize, enter itemized deductions for the period shown in</t>
  </si>
  <si>
    <t>Estates and trusts, skip to line 9 and enter amount from line 3</t>
  </si>
  <si>
    <t>In each column, enter the full amount of your standard</t>
  </si>
  <si>
    <t>deduction from Form 1040, line 40, or Form 1040A, line 24.</t>
  </si>
  <si>
    <r>
      <t xml:space="preserve">(Form 1040NR or 1040NR-EZ filers, enter -0-. </t>
    </r>
    <r>
      <rPr>
        <b/>
        <sz val="10"/>
        <rFont val="Arial"/>
        <family val="2"/>
      </rPr>
      <t>Exception:</t>
    </r>
  </si>
  <si>
    <t>Enter the larger of line 6 or line 7</t>
  </si>
  <si>
    <t>Subtract line 8 from line 3</t>
  </si>
  <si>
    <t>of exemptions claimed (see instructions if line 3 is</t>
  </si>
  <si>
    <t>more than $155,650). (Estates, trusts, and Form</t>
  </si>
  <si>
    <t>1040NR or 1040NR-EZ filers, see instructions.)</t>
  </si>
  <si>
    <t>Figure your tax on the amount on line 11 (see instructions)</t>
  </si>
  <si>
    <t>Self-employment tax from line 34 (complete Part II below)</t>
  </si>
  <si>
    <t xml:space="preserve">.   .   . </t>
  </si>
  <si>
    <t>Enter other taxes for each payment period</t>
  </si>
  <si>
    <t>including, if applicable, Additional Medicare Tax</t>
  </si>
  <si>
    <t>and/or Net Investment Income Tax (see instructions)</t>
  </si>
  <si>
    <t>Total tax. Add lines 12, 13, and 14</t>
  </si>
  <si>
    <t>For each period, enter the same type of credits as allowed</t>
  </si>
  <si>
    <t>on Form 2210, Part I, lines 1 and 3 (see instructions)</t>
  </si>
  <si>
    <t>Subtract line 16 from line 15. If zero or less, enter -0-</t>
  </si>
  <si>
    <t>Applicable percentage</t>
  </si>
  <si>
    <t>Multiply line 17 by line 18</t>
  </si>
  <si>
    <t>Complete lines 20–25 of one column before</t>
  </si>
  <si>
    <t>going to line 20 of the next column.</t>
  </si>
  <si>
    <t>Enter the total of the amounts in all previous columns of line 25</t>
  </si>
  <si>
    <t>Subtract line 20 from line 19. If zero or less, enter -0-</t>
  </si>
  <si>
    <t>Subtract line 25 of the previous column from line 24</t>
  </si>
  <si>
    <t>of that column</t>
  </si>
  <si>
    <t>Add lines 22 and 23</t>
  </si>
  <si>
    <t>Annualized Self-Employment Tax</t>
  </si>
  <si>
    <t>Net earnings from self-employment for the period</t>
  </si>
  <si>
    <t>(see instructions)</t>
  </si>
  <si>
    <t>Prorated social security tax limit</t>
  </si>
  <si>
    <t>Enter actual wages for the period subject to social security tax or</t>
  </si>
  <si>
    <t>the 6.2% portion of the 7.65% railroad retirement (tier 1) tax.</t>
  </si>
  <si>
    <r>
      <rPr>
        <b/>
        <sz val="9"/>
        <rFont val="Arial"/>
        <family val="2"/>
      </rPr>
      <t>Exception:</t>
    </r>
    <r>
      <rPr>
        <sz val="9"/>
        <rFont val="Arial"/>
        <family val="2"/>
      </rPr>
      <t xml:space="preserve"> If you filed Form 4137 or Form 8919, see instructions</t>
    </r>
  </si>
  <si>
    <r>
      <t xml:space="preserve">Enter the </t>
    </r>
    <r>
      <rPr>
        <b/>
        <sz val="10"/>
        <rFont val="Arial"/>
        <family val="2"/>
      </rPr>
      <t>smaller</t>
    </r>
    <r>
      <rPr>
        <sz val="10"/>
        <rFont val="Arial"/>
        <family val="2"/>
      </rPr>
      <t xml:space="preserve"> of line 21 or line 24 here and on</t>
    </r>
  </si>
  <si>
    <t>Form 2210, Part IV, line 18</t>
  </si>
  <si>
    <t>Subtract line 28 from line 27. If zero or less, enter -0-</t>
  </si>
  <si>
    <t>Annualization amounts</t>
  </si>
  <si>
    <t>Multiply line 30 by the smaller of line 26 or line 29</t>
  </si>
  <si>
    <t>Multiply line 26 by line 32</t>
  </si>
  <si>
    <t>Add lines 31 and 33. Enter here and on line 13 above</t>
  </si>
  <si>
    <t>(Form 1040 and Form 1040 NR filers only)</t>
  </si>
  <si>
    <t xml:space="preserve">Subtract line 6 from line 4. </t>
  </si>
  <si>
    <t>Current year tax. Combine lines 1, 2, and 3.</t>
  </si>
  <si>
    <t>Line 8</t>
  </si>
  <si>
    <t>Uncollected social security and Medicare tax or RRTA tax on tips or group-term life insurance (identified as “UT”),</t>
  </si>
  <si>
    <t>Tax on excess golden parachute payments (identified as “EPP”),</t>
  </si>
  <si>
    <t>Excise tax on insider stock compensation from an expatriated corporation (identified as “ISC”),</t>
  </si>
  <si>
    <t>Recapture of federal mortgage subsidy (identified as “FMSR”).</t>
  </si>
  <si>
    <t>*If you are a household employer, include your household employment taxes on line 2 only if you had federal income tax withheld from your income and would be required to make estimated tax payments even if the household employment taxes weren't included</t>
  </si>
  <si>
    <t>(2) Subtract refundable credits listed below:</t>
  </si>
  <si>
    <t>Earned income credit.</t>
  </si>
  <si>
    <t>Additional child tax credit.</t>
  </si>
  <si>
    <t>Refundable part of the American opportunity credit (Form 8863, line 8).</t>
  </si>
  <si>
    <t>Credit for federal tax paid on fuels.</t>
  </si>
  <si>
    <t>Health coverage tax credit.</t>
  </si>
  <si>
    <t>Premium tax credit (Form 8962).</t>
  </si>
  <si>
    <t>Credit determined under section 1341(a)(5)(B).</t>
  </si>
  <si>
    <r>
      <rPr>
        <b/>
        <sz val="10"/>
        <rFont val="Arial"/>
        <family val="2"/>
      </rPr>
      <t>No.</t>
    </r>
    <r>
      <rPr>
        <sz val="10"/>
        <rFont val="Arial"/>
        <family val="2"/>
      </rPr>
      <t xml:space="preserve">    You </t>
    </r>
    <r>
      <rPr>
        <b/>
        <sz val="10"/>
        <rFont val="Arial"/>
        <family val="2"/>
      </rPr>
      <t>don't</t>
    </r>
    <r>
      <rPr>
        <sz val="10"/>
        <rFont val="Arial"/>
        <family val="2"/>
      </rPr>
      <t xml:space="preserve"> owe a penalty. </t>
    </r>
    <r>
      <rPr>
        <b/>
        <sz val="10"/>
        <rFont val="Arial"/>
        <family val="2"/>
      </rPr>
      <t/>
    </r>
  </si>
  <si>
    <t>Form 2210.</t>
  </si>
  <si>
    <r>
      <t xml:space="preserve">You request a </t>
    </r>
    <r>
      <rPr>
        <b/>
        <sz val="10"/>
        <rFont val="Arial"/>
        <family val="2"/>
      </rPr>
      <t>waiver</t>
    </r>
    <r>
      <rPr>
        <sz val="10"/>
        <rFont val="Arial"/>
        <family val="2"/>
      </rPr>
      <t xml:space="preserve"> (see instructions) of part of your penalty. You must figure your penalty and waiver amount and file</t>
    </r>
  </si>
  <si>
    <t>you aren't required to figure your penalty.</t>
  </si>
  <si>
    <r>
      <t xml:space="preserve">You request a </t>
    </r>
    <r>
      <rPr>
        <b/>
        <sz val="10"/>
        <rFont val="Arial"/>
        <family val="2"/>
      </rPr>
      <t>waiver</t>
    </r>
    <r>
      <rPr>
        <sz val="10"/>
        <rFont val="Arial"/>
        <family val="2"/>
      </rPr>
      <t xml:space="preserve"> (see instructions) of your entire penalty. You must check this box and file page 1 of Form 2210, but</t>
    </r>
  </si>
  <si>
    <t xml:space="preserve">Total underpayment for year. Subtract line 13 from line 10. </t>
  </si>
  <si>
    <t>If zero or less, stop; you don't owe a</t>
  </si>
  <si>
    <t>than line 18 for all payment periods,</t>
  </si>
  <si>
    <t>stop here;</t>
  </si>
  <si>
    <t>you</t>
  </si>
  <si>
    <t xml:space="preserve">X        </t>
  </si>
  <si>
    <t>20 of the next column. Otherwise, go to line 26</t>
  </si>
  <si>
    <t>Add the amounts on lines 24 and 25 in the previous</t>
  </si>
  <si>
    <t xml:space="preserve">(c) </t>
  </si>
  <si>
    <t>you will need to make more than one computation for that column.</t>
  </si>
  <si>
    <t>same manner. If multiple estimated tax payments are applied to the underpayment amount in a column of line 1a,</t>
  </si>
  <si>
    <t xml:space="preserve">Complete Rate Period 1 of each column before going to the next column; then go to Rate Periods 2, 3, and 4 in the </t>
  </si>
  <si>
    <t>Worksheet for Form 2210, Part IV, Section B—Figure the Penalty</t>
  </si>
  <si>
    <t>Enter your underpayment from Part IV, Section A, line 25</t>
  </si>
  <si>
    <t>1.b</t>
  </si>
  <si>
    <t xml:space="preserve">1a  </t>
  </si>
  <si>
    <r>
      <t xml:space="preserve">Date and amount of each payment applied to the underpayment 
in the same column. Don't enter more than the underpayment amount on line 1a for each column (see instructions). 
</t>
    </r>
    <r>
      <rPr>
        <b/>
        <sz val="9"/>
        <rFont val="Arial"/>
        <family val="2"/>
      </rPr>
      <t>Note:</t>
    </r>
    <r>
      <rPr>
        <sz val="9"/>
        <rFont val="Arial"/>
        <family val="2"/>
      </rPr>
      <t xml:space="preserve"> Your payments are applied in the order made first to any underpayment balance in an earlier column until that 
underpayment is fully paid.</t>
    </r>
  </si>
  <si>
    <t>Computation starting dates for this period</t>
  </si>
  <si>
    <t>Days</t>
  </si>
  <si>
    <t xml:space="preserve">Number of days from the date on line 2 to the date the amount </t>
  </si>
  <si>
    <t>Underpayment</t>
  </si>
  <si>
    <t>on line 3</t>
  </si>
  <si>
    <t>on line 1a</t>
  </si>
  <si>
    <t xml:space="preserve">Number of days from the date on line 5 to the date the amount </t>
  </si>
  <si>
    <t xml:space="preserve">Number of days from the date on line 8 to the date the amount </t>
  </si>
  <si>
    <t xml:space="preserve">Penalty. Add all amounts on lines 4, 7, 10, and 13 in all columns. Enter the total here and on line 27 of Part </t>
  </si>
  <si>
    <t>IV, Section B</t>
  </si>
  <si>
    <t>Instructions for Form 2210 (2016)</t>
  </si>
  <si>
    <t xml:space="preserve">Number of days from the date on line 12 to the date the amount </t>
  </si>
  <si>
    <t>12/31/16, whichever is earlier</t>
  </si>
  <si>
    <t>-6-</t>
  </si>
  <si>
    <r>
      <rPr>
        <sz val="9"/>
        <rFont val="Arial"/>
        <family val="2"/>
      </rPr>
      <t>each column. All others enter -0-, and skip to line 7.</t>
    </r>
    <r>
      <rPr>
        <sz val="10"/>
        <rFont val="Arial"/>
        <family val="2"/>
      </rPr>
      <t xml:space="preserve"> </t>
    </r>
    <r>
      <rPr>
        <b/>
        <sz val="10"/>
        <rFont val="Arial"/>
        <family val="2"/>
      </rPr>
      <t>Exception:</t>
    </r>
  </si>
  <si>
    <t>Indian students &amp; business apprentices, see instructions.)</t>
  </si>
  <si>
    <t>P171</t>
  </si>
  <si>
    <t>R171</t>
  </si>
  <si>
    <t>T171</t>
  </si>
  <si>
    <t>V171</t>
  </si>
  <si>
    <t>Enter line 3 of Schedule AI</t>
  </si>
  <si>
    <t>filing status:</t>
  </si>
  <si>
    <t>if married filing jointly or</t>
  </si>
  <si>
    <t>qualifying widow(er),</t>
  </si>
  <si>
    <t>if head of household,</t>
  </si>
  <si>
    <t>if single, or</t>
  </si>
  <si>
    <t>if married filing</t>
  </si>
  <si>
    <r>
      <rPr>
        <b/>
        <sz val="10"/>
        <rFont val="Arial"/>
        <family val="2"/>
      </rPr>
      <t>Yes. Stop here.</t>
    </r>
    <r>
      <rPr>
        <sz val="10"/>
        <rFont val="Arial"/>
        <family val="2"/>
      </rPr>
      <t xml:space="preserve"> Enter -0- on lines 5</t>
    </r>
  </si>
  <si>
    <t>and 8. Don't complete the rest of this</t>
  </si>
  <si>
    <t>worksheet.</t>
  </si>
  <si>
    <t>if married filing separately). If the result</t>
  </si>
  <si>
    <t>isn't a whole number, increase it to the</t>
  </si>
  <si>
    <t>next highest whole number (for</t>
  </si>
  <si>
    <t>example, increase 0.0004 to 1)</t>
  </si>
  <si>
    <t>Multiply line 1 by line 6</t>
  </si>
  <si>
    <t xml:space="preserve">For each column, multiply $4,050 by your total exemptions. </t>
  </si>
  <si>
    <t>Deduction for Exemptions Worksheet – Line 10 to figure the amount to enter on line 10.</t>
  </si>
  <si>
    <t xml:space="preserve">But if line 3 is more than the following (Line 3) amount based on your filing status, use the </t>
  </si>
  <si>
    <t>Enter the result as a decimal</t>
  </si>
  <si>
    <t>Multiply $4,050 by the number of exemptions</t>
  </si>
  <si>
    <t>you plan to claim</t>
  </si>
  <si>
    <t xml:space="preserve">Deduction for exemptions. </t>
  </si>
  <si>
    <t>Subtract line 7 from line 1.</t>
  </si>
  <si>
    <t>Enter the result here and in the appropriate</t>
  </si>
  <si>
    <t>column of Schedule AI, line 10</t>
  </si>
  <si>
    <r>
      <rPr>
        <b/>
        <sz val="10"/>
        <rFont val="Arial"/>
        <family val="2"/>
      </rPr>
      <t>No.</t>
    </r>
    <r>
      <rPr>
        <sz val="10"/>
        <rFont val="Arial"/>
        <family val="2"/>
      </rPr>
      <t xml:space="preserve"> Divide line 4 by $2,500 ($1,250</t>
    </r>
  </si>
  <si>
    <t>Override Cells</t>
  </si>
  <si>
    <t xml:space="preserve">Total itemized deductions. Subtract line 12 </t>
  </si>
  <si>
    <t>Enter the smaller of line 7 or line 1</t>
  </si>
  <si>
    <t xml:space="preserve">above on Schedule AI, line 6. </t>
  </si>
  <si>
    <t xml:space="preserve"> Subtract line 9 from line 8.</t>
  </si>
  <si>
    <t>if married filing separately</t>
  </si>
  <si>
    <t>Multiply line 3 by line 4</t>
  </si>
  <si>
    <t xml:space="preserve">appropriate column of Schedule AI, line 6 </t>
  </si>
  <si>
    <t>from Line 5. Enter the result here and in the</t>
  </si>
  <si>
    <t>Note: If line 10 is zero or less,</t>
  </si>
  <si>
    <t xml:space="preserve">your deduction isn't limited. </t>
  </si>
  <si>
    <t>Stop here and enter line 5</t>
  </si>
  <si>
    <t>qualifying widower</t>
  </si>
  <si>
    <t>Enter the amount shown below</t>
  </si>
  <si>
    <t>for your filing status</t>
  </si>
  <si>
    <t>Schedule AI, line 6.</t>
  </si>
  <si>
    <t xml:space="preserve">limited. Stop here and enter line 5 above on </t>
  </si>
  <si>
    <t xml:space="preserve">Note: If line 3 is zero or less, your deduction isn't </t>
  </si>
  <si>
    <t xml:space="preserve">Multiply line 1 by line 4 </t>
  </si>
  <si>
    <t>Enter line 5 of Schedule AI</t>
  </si>
  <si>
    <t>applying the same limits used in line 1)</t>
  </si>
  <si>
    <t xml:space="preserve">casualty or theft losses, and gambling losses (after </t>
  </si>
  <si>
    <t>medical and dental expenses, investment interest,</t>
  </si>
  <si>
    <t xml:space="preserve">Enter the total amount included on line 1 above for </t>
  </si>
  <si>
    <t>Enter line 4 of Schedule AI</t>
  </si>
  <si>
    <t>Rate Period 1:</t>
  </si>
  <si>
    <t>Rate Period 2:</t>
  </si>
  <si>
    <t>Rate Period 3:</t>
  </si>
  <si>
    <t>Rate Period 4:</t>
  </si>
  <si>
    <r>
      <rPr>
        <b/>
        <sz val="10"/>
        <rFont val="Arial"/>
        <family val="2"/>
      </rPr>
      <t>Overpayment.</t>
    </r>
    <r>
      <rPr>
        <sz val="10"/>
        <rFont val="Arial"/>
        <family val="2"/>
      </rPr>
      <t xml:space="preserve"> If line 23 is more than line 18,</t>
    </r>
  </si>
  <si>
    <t>Download Form 2210 Instructions</t>
  </si>
  <si>
    <t>Download Form 2210</t>
  </si>
  <si>
    <t>Payer #8</t>
  </si>
  <si>
    <t>Payer #9</t>
  </si>
  <si>
    <t>(1) Add the amounts listed in the chart below based on which tax return you filed for 2015.</t>
  </si>
  <si>
    <t xml:space="preserve"> .   .   .   .   .   .   .   . </t>
  </si>
  <si>
    <t>(1)</t>
  </si>
  <si>
    <t>(2)</t>
  </si>
  <si>
    <t>Tax Credits</t>
  </si>
  <si>
    <t>Gross Income</t>
  </si>
  <si>
    <t>Refundable</t>
  </si>
  <si>
    <t xml:space="preserve"> line 8 above is smaller than line 5        </t>
  </si>
  <si>
    <t>don't complete line 8. Instead, enter the amount from line 5 on</t>
  </si>
  <si>
    <t>line 9. However, see Exceptions to the Penalty, earlier.</t>
  </si>
  <si>
    <t>DATE</t>
  </si>
  <si>
    <r>
      <t xml:space="preserve">on line 1a was paid   </t>
    </r>
    <r>
      <rPr>
        <b/>
        <sz val="9"/>
        <rFont val="Arial"/>
        <family val="2"/>
      </rPr>
      <t>or</t>
    </r>
  </si>
  <si>
    <t>(a) RP-1</t>
  </si>
  <si>
    <t>(a) RP-2</t>
  </si>
  <si>
    <t>(a) RP-3</t>
  </si>
  <si>
    <t>(a) RP-4</t>
  </si>
  <si>
    <t>(b) RP-1</t>
  </si>
  <si>
    <t>(b) RP-2</t>
  </si>
  <si>
    <t>(b) RP-3</t>
  </si>
  <si>
    <t>(b) RP-4</t>
  </si>
  <si>
    <t>(c) RP-2</t>
  </si>
  <si>
    <t>(c) RP-3</t>
  </si>
  <si>
    <t>(c) RP-4</t>
  </si>
  <si>
    <t>(d) RP-4</t>
  </si>
  <si>
    <t>PYMNT</t>
  </si>
  <si>
    <t>TOTAL</t>
  </si>
  <si>
    <r>
      <rPr>
        <b/>
        <sz val="7"/>
        <rFont val="Arial"/>
        <family val="2"/>
      </rPr>
      <t>(g)</t>
    </r>
    <r>
      <rPr>
        <sz val="7"/>
        <rFont val="Arial"/>
        <family val="2"/>
      </rPr>
      <t xml:space="preserve"> Adjustments to
gain or loss from
Form(s) 8949,
line 4, column (g)</t>
    </r>
  </si>
  <si>
    <t>AMT.</t>
  </si>
  <si>
    <t>Lines 56, 57, 59 (additional tax on distributions only), 60a*, 60b, and any 
write-ins on line 62 with the exception of:</t>
  </si>
  <si>
    <t>Look-back interest due under section 167(g) (identified as
 “8866”), and under section 460(b) (identified as “8697”),</t>
  </si>
  <si>
    <r>
      <t xml:space="preserve">To figure your 2015 tax, </t>
    </r>
    <r>
      <rPr>
        <u/>
        <sz val="10"/>
        <rFont val="Arial"/>
        <family val="2"/>
      </rPr>
      <t>first</t>
    </r>
    <r>
      <rPr>
        <sz val="10"/>
        <rFont val="Arial"/>
        <family val="2"/>
      </rPr>
      <t xml:space="preserve"> </t>
    </r>
    <r>
      <rPr>
        <i/>
        <sz val="10"/>
        <rFont val="Arial"/>
        <family val="2"/>
      </rPr>
      <t>add</t>
    </r>
    <r>
      <rPr>
        <sz val="10"/>
        <rFont val="Arial"/>
        <family val="2"/>
      </rPr>
      <t xml:space="preserve"> the amounts listed in </t>
    </r>
    <r>
      <rPr>
        <b/>
        <sz val="10"/>
        <rFont val="Arial"/>
        <family val="2"/>
      </rPr>
      <t>(1)</t>
    </r>
    <r>
      <rPr>
        <sz val="10"/>
        <rFont val="Arial"/>
        <family val="2"/>
      </rPr>
      <t xml:space="preserve"> (see below),
</t>
    </r>
    <r>
      <rPr>
        <u/>
        <sz val="10"/>
        <rFont val="Arial"/>
        <family val="2"/>
      </rPr>
      <t>then</t>
    </r>
    <r>
      <rPr>
        <sz val="10"/>
        <rFont val="Arial"/>
        <family val="2"/>
      </rPr>
      <t xml:space="preserve"> </t>
    </r>
    <r>
      <rPr>
        <i/>
        <sz val="10"/>
        <rFont val="Arial"/>
        <family val="2"/>
      </rPr>
      <t>subtract</t>
    </r>
    <r>
      <rPr>
        <sz val="10"/>
        <rFont val="Arial"/>
        <family val="2"/>
      </rPr>
      <t xml:space="preserve"> from that total amount the refundable credits listed
in </t>
    </r>
    <r>
      <rPr>
        <b/>
        <sz val="10"/>
        <rFont val="Arial"/>
        <family val="2"/>
      </rPr>
      <t>(2)</t>
    </r>
    <r>
      <rPr>
        <sz val="10"/>
        <rFont val="Arial"/>
        <family val="2"/>
      </rPr>
      <t xml:space="preserve"> (see below) that are shown on your 2015 tax return. </t>
    </r>
  </si>
  <si>
    <t>Overrides</t>
  </si>
  <si>
    <t>Don't file Form 2210 unless</t>
  </si>
  <si>
    <t>box E below applies.</t>
  </si>
  <si>
    <t>Head of Household</t>
  </si>
  <si>
    <t>Married Filing Separately</t>
  </si>
  <si>
    <t>Qualifying Widow(er)</t>
  </si>
  <si>
    <t>Schedule AI - Itemized Deductions Worksheet – Line 6</t>
  </si>
  <si>
    <t>Schedule AI - Deduction for Exemptions Worksheet – Line 10</t>
  </si>
  <si>
    <r>
      <t xml:space="preserve">Overrides   </t>
    </r>
    <r>
      <rPr>
        <b/>
        <sz val="9"/>
        <rFont val="Symbol"/>
        <family val="1"/>
        <charset val="2"/>
      </rPr>
      <t>®</t>
    </r>
  </si>
  <si>
    <t>PYMT</t>
  </si>
  <si>
    <t>UNDER</t>
  </si>
  <si>
    <t>to Line 28.</t>
  </si>
  <si>
    <t>Updated Line 28 calculation for Married Filing Separately filers.  Changed the amount over which additional amounts are added from $246,250 to $247,450. Thank you, Gagik M.</t>
  </si>
  <si>
    <t>Made restrictions for Married Filing Separately filers applicable to the entire form (versus Part III only.)  Thank you, Patrick S.</t>
  </si>
  <si>
    <t>Married Persons Filing Separately</t>
  </si>
  <si>
    <t xml:space="preserve">Generally, married persons must file a joint return to claim the credit. </t>
  </si>
  <si>
    <t xml:space="preserve">If your filing status is married filing separately and all of the following apply, </t>
  </si>
  <si>
    <t>you are considered unmarried for purposes of claiming the credit on Form 2441.</t>
  </si>
  <si>
    <t>o You lived apart from your spouse during the last 6 months of 2014.</t>
  </si>
  <si>
    <t>o Your home was the qualifying person's main home for more than half of 2014.</t>
  </si>
  <si>
    <t>o You paid more than half of the cost of keeping up that home for 2014.</t>
  </si>
  <si>
    <t>If you meet all the requirements to be treated as unmarried and meet items 2</t>
  </si>
  <si>
    <t>through 5 listed earlier, you can take the credit or the exclusion. If you don't meet</t>
  </si>
  <si>
    <t>all the requirements to be treated as unmarried, you can't take the credit.</t>
  </si>
  <si>
    <t>However, you can take the exclusion if you meet items 2 through 5.</t>
  </si>
  <si>
    <t>See Instructions for Form 2441.</t>
  </si>
  <si>
    <t>and below as to</t>
  </si>
  <si>
    <t xml:space="preserve">whether or not you </t>
  </si>
  <si>
    <t xml:space="preserve">meet the </t>
  </si>
  <si>
    <t>requirements to be</t>
  </si>
  <si>
    <t>considered</t>
  </si>
  <si>
    <t>'unmarried'</t>
  </si>
  <si>
    <t>for the purposes</t>
  </si>
  <si>
    <t>of claiming the</t>
  </si>
  <si>
    <t>credit on Form 2441.</t>
  </si>
  <si>
    <t>Removed &lt;CR&gt; characters from equations used for Part IV, Section B, Figure the Penalty Worksheet.</t>
  </si>
  <si>
    <t>Corrected calculation for Part III, Line 11.  Thank you, Doris T.</t>
  </si>
  <si>
    <t>Corrected birthday calculations to correctly handle people who were born on Leap Day (February 29).  Thank you, Robert S.</t>
  </si>
  <si>
    <t>Removed $56,789 entry from Line 10.  Thank you, Icarus S.</t>
  </si>
  <si>
    <t>Reworked logic for Repayment of Excess Advance Payment of the Premium Tax Credit (Part III, Lines 27, 28, and 29) to work even if Line 1 is zero.</t>
  </si>
  <si>
    <t>Corrected Part II, Line 19(c), to autofill from Line 8b.</t>
  </si>
  <si>
    <t>Added rounding (to nearest dollar) to Part I, Lines 1.a (h), 1.b, 2, and 3.
Added rounding (to nearest dollar) to Part II, Lines 8.a (h), 8.b, 9, and 10.
Thank you, John B.</t>
  </si>
  <si>
    <t>8949A, B, C</t>
  </si>
  <si>
    <t>Added rounding (to nearest dollar) to Part I, Line 2 and Part II, Line 2.
Thank you, John B.</t>
  </si>
  <si>
    <t>Unprotected Line 6b to allow the spouse to be claimed as an exemption even if the filing status is other than "Married Filing Jointly".  Thank you, Bill T.</t>
  </si>
  <si>
    <t>Added new Form 2210.</t>
  </si>
  <si>
    <t>Added Form 2210 to standard issue spreadsheet (16_1040.xlsx).</t>
  </si>
  <si>
    <t>Corrected Line 16 to use the number of days BEFORE 4/15/2017.  Thanks, Ariel K.</t>
  </si>
  <si>
    <t>Fixed calculation for Line 1 of the QD &amp; CG Tax Worksheet to include Line 3 of the Foreign Earned Income Tax Worksheet (FEITW).  Thank you, Alex H.</t>
  </si>
  <si>
    <t>Fixed Line 4 of the Foreign Earned Income Tax Worksheet (FEITW) to use the QD &amp; CG Tax Worksheet (if it is used).  Thank you, Alex H.</t>
  </si>
  <si>
    <t>Removed protection from manual overrides and added overrides to the Foreign Earned Income Tax Worksheet to include Lines 1, 3, 4, 5 and 6.  Thank you, Alex H.</t>
  </si>
  <si>
    <t>Changed font color of Dependent Spouse checkbox to black.</t>
  </si>
  <si>
    <t>Changed logic to worksheet Line 16 to be blank if the answer to Line 15 is 'Yes'.</t>
  </si>
  <si>
    <t>Corrected Line 17 to never be less than zero.  Added "15-Apr-2017" as default payment date.</t>
  </si>
  <si>
    <t>Corrected Short Form, Line 2, and Long Form Line 2, to NOT include statutory employee income when checkbox on Sch. C, Line 1, is checked.  Added explanatory note.</t>
  </si>
  <si>
    <t xml:space="preserve">  OMB No. 1545-2227</t>
  </si>
  <si>
    <t>State, local, and foreign income tax (see instructions)</t>
  </si>
  <si>
    <t xml:space="preserve">.   .   .   .   .   .   .   .   .   .   .   .   .   .   .   .   .   .   .   .   .   .   .   .   .   .   .   .   .   .   .   </t>
  </si>
  <si>
    <t>Corrected Line 31 calculation and Part III, Lines 37, 38, &amp; 39.  Thank you, Alex F.</t>
  </si>
  <si>
    <t>Corrected Schedule AI, Part 1, Line 7, to use 'Standard Deduction' vs. 'Form 1040, Line 40' (which might be itemized deduction).  Thank you, Don D.</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</si>
</sst>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6" formatCode="&quot;$&quot;#,##0_);[Red]\(&quot;$&quot;#,##0\)"/>
    <numFmt numFmtId="7" formatCode="&quot;$&quot;#,##0.00_);\(&quot;$&quot;#,##0.00\)"/>
    <numFmt numFmtId="44" formatCode="_(&quot;$&quot;* #,##0.00_);_(&quot;$&quot;* \(#,##0.00\);_(&quot;$&quot;* &quot;-&quot;??_);_(@_)"/>
    <numFmt numFmtId="164" formatCode="0."/>
    <numFmt numFmtId="165" formatCode="[&lt;=9999999]###\-####;\(###\)\ ###\-####"/>
    <numFmt numFmtId="166" formatCode="000\-00\-0000"/>
    <numFmt numFmtId="167" formatCode="[&gt;9]&quot;X&quot;;#"/>
    <numFmt numFmtId="168" formatCode="&quot;$&quot;#,##0"/>
    <numFmt numFmtId="169" formatCode="mmmm\ d\,\ yyyy"/>
    <numFmt numFmtId="170" formatCode="0_);[Red]\(0\)"/>
    <numFmt numFmtId="171" formatCode="0.0%"/>
    <numFmt numFmtId="172" formatCode="#,##0.0_);\(#,##0.0\)"/>
    <numFmt numFmtId="173" formatCode="#,##0.000_);\(#,##0.000\)"/>
    <numFmt numFmtId="174" formatCode="m/d/yyyy;@"/>
    <numFmt numFmtId="175" formatCode="m/d/yyyy\ h:mm\ AM/PM"/>
    <numFmt numFmtId="176" formatCode="mmm\.\ d\,\ yyyy"/>
    <numFmt numFmtId="177" formatCode="#,##0.000"/>
    <numFmt numFmtId="178" formatCode="0_);\(0\)"/>
    <numFmt numFmtId="179" formatCode="0.000"/>
    <numFmt numFmtId="180" formatCode="#,##0.000_);[Red]\(#,##0.000\)"/>
    <numFmt numFmtId="181" formatCode="[$-409]h:mm\ AM/PM;@"/>
    <numFmt numFmtId="182" formatCode="0.0000"/>
    <numFmt numFmtId="183" formatCode=".00"/>
    <numFmt numFmtId="184" formatCode="0.0"/>
    <numFmt numFmtId="185" formatCode="mmm"/>
    <numFmt numFmtId="186" formatCode="[$-409]d\-mmm\-yyyy;@"/>
    <numFmt numFmtId="187" formatCode="mmm\.\ d"/>
    <numFmt numFmtId="188" formatCode="[$-409]mmmm\ d\,\ yyyy;@"/>
    <numFmt numFmtId="189" formatCode="dd\-mmm\-yyyy\ h:mm\ AM/PM"/>
    <numFmt numFmtId="190" formatCode="dd\-mmm\-yyyy"/>
    <numFmt numFmtId="191" formatCode="mmmm"/>
    <numFmt numFmtId="192" formatCode="0.00000"/>
    <numFmt numFmtId="193" formatCode="m/d/yy;@"/>
    <numFmt numFmtId="194" formatCode="&quot;$&quot;#,##0.00"/>
  </numFmts>
  <fonts count="266">
    <font>
      <sz val="10"/>
      <name val="Arial"/>
    </font>
    <font>
      <b/>
      <sz val="10"/>
      <name val="Arial"/>
      <family val="2"/>
    </font>
    <font>
      <i/>
      <sz val="10"/>
      <name val="Arial"/>
      <family val="2"/>
    </font>
    <font>
      <sz val="10"/>
      <name val="Arial"/>
      <family val="2"/>
    </font>
    <font>
      <b/>
      <sz val="10"/>
      <name val="Arial"/>
      <family val="2"/>
    </font>
    <font>
      <sz val="9"/>
      <name val="Arial"/>
      <family val="2"/>
    </font>
    <font>
      <b/>
      <sz val="9"/>
      <name val="Arial"/>
      <family val="2"/>
    </font>
    <font>
      <b/>
      <sz val="9"/>
      <name val="Arial"/>
      <family val="2"/>
    </font>
    <font>
      <sz val="8"/>
      <name val="Arial"/>
      <family val="2"/>
    </font>
    <font>
      <sz val="9"/>
      <name val="Arial"/>
      <family val="2"/>
    </font>
    <font>
      <b/>
      <sz val="12"/>
      <name val="Arial"/>
      <family val="2"/>
    </font>
    <font>
      <b/>
      <sz val="8"/>
      <name val="Arial"/>
      <family val="2"/>
    </font>
    <font>
      <sz val="8"/>
      <name val="Arial"/>
      <family val="2"/>
    </font>
    <font>
      <b/>
      <sz val="12"/>
      <name val="Arial"/>
      <family val="2"/>
    </font>
    <font>
      <sz val="12"/>
      <name val="Arial"/>
      <family val="2"/>
    </font>
    <font>
      <b/>
      <sz val="8"/>
      <name val="Arial"/>
      <family val="2"/>
    </font>
    <font>
      <b/>
      <sz val="11"/>
      <name val="Arial"/>
      <family val="2"/>
    </font>
    <font>
      <sz val="7"/>
      <name val="Arial"/>
      <family val="2"/>
    </font>
    <font>
      <sz val="10"/>
      <name val="Wingdings"/>
      <charset val="2"/>
    </font>
    <font>
      <sz val="10"/>
      <name val="Arial"/>
      <family val="2"/>
    </font>
    <font>
      <b/>
      <sz val="7"/>
      <name val="Arial"/>
      <family val="2"/>
    </font>
    <font>
      <b/>
      <sz val="14"/>
      <name val="Arial"/>
      <family val="2"/>
    </font>
    <font>
      <b/>
      <sz val="20"/>
      <name val="Arial"/>
      <family val="2"/>
    </font>
    <font>
      <sz val="10"/>
      <color indexed="9"/>
      <name val="Arial"/>
      <family val="2"/>
    </font>
    <font>
      <i/>
      <sz val="12"/>
      <name val="Arial"/>
      <family val="2"/>
    </font>
    <font>
      <i/>
      <sz val="11"/>
      <name val="Arial"/>
      <family val="2"/>
    </font>
    <font>
      <u/>
      <sz val="10"/>
      <name val="Arial"/>
      <family val="2"/>
    </font>
    <font>
      <b/>
      <u/>
      <sz val="10"/>
      <name val="Arial"/>
      <family val="2"/>
    </font>
    <font>
      <sz val="9"/>
      <name val="Wingdings"/>
      <charset val="2"/>
    </font>
    <font>
      <b/>
      <i/>
      <sz val="11"/>
      <name val="Arial"/>
      <family val="2"/>
    </font>
    <font>
      <b/>
      <i/>
      <sz val="11"/>
      <name val="Arial"/>
      <family val="2"/>
    </font>
    <font>
      <sz val="8"/>
      <color indexed="9"/>
      <name val="Arial"/>
      <family val="2"/>
    </font>
    <font>
      <i/>
      <sz val="10"/>
      <name val="Arial"/>
      <family val="2"/>
    </font>
    <font>
      <b/>
      <sz val="9"/>
      <color indexed="9"/>
      <name val="Arial"/>
      <family val="2"/>
    </font>
    <font>
      <sz val="9"/>
      <color indexed="8"/>
      <name val="Arial"/>
      <family val="2"/>
    </font>
    <font>
      <sz val="8"/>
      <name val="Marlett"/>
      <charset val="2"/>
    </font>
    <font>
      <b/>
      <u/>
      <sz val="12"/>
      <color indexed="18"/>
      <name val="Arial"/>
      <family val="2"/>
    </font>
    <font>
      <sz val="7"/>
      <name val="Arial"/>
      <family val="2"/>
    </font>
    <font>
      <u/>
      <sz val="8"/>
      <name val="Arial"/>
      <family val="2"/>
    </font>
    <font>
      <b/>
      <u/>
      <sz val="12"/>
      <name val="Arial"/>
      <family val="2"/>
    </font>
    <font>
      <sz val="8"/>
      <name val="Wingdings"/>
      <charset val="2"/>
    </font>
    <font>
      <sz val="10"/>
      <name val="Marlett"/>
      <charset val="2"/>
    </font>
    <font>
      <i/>
      <sz val="9"/>
      <name val="Arial"/>
      <family val="2"/>
    </font>
    <font>
      <b/>
      <sz val="12"/>
      <name val="Marlett"/>
      <charset val="2"/>
    </font>
    <font>
      <sz val="12"/>
      <name val="Marlett"/>
      <charset val="2"/>
    </font>
    <font>
      <b/>
      <sz val="8"/>
      <name val="Marlett"/>
      <charset val="2"/>
    </font>
    <font>
      <sz val="12"/>
      <name val="Arial"/>
      <family val="2"/>
    </font>
    <font>
      <b/>
      <i/>
      <sz val="12"/>
      <name val="Arial"/>
      <family val="2"/>
    </font>
    <font>
      <b/>
      <sz val="9"/>
      <name val="Marlett"/>
      <charset val="2"/>
    </font>
    <font>
      <sz val="11"/>
      <name val="Marlett"/>
      <charset val="2"/>
    </font>
    <font>
      <sz val="9"/>
      <color indexed="9"/>
      <name val="Arial"/>
      <family val="2"/>
    </font>
    <font>
      <b/>
      <sz val="16"/>
      <name val="Arial"/>
      <family val="2"/>
    </font>
    <font>
      <b/>
      <sz val="10"/>
      <name val="Wingdings"/>
      <charset val="2"/>
    </font>
    <font>
      <sz val="6"/>
      <name val="Arial"/>
      <family val="2"/>
    </font>
    <font>
      <sz val="6"/>
      <name val="Arial"/>
      <family val="2"/>
    </font>
    <font>
      <sz val="11"/>
      <name val="Arial"/>
      <family val="2"/>
    </font>
    <font>
      <b/>
      <sz val="9"/>
      <name val="Wingdings"/>
      <charset val="2"/>
    </font>
    <font>
      <b/>
      <sz val="11"/>
      <color indexed="9"/>
      <name val="Arial"/>
      <family val="2"/>
    </font>
    <font>
      <b/>
      <sz val="6"/>
      <name val="Arial"/>
      <family val="2"/>
    </font>
    <font>
      <b/>
      <sz val="10"/>
      <color indexed="9"/>
      <name val="Arial"/>
      <family val="2"/>
    </font>
    <font>
      <sz val="9"/>
      <name val="Marlett"/>
      <charset val="2"/>
    </font>
    <font>
      <b/>
      <sz val="14"/>
      <name val="Marlett"/>
      <charset val="2"/>
    </font>
    <font>
      <sz val="16"/>
      <name val="Marlett"/>
      <charset val="2"/>
    </font>
    <font>
      <b/>
      <sz val="10"/>
      <color indexed="9"/>
      <name val="Arial"/>
      <family val="2"/>
    </font>
    <font>
      <sz val="11"/>
      <color indexed="9"/>
      <name val="Arial"/>
      <family val="2"/>
    </font>
    <font>
      <b/>
      <i/>
      <sz val="9"/>
      <name val="Arial"/>
      <family val="2"/>
    </font>
    <font>
      <b/>
      <i/>
      <sz val="10"/>
      <name val="Arial"/>
      <family val="2"/>
    </font>
    <font>
      <b/>
      <sz val="10"/>
      <color indexed="10"/>
      <name val="Arial"/>
      <family val="2"/>
    </font>
    <font>
      <b/>
      <sz val="22"/>
      <name val="Arial"/>
      <family val="2"/>
    </font>
    <font>
      <sz val="10"/>
      <name val="Symbol"/>
      <family val="1"/>
      <charset val="2"/>
    </font>
    <font>
      <i/>
      <sz val="12"/>
      <name val="Century Schoolbook"/>
      <family val="1"/>
    </font>
    <font>
      <b/>
      <i/>
      <sz val="14"/>
      <name val="Times New Roman"/>
      <family val="1"/>
    </font>
    <font>
      <b/>
      <sz val="12"/>
      <color indexed="10"/>
      <name val="Arial"/>
      <family val="2"/>
    </font>
    <font>
      <b/>
      <i/>
      <sz val="12"/>
      <name val="Arial"/>
      <family val="2"/>
    </font>
    <font>
      <b/>
      <sz val="8"/>
      <color indexed="9"/>
      <name val="Arial"/>
      <family val="2"/>
    </font>
    <font>
      <sz val="8"/>
      <color indexed="8"/>
      <name val="Arial"/>
      <family val="2"/>
    </font>
    <font>
      <b/>
      <sz val="9"/>
      <color indexed="10"/>
      <name val="Arial"/>
      <family val="2"/>
    </font>
    <font>
      <b/>
      <sz val="11"/>
      <color indexed="10"/>
      <name val="Arial"/>
      <family val="2"/>
    </font>
    <font>
      <u/>
      <sz val="10"/>
      <color indexed="12"/>
      <name val="Arial"/>
      <family val="2"/>
    </font>
    <font>
      <i/>
      <sz val="12"/>
      <name val="Times New Roman"/>
      <family val="1"/>
    </font>
    <font>
      <sz val="10"/>
      <color indexed="10"/>
      <name val="Arial"/>
      <family val="2"/>
    </font>
    <font>
      <b/>
      <sz val="10"/>
      <color indexed="9"/>
      <name val="Monotype Sorts"/>
    </font>
    <font>
      <b/>
      <sz val="12"/>
      <color indexed="10"/>
      <name val="Symbol"/>
      <family val="1"/>
      <charset val="2"/>
    </font>
    <font>
      <b/>
      <sz val="10"/>
      <color indexed="10"/>
      <name val="Arial"/>
      <family val="2"/>
    </font>
    <font>
      <b/>
      <i/>
      <sz val="12"/>
      <name val="Times New Roman"/>
      <family val="1"/>
    </font>
    <font>
      <b/>
      <i/>
      <sz val="9"/>
      <color indexed="10"/>
      <name val="Arial"/>
      <family val="2"/>
    </font>
    <font>
      <b/>
      <sz val="26"/>
      <name val="Arial"/>
      <family val="2"/>
    </font>
    <font>
      <b/>
      <sz val="13"/>
      <name val="Arial"/>
      <family val="2"/>
    </font>
    <font>
      <sz val="14"/>
      <name val="Arial"/>
      <family val="2"/>
    </font>
    <font>
      <b/>
      <sz val="12"/>
      <color indexed="9"/>
      <name val="Arial"/>
      <family val="2"/>
    </font>
    <font>
      <b/>
      <sz val="8"/>
      <color indexed="10"/>
      <name val="Arial"/>
      <family val="2"/>
    </font>
    <font>
      <vertAlign val="superscript"/>
      <sz val="10"/>
      <name val="Arial"/>
      <family val="2"/>
    </font>
    <font>
      <sz val="7"/>
      <color indexed="16"/>
      <name val="Arial"/>
      <family val="2"/>
    </font>
    <font>
      <b/>
      <sz val="10"/>
      <color indexed="16"/>
      <name val="Arial"/>
      <family val="2"/>
    </font>
    <font>
      <sz val="10"/>
      <color indexed="16"/>
      <name val="Arial"/>
      <family val="2"/>
    </font>
    <font>
      <b/>
      <i/>
      <sz val="10"/>
      <color indexed="10"/>
      <name val="Arial"/>
      <family val="2"/>
    </font>
    <font>
      <b/>
      <sz val="10"/>
      <color indexed="17"/>
      <name val="Arial"/>
      <family val="2"/>
    </font>
    <font>
      <sz val="10"/>
      <color indexed="22"/>
      <name val="Arial"/>
      <family val="2"/>
    </font>
    <font>
      <b/>
      <sz val="16"/>
      <name val="Wingdings 2"/>
      <family val="1"/>
      <charset val="2"/>
    </font>
    <font>
      <sz val="10"/>
      <color indexed="8"/>
      <name val="Arial"/>
      <family val="2"/>
    </font>
    <font>
      <b/>
      <sz val="7"/>
      <name val="Arial"/>
      <family val="2"/>
    </font>
    <font>
      <b/>
      <sz val="10"/>
      <name val="Marlett"/>
      <charset val="2"/>
    </font>
    <font>
      <b/>
      <sz val="18"/>
      <name val="Arial"/>
      <family val="2"/>
    </font>
    <font>
      <sz val="9"/>
      <color indexed="9"/>
      <name val="Arial"/>
      <family val="2"/>
    </font>
    <font>
      <sz val="12"/>
      <color indexed="9"/>
      <name val="Arial"/>
      <family val="2"/>
    </font>
    <font>
      <sz val="9"/>
      <color indexed="10"/>
      <name val="Arial"/>
      <family val="2"/>
    </font>
    <font>
      <b/>
      <u/>
      <sz val="10"/>
      <color indexed="12"/>
      <name val="Arial"/>
      <family val="2"/>
    </font>
    <font>
      <sz val="8"/>
      <color indexed="10"/>
      <name val="Arial"/>
      <family val="2"/>
    </font>
    <font>
      <sz val="9"/>
      <color indexed="10"/>
      <name val="Arial"/>
      <family val="2"/>
    </font>
    <font>
      <sz val="8"/>
      <name val="Symbol"/>
      <family val="1"/>
      <charset val="2"/>
    </font>
    <font>
      <b/>
      <sz val="28"/>
      <name val="Arial"/>
      <family val="2"/>
    </font>
    <font>
      <sz val="28"/>
      <name val="Arial"/>
      <family val="2"/>
    </font>
    <font>
      <sz val="22"/>
      <name val="Arial"/>
      <family val="2"/>
    </font>
    <font>
      <i/>
      <sz val="11"/>
      <name val="Courier New"/>
      <family val="3"/>
    </font>
    <font>
      <i/>
      <sz val="11"/>
      <name val="Arial"/>
      <family val="2"/>
    </font>
    <font>
      <b/>
      <sz val="10"/>
      <name val="Symbol"/>
      <family val="1"/>
      <charset val="2"/>
    </font>
    <font>
      <b/>
      <sz val="10"/>
      <color indexed="8"/>
      <name val="Arial"/>
      <family val="2"/>
    </font>
    <font>
      <u/>
      <sz val="8"/>
      <name val="Arial"/>
      <family val="2"/>
    </font>
    <font>
      <u/>
      <sz val="9"/>
      <name val="Arial"/>
      <family val="2"/>
    </font>
    <font>
      <b/>
      <sz val="10"/>
      <color indexed="9"/>
      <name val="Marlett"/>
      <charset val="2"/>
    </font>
    <font>
      <sz val="10"/>
      <color indexed="17"/>
      <name val="Arial"/>
      <family val="2"/>
    </font>
    <font>
      <sz val="10"/>
      <name val="Arial"/>
      <family val="2"/>
    </font>
    <font>
      <sz val="7.5"/>
      <name val="Arial"/>
      <family val="2"/>
    </font>
    <font>
      <b/>
      <sz val="10"/>
      <color indexed="12"/>
      <name val="Arial"/>
      <family val="2"/>
    </font>
    <font>
      <sz val="9"/>
      <color indexed="9"/>
      <name val="Arial"/>
      <family val="2"/>
    </font>
    <font>
      <sz val="8"/>
      <color indexed="9"/>
      <name val="Arial"/>
      <family val="2"/>
    </font>
    <font>
      <sz val="10"/>
      <color indexed="9"/>
      <name val="Arial"/>
      <family val="2"/>
    </font>
    <font>
      <sz val="10"/>
      <color indexed="10"/>
      <name val="Arial"/>
      <family val="2"/>
    </font>
    <font>
      <sz val="9"/>
      <color indexed="10"/>
      <name val="Arial"/>
      <family val="2"/>
    </font>
    <font>
      <sz val="12"/>
      <name val="Courier New"/>
      <family val="3"/>
    </font>
    <font>
      <b/>
      <sz val="11"/>
      <name val="Courier"/>
      <family val="3"/>
    </font>
    <font>
      <sz val="11"/>
      <name val="Courier"/>
      <family val="3"/>
    </font>
    <font>
      <sz val="12"/>
      <name val="Courier"/>
      <family val="3"/>
    </font>
    <font>
      <b/>
      <sz val="10"/>
      <name val="Courier New"/>
      <family val="3"/>
    </font>
    <font>
      <sz val="8"/>
      <color indexed="22"/>
      <name val="Arial"/>
      <family val="2"/>
    </font>
    <font>
      <b/>
      <sz val="10"/>
      <color indexed="9"/>
      <name val="Arial"/>
      <family val="2"/>
    </font>
    <font>
      <b/>
      <sz val="12"/>
      <name val="Calibri"/>
      <family val="2"/>
    </font>
    <font>
      <sz val="10"/>
      <color indexed="9"/>
      <name val="Arial"/>
      <family val="2"/>
    </font>
    <font>
      <sz val="10"/>
      <color indexed="22"/>
      <name val="Arial"/>
      <family val="2"/>
    </font>
    <font>
      <sz val="9"/>
      <color indexed="9"/>
      <name val="Arial"/>
      <family val="2"/>
    </font>
    <font>
      <b/>
      <sz val="10"/>
      <color indexed="10"/>
      <name val="Arial"/>
      <family val="2"/>
    </font>
    <font>
      <sz val="10"/>
      <name val="Monotype Sorts"/>
      <charset val="2"/>
    </font>
    <font>
      <sz val="12"/>
      <name val="Wingdings"/>
      <charset val="2"/>
    </font>
    <font>
      <b/>
      <i/>
      <sz val="12"/>
      <name val="Marlett"/>
      <charset val="2"/>
    </font>
    <font>
      <b/>
      <sz val="12"/>
      <color indexed="10"/>
      <name val="Symbol"/>
      <family val="1"/>
      <charset val="2"/>
    </font>
    <font>
      <b/>
      <sz val="8"/>
      <color indexed="9"/>
      <name val="Arial"/>
      <family val="2"/>
    </font>
    <font>
      <b/>
      <sz val="8"/>
      <color indexed="10"/>
      <name val="Arial"/>
      <family val="2"/>
    </font>
    <font>
      <sz val="10"/>
      <color indexed="22"/>
      <name val="Arial"/>
      <family val="2"/>
    </font>
    <font>
      <sz val="10"/>
      <color indexed="9"/>
      <name val="Arial"/>
      <family val="2"/>
    </font>
    <font>
      <b/>
      <sz val="10"/>
      <color indexed="9"/>
      <name val="Arial"/>
      <family val="2"/>
    </font>
    <font>
      <b/>
      <sz val="24"/>
      <name val="Arial"/>
      <family val="2"/>
    </font>
    <font>
      <sz val="8"/>
      <name val="Arial"/>
      <family val="2"/>
    </font>
    <font>
      <b/>
      <sz val="9"/>
      <name val="Arial"/>
      <family val="2"/>
    </font>
    <font>
      <b/>
      <sz val="9"/>
      <color indexed="8"/>
      <name val="Arial"/>
      <family val="2"/>
    </font>
    <font>
      <u/>
      <sz val="10"/>
      <color indexed="12"/>
      <name val="Arial"/>
      <family val="2"/>
    </font>
    <font>
      <sz val="7"/>
      <name val="Marlett"/>
      <charset val="2"/>
    </font>
    <font>
      <b/>
      <u/>
      <sz val="9"/>
      <name val="Arial"/>
      <family val="2"/>
    </font>
    <font>
      <b/>
      <sz val="8"/>
      <color rgb="FFFF0000"/>
      <name val="Arial"/>
      <family val="2"/>
    </font>
    <font>
      <b/>
      <sz val="10"/>
      <color theme="0" tint="-0.499984740745262"/>
      <name val="Arial"/>
      <family val="2"/>
    </font>
    <font>
      <sz val="10"/>
      <color theme="0" tint="-0.499984740745262"/>
      <name val="Arial"/>
      <family val="2"/>
    </font>
    <font>
      <sz val="10"/>
      <color rgb="FFFF0000"/>
      <name val="Arial"/>
      <family val="2"/>
    </font>
    <font>
      <sz val="10"/>
      <color theme="0"/>
      <name val="Arial"/>
      <family val="2"/>
    </font>
    <font>
      <sz val="10"/>
      <color theme="0" tint="-0.24994659260841701"/>
      <name val="Arial"/>
      <family val="2"/>
    </font>
    <font>
      <sz val="8"/>
      <color theme="0"/>
      <name val="Arial"/>
      <family val="2"/>
    </font>
    <font>
      <sz val="10"/>
      <color theme="0" tint="-0.249977111117893"/>
      <name val="Arial"/>
      <family val="2"/>
    </font>
    <font>
      <sz val="8"/>
      <color theme="6" tint="0.79998168889431442"/>
      <name val="Arial"/>
      <family val="2"/>
    </font>
    <font>
      <b/>
      <sz val="8"/>
      <color theme="6" tint="0.79998168889431442"/>
      <name val="Arial"/>
      <family val="2"/>
    </font>
    <font>
      <b/>
      <sz val="10"/>
      <color theme="6" tint="0.79998168889431442"/>
      <name val="Arial"/>
      <family val="2"/>
    </font>
    <font>
      <sz val="10"/>
      <color theme="6" tint="0.79998168889431442"/>
      <name val="Arial"/>
      <family val="2"/>
    </font>
    <font>
      <sz val="7"/>
      <color theme="6" tint="0.79998168889431442"/>
      <name val="Arial"/>
      <family val="2"/>
    </font>
    <font>
      <b/>
      <i/>
      <sz val="8"/>
      <name val="Arial"/>
      <family val="2"/>
    </font>
    <font>
      <sz val="9"/>
      <color rgb="FFFF0000"/>
      <name val="Arial"/>
      <family val="2"/>
    </font>
    <font>
      <b/>
      <sz val="7"/>
      <name val="Marlett"/>
      <charset val="2"/>
    </font>
    <font>
      <b/>
      <i/>
      <sz val="7"/>
      <name val="Arial"/>
      <family val="2"/>
    </font>
    <font>
      <sz val="9"/>
      <color theme="0"/>
      <name val="Arial"/>
      <family val="2"/>
    </font>
    <font>
      <sz val="8"/>
      <color rgb="FFFF0000"/>
      <name val="Arial"/>
      <family val="2"/>
    </font>
    <font>
      <i/>
      <sz val="10"/>
      <name val="Calibri"/>
      <family val="2"/>
      <scheme val="minor"/>
    </font>
    <font>
      <i/>
      <sz val="7"/>
      <name val="Arial"/>
      <family val="2"/>
    </font>
    <font>
      <i/>
      <sz val="9"/>
      <color rgb="FFFF0000"/>
      <name val="Arial"/>
      <family val="2"/>
    </font>
    <font>
      <b/>
      <sz val="9"/>
      <color rgb="FFFF0000"/>
      <name val="Arial"/>
      <family val="2"/>
    </font>
    <font>
      <sz val="16"/>
      <name val="Arial"/>
      <family val="2"/>
    </font>
    <font>
      <b/>
      <sz val="10"/>
      <color rgb="FFFF0000"/>
      <name val="Arial"/>
      <family val="2"/>
    </font>
    <font>
      <b/>
      <sz val="9"/>
      <color theme="0"/>
      <name val="Arial"/>
      <family val="2"/>
    </font>
    <font>
      <b/>
      <sz val="12"/>
      <color theme="0"/>
      <name val="Arial"/>
      <family val="2"/>
    </font>
    <font>
      <sz val="8"/>
      <name val="Calibri"/>
      <family val="2"/>
    </font>
    <font>
      <sz val="26"/>
      <name val="Arial"/>
      <family val="2"/>
    </font>
    <font>
      <b/>
      <sz val="10"/>
      <color theme="0"/>
      <name val="Arial"/>
      <family val="2"/>
    </font>
    <font>
      <sz val="10"/>
      <color theme="4" tint="0.39997558519241921"/>
      <name val="Arial"/>
      <family val="2"/>
    </font>
    <font>
      <sz val="10"/>
      <color theme="0" tint="-4.9989318521683403E-2"/>
      <name val="Arial"/>
      <family val="2"/>
    </font>
    <font>
      <b/>
      <sz val="9"/>
      <color theme="0" tint="-4.9989318521683403E-2"/>
      <name val="Arial"/>
      <family val="2"/>
    </font>
    <font>
      <b/>
      <sz val="10"/>
      <color theme="0" tint="-4.9989318521683403E-2"/>
      <name val="Arial"/>
      <family val="2"/>
    </font>
    <font>
      <sz val="8"/>
      <color theme="0" tint="-0.24994659260841701"/>
      <name val="Arial"/>
      <family val="2"/>
    </font>
    <font>
      <b/>
      <u/>
      <sz val="9"/>
      <color indexed="8"/>
      <name val="Arial"/>
      <family val="2"/>
    </font>
    <font>
      <b/>
      <sz val="9"/>
      <color theme="0" tint="-0.249977111117893"/>
      <name val="Arial"/>
      <family val="2"/>
    </font>
    <font>
      <sz val="8"/>
      <color theme="0" tint="-0.249977111117893"/>
      <name val="Arial"/>
      <family val="2"/>
    </font>
    <font>
      <sz val="10"/>
      <name val="Courier New"/>
      <family val="3"/>
    </font>
    <font>
      <sz val="12"/>
      <color rgb="FFFF0000"/>
      <name val="Arial"/>
      <family val="2"/>
    </font>
    <font>
      <b/>
      <i/>
      <sz val="14"/>
      <name val="Arial"/>
      <family val="2"/>
    </font>
    <font>
      <sz val="10"/>
      <color theme="0" tint="-0.34998626667073579"/>
      <name val="Arial"/>
      <family val="2"/>
    </font>
    <font>
      <i/>
      <sz val="8"/>
      <name val="Arial"/>
      <family val="2"/>
    </font>
    <font>
      <sz val="7"/>
      <color theme="0"/>
      <name val="Arial"/>
      <family val="2"/>
    </font>
    <font>
      <sz val="24"/>
      <name val="Arial"/>
      <family val="2"/>
    </font>
    <font>
      <sz val="11"/>
      <color theme="0"/>
      <name val="Arial"/>
      <family val="2"/>
    </font>
    <font>
      <sz val="10"/>
      <name val="Arial Narrow"/>
      <family val="2"/>
    </font>
    <font>
      <b/>
      <sz val="11"/>
      <name val="Courier New"/>
      <family val="3"/>
    </font>
    <font>
      <sz val="11"/>
      <name val="Courier New"/>
      <family val="3"/>
    </font>
    <font>
      <i/>
      <sz val="10"/>
      <color indexed="8"/>
      <name val="Arial"/>
      <family val="2"/>
    </font>
    <font>
      <b/>
      <sz val="8"/>
      <color theme="0"/>
      <name val="Arial"/>
      <family val="2"/>
    </font>
    <font>
      <sz val="8"/>
      <color theme="0" tint="-4.9989318521683403E-2"/>
      <name val="Arial"/>
      <family val="2"/>
    </font>
    <font>
      <b/>
      <sz val="12"/>
      <color indexed="12"/>
      <name val="Arial"/>
      <family val="2"/>
    </font>
    <font>
      <sz val="11"/>
      <name val="Calibri"/>
      <family val="2"/>
    </font>
    <font>
      <b/>
      <sz val="10"/>
      <color rgb="FFD1FFFF"/>
      <name val="Arial"/>
      <family val="2"/>
    </font>
    <font>
      <sz val="8.5"/>
      <color rgb="FF000000"/>
      <name val="Arial"/>
      <family val="2"/>
    </font>
    <font>
      <sz val="8.5"/>
      <name val="Arial"/>
      <family val="2"/>
    </font>
    <font>
      <b/>
      <sz val="8.5"/>
      <name val="Arial"/>
      <family val="2"/>
    </font>
    <font>
      <sz val="10"/>
      <name val="Arial"/>
      <family val="2"/>
    </font>
    <font>
      <sz val="8"/>
      <name val="Arial"/>
      <family val="2"/>
    </font>
    <font>
      <b/>
      <sz val="8"/>
      <name val="Arial"/>
      <family val="2"/>
    </font>
    <font>
      <b/>
      <sz val="9"/>
      <name val="Arial"/>
      <family val="2"/>
    </font>
    <font>
      <b/>
      <sz val="10"/>
      <name val="Arial"/>
      <family val="2"/>
    </font>
    <font>
      <i/>
      <sz val="10"/>
      <name val="Arial"/>
      <family val="2"/>
    </font>
    <font>
      <b/>
      <sz val="20"/>
      <name val="Arial"/>
      <family val="2"/>
    </font>
    <font>
      <u/>
      <sz val="10"/>
      <color indexed="12"/>
      <name val="Arial"/>
      <family val="2"/>
    </font>
    <font>
      <sz val="10"/>
      <color rgb="FF00B050"/>
      <name val="Arial"/>
      <family val="2"/>
    </font>
    <font>
      <b/>
      <sz val="10"/>
      <color rgb="FFC00000"/>
      <name val="Arial"/>
      <family val="2"/>
    </font>
    <font>
      <sz val="18"/>
      <color rgb="FF800000"/>
      <name val="Comic Sans MS"/>
      <family val="4"/>
    </font>
    <font>
      <sz val="11"/>
      <color rgb="FF800000"/>
      <name val="Comic Sans MS"/>
      <family val="4"/>
    </font>
    <font>
      <b/>
      <sz val="10"/>
      <color theme="9" tint="-0.499984740745262"/>
      <name val="Comic Sans MS"/>
      <family val="4"/>
    </font>
    <font>
      <sz val="10"/>
      <color rgb="FFC00000"/>
      <name val="Arial"/>
      <family val="2"/>
    </font>
    <font>
      <b/>
      <sz val="30"/>
      <name val="Arial"/>
      <family val="2"/>
    </font>
    <font>
      <sz val="30"/>
      <name val="Arial"/>
      <family val="2"/>
    </font>
    <font>
      <b/>
      <sz val="8.5"/>
      <color rgb="FF000000"/>
      <name val="Arial"/>
      <family val="2"/>
    </font>
    <font>
      <sz val="8.5"/>
      <color rgb="FF000000"/>
      <name val="HelveticaWorld-Regular"/>
    </font>
    <font>
      <sz val="8.5"/>
      <color rgb="FFFF0000"/>
      <name val="Cambria"/>
      <family val="1"/>
    </font>
    <font>
      <b/>
      <sz val="10"/>
      <name val="Arial"/>
      <family val="2"/>
    </font>
    <font>
      <b/>
      <sz val="12"/>
      <color indexed="10"/>
      <name val="Wingdings"/>
      <charset val="2"/>
    </font>
    <font>
      <sz val="10"/>
      <name val="Cambria"/>
      <family val="1"/>
    </font>
    <font>
      <b/>
      <sz val="10"/>
      <name val="Cambria"/>
      <family val="1"/>
    </font>
    <font>
      <sz val="9"/>
      <name val="Cambria"/>
      <family val="1"/>
    </font>
    <font>
      <i/>
      <sz val="9"/>
      <name val="Cambria"/>
      <family val="1"/>
    </font>
    <font>
      <sz val="8.5"/>
      <name val="Cambria"/>
      <family val="1"/>
    </font>
    <font>
      <b/>
      <sz val="8.5"/>
      <name val="Cambria"/>
      <family val="1"/>
    </font>
    <font>
      <b/>
      <sz val="12"/>
      <color theme="0"/>
      <name val="Symbol"/>
      <family val="1"/>
      <charset val="2"/>
    </font>
    <font>
      <b/>
      <sz val="10"/>
      <color rgb="FF008000"/>
      <name val="Arial"/>
      <family val="2"/>
    </font>
    <font>
      <b/>
      <sz val="10"/>
      <color indexed="17"/>
      <name val="Symbol"/>
      <family val="1"/>
      <charset val="2"/>
    </font>
    <font>
      <b/>
      <sz val="10"/>
      <color rgb="FF008000"/>
      <name val="Symbol"/>
      <family val="1"/>
      <charset val="2"/>
    </font>
    <font>
      <b/>
      <sz val="14"/>
      <color rgb="FFFF0000"/>
      <name val="Arial"/>
      <family val="2"/>
    </font>
    <font>
      <b/>
      <sz val="10"/>
      <color theme="4" tint="-0.249977111117893"/>
      <name val="Arial"/>
      <family val="2"/>
    </font>
    <font>
      <b/>
      <sz val="9"/>
      <color rgb="FF008000"/>
      <name val="Arial"/>
      <family val="2"/>
    </font>
    <font>
      <b/>
      <sz val="7.05"/>
      <name val="Arial"/>
      <family val="2"/>
    </font>
    <font>
      <sz val="9"/>
      <color theme="0" tint="-4.9989318521683403E-2"/>
      <name val="Arial"/>
      <family val="2"/>
    </font>
    <font>
      <b/>
      <sz val="10"/>
      <color theme="0" tint="-0.249977111117893"/>
      <name val="Arial"/>
      <family val="2"/>
    </font>
    <font>
      <sz val="16"/>
      <name val="Courier New"/>
      <family val="3"/>
    </font>
    <font>
      <b/>
      <sz val="16"/>
      <name val="Courier New"/>
      <family val="3"/>
    </font>
    <font>
      <sz val="6"/>
      <name val="Wingdings"/>
      <charset val="2"/>
    </font>
    <font>
      <b/>
      <sz val="12"/>
      <color rgb="FFC00000"/>
      <name val="Arial"/>
      <family val="2"/>
    </font>
    <font>
      <b/>
      <sz val="9"/>
      <color rgb="FFC00000"/>
      <name val="Arial"/>
      <family val="2"/>
    </font>
    <font>
      <b/>
      <i/>
      <sz val="10"/>
      <color rgb="FFC00000"/>
      <name val="Arial"/>
      <family val="2"/>
    </font>
    <font>
      <b/>
      <sz val="11"/>
      <color theme="0"/>
      <name val="Arial"/>
      <family val="2"/>
    </font>
    <font>
      <sz val="11"/>
      <name val="Tempus Sans ITC"/>
      <family val="5"/>
    </font>
    <font>
      <sz val="10"/>
      <name val="Tempus Sans ITC"/>
      <family val="5"/>
    </font>
    <font>
      <b/>
      <sz val="10"/>
      <color rgb="FFFF0000"/>
      <name val="Symbol"/>
      <family val="1"/>
      <charset val="2"/>
    </font>
    <font>
      <b/>
      <sz val="9"/>
      <name val="Symbol"/>
      <family val="1"/>
      <charset val="2"/>
    </font>
    <font>
      <b/>
      <sz val="11"/>
      <color rgb="FFC00000"/>
      <name val="Arial"/>
      <family val="2"/>
    </font>
    <font>
      <b/>
      <sz val="11"/>
      <color rgb="FFFF0000"/>
      <name val="Arial"/>
      <family val="2"/>
    </font>
    <font>
      <sz val="10"/>
      <color rgb="FF008000"/>
      <name val="Arial"/>
      <family val="2"/>
    </font>
  </fonts>
  <fills count="42">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indexed="9"/>
        <bgColor indexed="26"/>
      </patternFill>
    </fill>
    <fill>
      <patternFill patternType="solid">
        <fgColor indexed="22"/>
        <bgColor indexed="64"/>
      </patternFill>
    </fill>
    <fill>
      <patternFill patternType="solid">
        <fgColor indexed="29"/>
        <bgColor indexed="64"/>
      </patternFill>
    </fill>
    <fill>
      <patternFill patternType="solid">
        <fgColor indexed="22"/>
        <bgColor indexed="9"/>
      </patternFill>
    </fill>
    <fill>
      <patternFill patternType="darkUp">
        <bgColor indexed="9"/>
      </patternFill>
    </fill>
    <fill>
      <patternFill patternType="darkUp">
        <fgColor indexed="8"/>
        <bgColor indexed="9"/>
      </patternFill>
    </fill>
    <fill>
      <patternFill patternType="lightUp">
        <bgColor indexed="9"/>
      </patternFill>
    </fill>
    <fill>
      <patternFill patternType="solid">
        <fgColor indexed="8"/>
        <bgColor indexed="9"/>
      </patternFill>
    </fill>
    <fill>
      <patternFill patternType="lightUp"/>
    </fill>
    <fill>
      <patternFill patternType="solid">
        <fgColor indexed="65"/>
        <bgColor indexed="64"/>
      </patternFill>
    </fill>
    <fill>
      <patternFill patternType="solid">
        <fgColor indexed="47"/>
        <bgColor indexed="64"/>
      </patternFill>
    </fill>
    <fill>
      <patternFill patternType="solid">
        <fgColor indexed="22"/>
        <bgColor indexed="26"/>
      </patternFill>
    </fill>
    <fill>
      <patternFill patternType="solid">
        <fgColor indexed="8"/>
        <bgColor indexed="64"/>
      </patternFill>
    </fill>
    <fill>
      <patternFill patternType="darkUp">
        <fgColor indexed="9"/>
        <bgColor indexed="8"/>
      </patternFill>
    </fill>
    <fill>
      <patternFill patternType="darkUp">
        <fgColor indexed="9"/>
        <bgColor indexed="9"/>
      </patternFill>
    </fill>
    <fill>
      <patternFill patternType="solid">
        <fgColor theme="0"/>
        <bgColor indexed="9"/>
      </patternFill>
    </fill>
    <fill>
      <patternFill patternType="solid">
        <fgColor theme="0"/>
        <bgColor indexed="64"/>
      </patternFill>
    </fill>
    <fill>
      <patternFill patternType="solid">
        <fgColor theme="4" tint="0.79998168889431442"/>
        <bgColor indexed="64"/>
      </patternFill>
    </fill>
    <fill>
      <patternFill patternType="lightUp">
        <bgColor theme="0"/>
      </patternFill>
    </fill>
    <fill>
      <patternFill patternType="solid">
        <fgColor rgb="FFD1FFFF"/>
        <bgColor indexed="64"/>
      </patternFill>
    </fill>
    <fill>
      <patternFill patternType="solid">
        <fgColor theme="0" tint="-0.14996795556505021"/>
        <bgColor indexed="64"/>
      </patternFill>
    </fill>
    <fill>
      <patternFill patternType="solid">
        <fgColor theme="4" tint="0.79998168889431442"/>
        <bgColor indexed="9"/>
      </patternFill>
    </fill>
    <fill>
      <patternFill patternType="solid">
        <fgColor theme="0" tint="-0.24994659260841701"/>
        <bgColor indexed="64"/>
      </patternFill>
    </fill>
    <fill>
      <patternFill patternType="solid">
        <fgColor theme="0" tint="-0.14996795556505021"/>
        <bgColor indexe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59996337778862885"/>
        <bgColor indexed="9"/>
      </patternFill>
    </fill>
    <fill>
      <patternFill patternType="solid">
        <fgColor theme="4" tint="0.59996337778862885"/>
        <bgColor indexed="64"/>
      </patternFill>
    </fill>
    <fill>
      <patternFill patternType="solid">
        <fgColor theme="4" tint="0.59999389629810485"/>
        <bgColor indexed="9"/>
      </patternFill>
    </fill>
    <fill>
      <patternFill patternType="solid">
        <fgColor theme="0" tint="-4.9989318521683403E-2"/>
        <bgColor indexed="9"/>
      </patternFill>
    </fill>
    <fill>
      <patternFill patternType="solid">
        <fgColor theme="3"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bgColor theme="0"/>
      </patternFill>
    </fill>
    <fill>
      <patternFill patternType="gray125">
        <fgColor theme="0" tint="-4.9989318521683403E-2"/>
        <bgColor theme="0" tint="-4.9989318521683403E-2"/>
      </patternFill>
    </fill>
    <fill>
      <patternFill patternType="solid">
        <fgColor theme="3" tint="0.59996337778862885"/>
        <bgColor indexed="64"/>
      </patternFill>
    </fill>
  </fills>
  <borders count="160">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top/>
      <bottom style="dotted">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bottom/>
      <diagonal/>
    </border>
    <border>
      <left/>
      <right/>
      <top style="medium">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ck">
        <color indexed="64"/>
      </top>
      <bottom/>
      <diagonal/>
    </border>
    <border>
      <left/>
      <right style="thin">
        <color indexed="64"/>
      </right>
      <top/>
      <bottom style="thick">
        <color indexed="64"/>
      </bottom>
      <diagonal/>
    </border>
    <border>
      <left style="thin">
        <color indexed="64"/>
      </left>
      <right style="dotted">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ck">
        <color indexed="64"/>
      </right>
      <top style="thick">
        <color indexed="64"/>
      </top>
      <bottom/>
      <diagonal/>
    </border>
    <border>
      <left/>
      <right style="thick">
        <color indexed="64"/>
      </right>
      <top/>
      <bottom style="thick">
        <color indexed="64"/>
      </bottom>
      <diagonal/>
    </border>
    <border>
      <left/>
      <right/>
      <top style="thick">
        <color indexed="64"/>
      </top>
      <bottom style="thin">
        <color indexed="64"/>
      </bottom>
      <diagonal/>
    </border>
    <border>
      <left style="thin">
        <color indexed="64"/>
      </left>
      <right/>
      <top/>
      <bottom style="thick">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ashed">
        <color indexed="64"/>
      </bottom>
      <diagonal/>
    </border>
    <border>
      <left/>
      <right style="medium">
        <color indexed="64"/>
      </right>
      <top style="dashed">
        <color indexed="64"/>
      </top>
      <bottom style="dashed">
        <color indexed="64"/>
      </bottom>
      <diagonal/>
    </border>
    <border>
      <left/>
      <right style="medium">
        <color indexed="64"/>
      </right>
      <top style="dashed">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double">
        <color indexed="64"/>
      </bottom>
      <diagonal/>
    </border>
    <border>
      <left/>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dotted">
        <color indexed="64"/>
      </top>
      <bottom/>
      <diagonal/>
    </border>
    <border>
      <left/>
      <right/>
      <top/>
      <bottom style="dotted">
        <color indexed="22"/>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right style="thick">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thick">
        <color indexed="64"/>
      </right>
      <top/>
      <bottom/>
      <diagonal/>
    </border>
    <border>
      <left/>
      <right/>
      <top/>
      <bottom style="mediumDashDot">
        <color indexed="64"/>
      </bottom>
      <diagonal/>
    </border>
    <border>
      <left/>
      <right/>
      <top style="mediumDashDot">
        <color indexed="64"/>
      </top>
      <bottom/>
      <diagonal/>
    </border>
    <border>
      <left/>
      <right/>
      <top style="mediumDashDot">
        <color indexed="64"/>
      </top>
      <bottom style="thick">
        <color indexed="64"/>
      </bottom>
      <diagonal/>
    </border>
    <border>
      <left/>
      <right/>
      <top/>
      <bottom style="mediumDashDotDot">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ck">
        <color indexed="64"/>
      </bottom>
      <diagonal/>
    </border>
    <border>
      <left/>
      <right/>
      <top style="medium">
        <color indexed="64"/>
      </top>
      <bottom style="dotted">
        <color indexed="64"/>
      </bottom>
      <diagonal/>
    </border>
    <border>
      <left/>
      <right style="dashed">
        <color indexed="64"/>
      </right>
      <top style="thin">
        <color indexed="64"/>
      </top>
      <bottom style="thin">
        <color indexed="64"/>
      </bottom>
      <diagonal/>
    </border>
    <border>
      <left/>
      <right style="thin">
        <color indexed="64"/>
      </right>
      <top/>
      <bottom style="dott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right/>
      <top/>
      <bottom style="dashed">
        <color indexed="64"/>
      </bottom>
      <diagonal/>
    </border>
    <border>
      <left/>
      <right style="medium">
        <color indexed="64"/>
      </right>
      <top style="thin">
        <color indexed="64"/>
      </top>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dash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thick">
        <color indexed="64"/>
      </right>
      <top/>
      <bottom style="thin">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bottom/>
      <diagonal/>
    </border>
    <border>
      <left style="thick">
        <color indexed="64"/>
      </left>
      <right/>
      <top/>
      <bottom style="thin">
        <color indexed="64"/>
      </bottom>
      <diagonal/>
    </border>
    <border>
      <left style="thin">
        <color indexed="64"/>
      </left>
      <right style="thin">
        <color indexed="64"/>
      </right>
      <top/>
      <bottom style="thick">
        <color indexed="64"/>
      </bottom>
      <diagonal/>
    </border>
    <border>
      <left/>
      <right/>
      <top style="thick">
        <color indexed="64"/>
      </top>
      <bottom style="medium">
        <color indexed="64"/>
      </bottom>
      <diagonal/>
    </border>
    <border>
      <left/>
      <right style="thick">
        <color indexed="64"/>
      </right>
      <top style="thin">
        <color indexed="64"/>
      </top>
      <bottom/>
      <diagonal/>
    </border>
    <border>
      <left/>
      <right style="thick">
        <color indexed="64"/>
      </right>
      <top style="thin">
        <color indexed="64"/>
      </top>
      <bottom style="thin">
        <color indexed="64"/>
      </bottom>
      <diagonal/>
    </border>
    <border>
      <left style="thin">
        <color indexed="64"/>
      </left>
      <right/>
      <top style="thin">
        <color indexed="64"/>
      </top>
      <bottom style="dashed">
        <color indexed="64"/>
      </bottom>
      <diagonal/>
    </border>
    <border>
      <left style="thick">
        <color indexed="64"/>
      </left>
      <right/>
      <top style="thin">
        <color indexed="64"/>
      </top>
      <bottom style="thin">
        <color indexed="64"/>
      </bottom>
      <diagonal/>
    </border>
    <border>
      <left style="medium">
        <color indexed="64"/>
      </left>
      <right style="medium">
        <color indexed="64"/>
      </right>
      <top/>
      <bottom/>
      <diagonal/>
    </border>
    <border>
      <left style="thin">
        <color indexed="64"/>
      </left>
      <right style="dotted">
        <color indexed="64"/>
      </right>
      <top/>
      <bottom/>
      <diagonal/>
    </border>
    <border>
      <left style="dotted">
        <color indexed="64"/>
      </left>
      <right style="thin">
        <color indexed="64"/>
      </right>
      <top/>
      <bottom/>
      <diagonal/>
    </border>
    <border>
      <left style="dotted">
        <color indexed="64"/>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thick">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ck">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dashed">
        <color indexed="64"/>
      </top>
      <bottom style="dashed">
        <color indexed="64"/>
      </bottom>
      <diagonal/>
    </border>
    <border>
      <left/>
      <right style="thin">
        <color indexed="64"/>
      </right>
      <top style="thick">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dashed">
        <color auto="1"/>
      </left>
      <right style="dashed">
        <color auto="1"/>
      </right>
      <top style="dashed">
        <color auto="1"/>
      </top>
      <bottom style="dashed">
        <color auto="1"/>
      </bottom>
      <diagonal/>
    </border>
    <border>
      <left/>
      <right/>
      <top style="medium">
        <color theme="1"/>
      </top>
      <bottom style="dotted">
        <color indexed="22"/>
      </bottom>
      <diagonal/>
    </border>
    <border>
      <left/>
      <right/>
      <top/>
      <bottom style="medium">
        <color theme="1"/>
      </bottom>
      <diagonal/>
    </border>
    <border>
      <left style="thin">
        <color indexed="64"/>
      </left>
      <right/>
      <top/>
      <bottom style="dashed">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left style="thin">
        <color theme="1"/>
      </left>
      <right style="thin">
        <color theme="1"/>
      </right>
      <top/>
      <bottom style="thin">
        <color theme="1"/>
      </bottom>
      <diagonal/>
    </border>
    <border>
      <left/>
      <right style="thin">
        <color theme="1"/>
      </right>
      <top/>
      <bottom/>
      <diagonal/>
    </border>
    <border>
      <left style="medium">
        <color auto="1"/>
      </left>
      <right/>
      <top/>
      <bottom style="dotted">
        <color indexed="22"/>
      </bottom>
      <diagonal/>
    </border>
    <border>
      <left/>
      <right style="medium">
        <color auto="1"/>
      </right>
      <top/>
      <bottom style="dotted">
        <color indexed="22"/>
      </bottom>
      <diagonal/>
    </border>
    <border>
      <left/>
      <right style="thin">
        <color indexed="64"/>
      </right>
      <top/>
      <bottom style="dotted">
        <color indexed="22"/>
      </bottom>
      <diagonal/>
    </border>
    <border>
      <left style="thin">
        <color indexed="64"/>
      </left>
      <right/>
      <top style="dashed">
        <color indexed="64"/>
      </top>
      <bottom/>
      <diagonal/>
    </border>
    <border>
      <left/>
      <right/>
      <top style="double">
        <color auto="1"/>
      </top>
      <bottom/>
      <diagonal/>
    </border>
    <border>
      <left style="thin">
        <color indexed="64"/>
      </left>
      <right/>
      <top/>
      <bottom style="medium">
        <color theme="1"/>
      </bottom>
      <diagonal/>
    </border>
  </borders>
  <cellStyleXfs count="6">
    <xf numFmtId="0" fontId="0" fillId="0" borderId="0"/>
    <xf numFmtId="44" fontId="3" fillId="0" borderId="0" applyFont="0" applyFill="0" applyBorder="0" applyAlignment="0" applyProtection="0"/>
    <xf numFmtId="0" fontId="78"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3" fillId="0" borderId="0"/>
    <xf numFmtId="0" fontId="222" fillId="0" borderId="0" applyNumberFormat="0" applyFill="0" applyBorder="0" applyAlignment="0" applyProtection="0">
      <alignment vertical="top"/>
      <protection locked="0"/>
    </xf>
  </cellStyleXfs>
  <cellXfs count="6574">
    <xf numFmtId="0" fontId="0" fillId="0" borderId="0" xfId="0"/>
    <xf numFmtId="0" fontId="1" fillId="0" borderId="0" xfId="0" applyFont="1"/>
    <xf numFmtId="4" fontId="5" fillId="0" borderId="0" xfId="0" applyNumberFormat="1" applyFont="1"/>
    <xf numFmtId="0" fontId="0" fillId="0" borderId="0" xfId="0" applyBorder="1"/>
    <xf numFmtId="0" fontId="8" fillId="0" borderId="0" xfId="0" applyFont="1"/>
    <xf numFmtId="0" fontId="0" fillId="0" borderId="0" xfId="0" applyFill="1"/>
    <xf numFmtId="0" fontId="1" fillId="0" borderId="0" xfId="0" applyFont="1" applyProtection="1"/>
    <xf numFmtId="0" fontId="0" fillId="0" borderId="0" xfId="0" applyProtection="1"/>
    <xf numFmtId="4" fontId="0" fillId="0" borderId="0" xfId="0" applyNumberFormat="1" applyProtection="1"/>
    <xf numFmtId="0" fontId="8" fillId="0" borderId="0" xfId="0" applyFont="1" applyProtection="1"/>
    <xf numFmtId="0" fontId="23" fillId="0" borderId="0" xfId="0" applyFont="1" applyProtection="1">
      <protection hidden="1"/>
    </xf>
    <xf numFmtId="0" fontId="19" fillId="0" borderId="0" xfId="0" applyFont="1" applyProtection="1">
      <protection hidden="1"/>
    </xf>
    <xf numFmtId="0" fontId="23" fillId="0" borderId="0" xfId="0" applyFont="1" applyBorder="1"/>
    <xf numFmtId="4" fontId="23" fillId="2" borderId="0" xfId="0" applyNumberFormat="1" applyFont="1" applyFill="1" applyBorder="1" applyProtection="1">
      <protection hidden="1"/>
    </xf>
    <xf numFmtId="39" fontId="5" fillId="0" borderId="0" xfId="0" applyNumberFormat="1" applyFont="1" applyFill="1" applyBorder="1" applyAlignment="1" applyProtection="1">
      <alignment horizontal="right"/>
      <protection hidden="1"/>
    </xf>
    <xf numFmtId="0" fontId="6" fillId="0" borderId="0" xfId="0" applyFont="1" applyFill="1" applyBorder="1" applyAlignment="1" applyProtection="1">
      <alignment horizontal="right"/>
      <protection hidden="1"/>
    </xf>
    <xf numFmtId="0" fontId="5" fillId="0" borderId="0" xfId="0" applyFont="1" applyFill="1" applyBorder="1" applyAlignment="1" applyProtection="1">
      <alignment horizontal="left"/>
      <protection hidden="1"/>
    </xf>
    <xf numFmtId="4" fontId="5" fillId="0" borderId="0" xfId="0" applyNumberFormat="1" applyFont="1" applyFill="1" applyBorder="1" applyAlignment="1" applyProtection="1">
      <alignment horizontal="left"/>
      <protection hidden="1"/>
    </xf>
    <xf numFmtId="4" fontId="5" fillId="0" borderId="0" xfId="0" applyNumberFormat="1" applyFont="1" applyFill="1" applyBorder="1" applyAlignment="1" applyProtection="1">
      <alignment horizontal="center"/>
      <protection hidden="1"/>
    </xf>
    <xf numFmtId="39" fontId="5" fillId="0" borderId="0" xfId="0" applyNumberFormat="1" applyFont="1" applyFill="1" applyBorder="1" applyAlignment="1" applyProtection="1">
      <alignment horizontal="center"/>
      <protection hidden="1"/>
    </xf>
    <xf numFmtId="0" fontId="23" fillId="2" borderId="0" xfId="0" applyFont="1" applyFill="1" applyProtection="1">
      <protection hidden="1"/>
    </xf>
    <xf numFmtId="0" fontId="23" fillId="2" borderId="0" xfId="0" applyFont="1" applyFill="1" applyBorder="1" applyProtection="1">
      <protection hidden="1"/>
    </xf>
    <xf numFmtId="0" fontId="5" fillId="0" borderId="0" xfId="0" applyFont="1" applyProtection="1"/>
    <xf numFmtId="0" fontId="1" fillId="0" borderId="0" xfId="0" applyFont="1" applyBorder="1"/>
    <xf numFmtId="4" fontId="5" fillId="0" borderId="0" xfId="0" applyNumberFormat="1" applyFont="1" applyBorder="1"/>
    <xf numFmtId="4" fontId="5" fillId="0" borderId="0" xfId="0" applyNumberFormat="1" applyFont="1" applyBorder="1" applyAlignment="1"/>
    <xf numFmtId="0" fontId="1" fillId="3" borderId="1" xfId="0" applyFont="1" applyFill="1" applyBorder="1" applyProtection="1">
      <protection hidden="1"/>
    </xf>
    <xf numFmtId="0" fontId="0" fillId="3" borderId="1" xfId="0" applyFill="1" applyBorder="1" applyProtection="1">
      <protection hidden="1"/>
    </xf>
    <xf numFmtId="4" fontId="0" fillId="3" borderId="1" xfId="0" applyNumberFormat="1" applyFill="1" applyBorder="1" applyProtection="1">
      <protection hidden="1"/>
    </xf>
    <xf numFmtId="0" fontId="5" fillId="3" borderId="3" xfId="0" applyFont="1" applyFill="1" applyBorder="1" applyProtection="1">
      <protection hidden="1"/>
    </xf>
    <xf numFmtId="4" fontId="5" fillId="3" borderId="0" xfId="0" applyNumberFormat="1" applyFont="1" applyFill="1" applyBorder="1" applyAlignment="1" applyProtection="1">
      <alignment horizontal="right"/>
      <protection hidden="1"/>
    </xf>
    <xf numFmtId="4" fontId="5" fillId="3" borderId="3" xfId="0" applyNumberFormat="1" applyFont="1" applyFill="1" applyBorder="1" applyProtection="1">
      <protection hidden="1"/>
    </xf>
    <xf numFmtId="0" fontId="8" fillId="3" borderId="0" xfId="0" applyFont="1" applyFill="1" applyBorder="1" applyProtection="1">
      <protection hidden="1"/>
    </xf>
    <xf numFmtId="0" fontId="8" fillId="3" borderId="4" xfId="0" applyFont="1" applyFill="1" applyBorder="1" applyProtection="1">
      <protection hidden="1"/>
    </xf>
    <xf numFmtId="0" fontId="1" fillId="3" borderId="0" xfId="0" applyFont="1" applyFill="1" applyProtection="1">
      <protection hidden="1"/>
    </xf>
    <xf numFmtId="0" fontId="0" fillId="2" borderId="0" xfId="0" applyFill="1" applyProtection="1">
      <protection hidden="1"/>
    </xf>
    <xf numFmtId="0" fontId="1" fillId="2" borderId="0" xfId="0" applyFont="1" applyFill="1" applyProtection="1">
      <protection hidden="1"/>
    </xf>
    <xf numFmtId="0" fontId="0" fillId="4" borderId="0" xfId="0" applyFill="1" applyAlignment="1" applyProtection="1">
      <protection locked="0"/>
    </xf>
    <xf numFmtId="0" fontId="0" fillId="4" borderId="5" xfId="0" applyFill="1" applyBorder="1" applyProtection="1">
      <protection locked="0" hidden="1"/>
    </xf>
    <xf numFmtId="0" fontId="0" fillId="4" borderId="0" xfId="0" applyFill="1" applyBorder="1" applyProtection="1">
      <protection locked="0" hidden="1"/>
    </xf>
    <xf numFmtId="0" fontId="0" fillId="4" borderId="0" xfId="0" applyFill="1" applyProtection="1">
      <protection locked="0"/>
    </xf>
    <xf numFmtId="0" fontId="8" fillId="2" borderId="6" xfId="0" applyFont="1" applyFill="1" applyBorder="1" applyProtection="1">
      <protection hidden="1"/>
    </xf>
    <xf numFmtId="0" fontId="8" fillId="2" borderId="5" xfId="0" applyFont="1" applyFill="1" applyBorder="1" applyAlignment="1" applyProtection="1">
      <alignment horizontal="right"/>
      <protection hidden="1"/>
    </xf>
    <xf numFmtId="0" fontId="8" fillId="2" borderId="5" xfId="0" applyFont="1" applyFill="1" applyBorder="1" applyProtection="1">
      <protection hidden="1"/>
    </xf>
    <xf numFmtId="0" fontId="0" fillId="2" borderId="0" xfId="0" applyFill="1" applyBorder="1" applyProtection="1">
      <protection hidden="1"/>
    </xf>
    <xf numFmtId="0" fontId="8" fillId="2" borderId="0" xfId="0" applyFont="1" applyFill="1" applyBorder="1" applyProtection="1">
      <protection hidden="1"/>
    </xf>
    <xf numFmtId="0" fontId="0" fillId="2" borderId="8" xfId="0" applyFill="1" applyBorder="1" applyProtection="1">
      <protection hidden="1"/>
    </xf>
    <xf numFmtId="0" fontId="6" fillId="2" borderId="1" xfId="0" applyFont="1" applyFill="1" applyBorder="1" applyAlignment="1" applyProtection="1">
      <alignment horizontal="left"/>
      <protection hidden="1"/>
    </xf>
    <xf numFmtId="0" fontId="8" fillId="2" borderId="1" xfId="0" applyFont="1" applyFill="1" applyBorder="1" applyProtection="1">
      <protection hidden="1"/>
    </xf>
    <xf numFmtId="0" fontId="8" fillId="2" borderId="0" xfId="0" applyFont="1" applyFill="1" applyBorder="1" applyAlignment="1" applyProtection="1">
      <alignment horizontal="left"/>
      <protection hidden="1"/>
    </xf>
    <xf numFmtId="0" fontId="8" fillId="2" borderId="3" xfId="0" applyFont="1" applyFill="1" applyBorder="1" applyProtection="1">
      <protection hidden="1"/>
    </xf>
    <xf numFmtId="0" fontId="12" fillId="2" borderId="0" xfId="0" applyFont="1" applyFill="1" applyBorder="1" applyProtection="1">
      <protection hidden="1"/>
    </xf>
    <xf numFmtId="0" fontId="0" fillId="2" borderId="5" xfId="0" applyFill="1" applyBorder="1" applyProtection="1">
      <protection hidden="1"/>
    </xf>
    <xf numFmtId="0" fontId="8" fillId="2" borderId="0" xfId="0" applyFont="1" applyFill="1" applyAlignment="1" applyProtection="1">
      <alignment horizontal="left"/>
      <protection hidden="1"/>
    </xf>
    <xf numFmtId="0" fontId="8" fillId="2" borderId="9" xfId="0" applyFont="1" applyFill="1" applyBorder="1" applyProtection="1">
      <protection hidden="1"/>
    </xf>
    <xf numFmtId="0" fontId="4" fillId="2" borderId="0" xfId="0" applyFont="1" applyFill="1" applyBorder="1" applyProtection="1">
      <protection hidden="1"/>
    </xf>
    <xf numFmtId="0" fontId="8" fillId="2" borderId="0" xfId="0" applyFont="1" applyFill="1" applyProtection="1">
      <protection hidden="1"/>
    </xf>
    <xf numFmtId="0" fontId="4" fillId="2" borderId="0" xfId="0" applyFont="1" applyFill="1" applyAlignment="1" applyProtection="1">
      <alignment horizontal="right"/>
      <protection hidden="1"/>
    </xf>
    <xf numFmtId="4" fontId="5" fillId="2" borderId="0" xfId="0" applyNumberFormat="1" applyFont="1" applyFill="1" applyBorder="1" applyProtection="1">
      <protection hidden="1"/>
    </xf>
    <xf numFmtId="0" fontId="8" fillId="2" borderId="1" xfId="0" applyFont="1" applyFill="1" applyBorder="1" applyAlignment="1" applyProtection="1">
      <alignment horizontal="right"/>
      <protection hidden="1"/>
    </xf>
    <xf numFmtId="0" fontId="1"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5" fillId="2" borderId="1" xfId="0" applyFont="1" applyFill="1" applyBorder="1" applyProtection="1">
      <protection hidden="1"/>
    </xf>
    <xf numFmtId="0" fontId="0" fillId="2" borderId="1" xfId="0" applyFill="1" applyBorder="1" applyProtection="1">
      <protection hidden="1"/>
    </xf>
    <xf numFmtId="0" fontId="0" fillId="0" borderId="0" xfId="0" applyProtection="1">
      <protection hidden="1"/>
    </xf>
    <xf numFmtId="4" fontId="23" fillId="2" borderId="0" xfId="0" applyNumberFormat="1" applyFont="1" applyFill="1" applyBorder="1" applyAlignment="1" applyProtection="1">
      <alignment horizontal="left" vertical="center" wrapText="1"/>
      <protection hidden="1"/>
    </xf>
    <xf numFmtId="0" fontId="0" fillId="2" borderId="10" xfId="0" applyFill="1" applyBorder="1" applyProtection="1">
      <protection hidden="1"/>
    </xf>
    <xf numFmtId="0" fontId="5" fillId="2" borderId="5" xfId="0" applyFont="1" applyFill="1" applyBorder="1" applyProtection="1">
      <protection hidden="1"/>
    </xf>
    <xf numFmtId="0" fontId="1" fillId="2" borderId="0" xfId="0" applyFont="1" applyFill="1" applyBorder="1" applyProtection="1">
      <protection hidden="1"/>
    </xf>
    <xf numFmtId="0" fontId="15" fillId="2" borderId="0" xfId="0" applyFont="1" applyFill="1" applyBorder="1" applyProtection="1">
      <protection hidden="1"/>
    </xf>
    <xf numFmtId="0" fontId="0" fillId="2" borderId="12" xfId="0" applyFill="1" applyBorder="1" applyProtection="1">
      <protection hidden="1"/>
    </xf>
    <xf numFmtId="0" fontId="4" fillId="2" borderId="0" xfId="0" applyFont="1" applyFill="1" applyBorder="1" applyAlignment="1" applyProtection="1">
      <alignment horizontal="right"/>
      <protection hidden="1"/>
    </xf>
    <xf numFmtId="0" fontId="8" fillId="5" borderId="0" xfId="0" applyFont="1" applyFill="1" applyBorder="1" applyProtection="1">
      <protection hidden="1"/>
    </xf>
    <xf numFmtId="0" fontId="4" fillId="2" borderId="0" xfId="0" applyFont="1" applyFill="1" applyBorder="1" applyAlignment="1" applyProtection="1">
      <alignment horizontal="center"/>
      <protection hidden="1"/>
    </xf>
    <xf numFmtId="0" fontId="3" fillId="2" borderId="0" xfId="0" applyFont="1" applyFill="1" applyBorder="1" applyAlignment="1" applyProtection="1">
      <alignment horizontal="left"/>
      <protection hidden="1"/>
    </xf>
    <xf numFmtId="0" fontId="17" fillId="2" borderId="0" xfId="0" applyFont="1" applyFill="1" applyBorder="1" applyAlignment="1" applyProtection="1">
      <alignment horizontal="left"/>
      <protection hidden="1"/>
    </xf>
    <xf numFmtId="0" fontId="0" fillId="2" borderId="0" xfId="0" applyFill="1" applyBorder="1" applyAlignment="1" applyProtection="1">
      <alignment horizontal="left"/>
      <protection hidden="1"/>
    </xf>
    <xf numFmtId="39" fontId="23" fillId="2" borderId="0" xfId="0" applyNumberFormat="1" applyFont="1" applyFill="1" applyBorder="1" applyAlignment="1" applyProtection="1">
      <alignment horizontal="right"/>
      <protection hidden="1"/>
    </xf>
    <xf numFmtId="0" fontId="23" fillId="2" borderId="0" xfId="0" applyFont="1" applyFill="1" applyBorder="1" applyAlignment="1" applyProtection="1">
      <alignment horizontal="right"/>
      <protection hidden="1"/>
    </xf>
    <xf numFmtId="0" fontId="15" fillId="2" borderId="0" xfId="0" applyFont="1" applyFill="1" applyProtection="1">
      <protection hidden="1"/>
    </xf>
    <xf numFmtId="4" fontId="23" fillId="2" borderId="0" xfId="0" applyNumberFormat="1" applyFont="1" applyFill="1" applyBorder="1" applyAlignment="1" applyProtection="1">
      <alignment horizontal="right"/>
      <protection hidden="1"/>
    </xf>
    <xf numFmtId="0" fontId="0" fillId="2" borderId="15" xfId="0" applyFill="1" applyBorder="1" applyProtection="1">
      <protection hidden="1"/>
    </xf>
    <xf numFmtId="0" fontId="0" fillId="2" borderId="16" xfId="0" applyFill="1" applyBorder="1" applyProtection="1">
      <protection hidden="1"/>
    </xf>
    <xf numFmtId="0" fontId="0" fillId="2" borderId="9" xfId="0" applyFill="1" applyBorder="1" applyProtection="1">
      <protection hidden="1"/>
    </xf>
    <xf numFmtId="0" fontId="0" fillId="2" borderId="6" xfId="0" applyFill="1" applyBorder="1" applyProtection="1">
      <protection hidden="1"/>
    </xf>
    <xf numFmtId="0" fontId="5" fillId="2" borderId="0" xfId="0" applyFont="1" applyFill="1" applyBorder="1" applyProtection="1">
      <protection hidden="1"/>
    </xf>
    <xf numFmtId="4" fontId="0" fillId="3" borderId="17" xfId="0" applyNumberFormat="1" applyFill="1" applyBorder="1" applyProtection="1">
      <protection hidden="1"/>
    </xf>
    <xf numFmtId="0" fontId="0" fillId="3" borderId="17" xfId="0" applyFill="1" applyBorder="1" applyProtection="1">
      <protection hidden="1"/>
    </xf>
    <xf numFmtId="0" fontId="0" fillId="2" borderId="8" xfId="0" applyFill="1" applyBorder="1" applyAlignment="1" applyProtection="1">
      <protection hidden="1"/>
    </xf>
    <xf numFmtId="40" fontId="0" fillId="2" borderId="0" xfId="0" applyNumberFormat="1" applyFill="1" applyBorder="1" applyProtection="1">
      <protection hidden="1"/>
    </xf>
    <xf numFmtId="164" fontId="4" fillId="2" borderId="8" xfId="0" applyNumberFormat="1" applyFont="1" applyFill="1" applyBorder="1" applyProtection="1">
      <protection hidden="1"/>
    </xf>
    <xf numFmtId="40" fontId="0" fillId="2" borderId="8" xfId="0" applyNumberFormat="1" applyFill="1" applyBorder="1" applyProtection="1">
      <protection hidden="1"/>
    </xf>
    <xf numFmtId="40" fontId="0" fillId="2" borderId="20" xfId="0" applyNumberFormat="1" applyFill="1" applyBorder="1" applyProtection="1">
      <protection hidden="1"/>
    </xf>
    <xf numFmtId="164" fontId="4" fillId="2" borderId="6" xfId="0" applyNumberFormat="1" applyFont="1" applyFill="1" applyBorder="1" applyAlignment="1" applyProtection="1">
      <alignment vertical="top"/>
      <protection hidden="1"/>
    </xf>
    <xf numFmtId="0" fontId="0" fillId="2" borderId="0" xfId="0" applyFill="1" applyBorder="1" applyAlignment="1" applyProtection="1">
      <protection hidden="1"/>
    </xf>
    <xf numFmtId="164" fontId="4" fillId="2" borderId="0" xfId="0" applyNumberFormat="1" applyFont="1" applyFill="1" applyBorder="1" applyProtection="1">
      <protection hidden="1"/>
    </xf>
    <xf numFmtId="164" fontId="4" fillId="2" borderId="0" xfId="0" quotePrefix="1" applyNumberFormat="1" applyFont="1" applyFill="1" applyBorder="1" applyProtection="1">
      <protection hidden="1"/>
    </xf>
    <xf numFmtId="40" fontId="0" fillId="2" borderId="21" xfId="0" applyNumberFormat="1" applyFill="1" applyBorder="1" applyProtection="1">
      <protection hidden="1"/>
    </xf>
    <xf numFmtId="0" fontId="4" fillId="2" borderId="0" xfId="0" applyFont="1" applyFill="1" applyBorder="1" applyAlignment="1" applyProtection="1">
      <protection hidden="1"/>
    </xf>
    <xf numFmtId="0" fontId="18" fillId="2" borderId="0" xfId="0" applyFont="1" applyFill="1" applyBorder="1" applyAlignment="1" applyProtection="1">
      <protection hidden="1"/>
    </xf>
    <xf numFmtId="40" fontId="1" fillId="2" borderId="0" xfId="0" applyNumberFormat="1" applyFont="1" applyFill="1" applyBorder="1" applyProtection="1">
      <protection hidden="1"/>
    </xf>
    <xf numFmtId="40" fontId="1" fillId="2" borderId="0" xfId="0" applyNumberFormat="1" applyFont="1" applyFill="1" applyBorder="1" applyAlignment="1" applyProtection="1">
      <alignment horizontal="right"/>
      <protection hidden="1"/>
    </xf>
    <xf numFmtId="0" fontId="1" fillId="2" borderId="0" xfId="0" applyFont="1" applyFill="1" applyBorder="1" applyAlignment="1" applyProtection="1">
      <protection hidden="1"/>
    </xf>
    <xf numFmtId="0" fontId="3" fillId="2" borderId="0" xfId="0" applyFont="1" applyFill="1" applyBorder="1" applyAlignment="1" applyProtection="1">
      <protection hidden="1"/>
    </xf>
    <xf numFmtId="164" fontId="4" fillId="2" borderId="0" xfId="0" applyNumberFormat="1" applyFont="1" applyFill="1" applyBorder="1" applyAlignment="1" applyProtection="1">
      <alignment horizontal="right"/>
      <protection hidden="1"/>
    </xf>
    <xf numFmtId="40" fontId="0" fillId="2" borderId="0" xfId="0" applyNumberFormat="1" applyFill="1" applyBorder="1" applyAlignment="1" applyProtection="1">
      <alignment horizontal="right"/>
      <protection hidden="1"/>
    </xf>
    <xf numFmtId="164" fontId="4" fillId="2" borderId="22" xfId="0" applyNumberFormat="1" applyFont="1" applyFill="1" applyBorder="1" applyAlignment="1" applyProtection="1">
      <alignment vertical="top"/>
      <protection hidden="1"/>
    </xf>
    <xf numFmtId="0" fontId="0" fillId="2" borderId="5" xfId="0" applyFill="1" applyBorder="1" applyAlignment="1" applyProtection="1">
      <protection hidden="1"/>
    </xf>
    <xf numFmtId="40" fontId="0" fillId="2" borderId="5" xfId="0" applyNumberFormat="1" applyFill="1" applyBorder="1" applyProtection="1">
      <protection hidden="1"/>
    </xf>
    <xf numFmtId="164" fontId="4" fillId="2" borderId="5" xfId="0" applyNumberFormat="1" applyFont="1" applyFill="1" applyBorder="1" applyProtection="1">
      <protection hidden="1"/>
    </xf>
    <xf numFmtId="40" fontId="0" fillId="2" borderId="23" xfId="0" applyNumberFormat="1" applyFill="1" applyBorder="1" applyProtection="1">
      <protection hidden="1"/>
    </xf>
    <xf numFmtId="0" fontId="1" fillId="5" borderId="0" xfId="0" applyFont="1" applyFill="1" applyAlignment="1" applyProtection="1">
      <alignment horizontal="right"/>
      <protection hidden="1"/>
    </xf>
    <xf numFmtId="0" fontId="0" fillId="5" borderId="0" xfId="0" applyFill="1" applyProtection="1">
      <protection hidden="1"/>
    </xf>
    <xf numFmtId="0" fontId="0" fillId="6" borderId="0" xfId="0" applyFill="1" applyBorder="1" applyProtection="1">
      <protection hidden="1"/>
    </xf>
    <xf numFmtId="0" fontId="4" fillId="5" borderId="0" xfId="0" applyFont="1" applyFill="1" applyAlignment="1" applyProtection="1">
      <alignment horizontal="right"/>
      <protection hidden="1"/>
    </xf>
    <xf numFmtId="1" fontId="1" fillId="5" borderId="0" xfId="0" applyNumberFormat="1" applyFont="1" applyFill="1" applyBorder="1" applyProtection="1">
      <protection hidden="1"/>
    </xf>
    <xf numFmtId="1" fontId="3" fillId="5" borderId="0" xfId="0" applyNumberFormat="1" applyFont="1" applyFill="1" applyBorder="1" applyAlignment="1" applyProtection="1">
      <alignment horizontal="right"/>
      <protection hidden="1"/>
    </xf>
    <xf numFmtId="1" fontId="23" fillId="5" borderId="0" xfId="0" applyNumberFormat="1" applyFont="1" applyFill="1" applyBorder="1" applyProtection="1">
      <protection hidden="1"/>
    </xf>
    <xf numFmtId="0" fontId="0" fillId="5" borderId="5" xfId="0" applyFill="1" applyBorder="1" applyProtection="1">
      <protection hidden="1"/>
    </xf>
    <xf numFmtId="164" fontId="4" fillId="2" borderId="0" xfId="0" applyNumberFormat="1" applyFont="1" applyFill="1" applyAlignment="1" applyProtection="1">
      <protection hidden="1"/>
    </xf>
    <xf numFmtId="164" fontId="4" fillId="2" borderId="0" xfId="0" applyNumberFormat="1" applyFont="1" applyFill="1" applyBorder="1" applyAlignment="1" applyProtection="1">
      <protection hidden="1"/>
    </xf>
    <xf numFmtId="0" fontId="0" fillId="2" borderId="0" xfId="0" applyFill="1" applyBorder="1" applyAlignment="1" applyProtection="1">
      <alignment wrapText="1"/>
      <protection hidden="1"/>
    </xf>
    <xf numFmtId="40" fontId="13" fillId="2" borderId="0" xfId="0" applyNumberFormat="1" applyFont="1" applyFill="1" applyAlignment="1" applyProtection="1">
      <alignment horizontal="right"/>
      <protection hidden="1"/>
    </xf>
    <xf numFmtId="40" fontId="21" fillId="2" borderId="0" xfId="0" applyNumberFormat="1" applyFont="1" applyFill="1" applyAlignment="1" applyProtection="1">
      <alignment horizontal="right"/>
      <protection hidden="1"/>
    </xf>
    <xf numFmtId="0" fontId="0" fillId="0" borderId="0" xfId="0" applyAlignment="1" applyProtection="1">
      <protection hidden="1"/>
    </xf>
    <xf numFmtId="0" fontId="0" fillId="2" borderId="24" xfId="0" applyFill="1" applyBorder="1" applyProtection="1">
      <protection hidden="1"/>
    </xf>
    <xf numFmtId="0" fontId="0" fillId="2" borderId="22" xfId="0" applyFill="1" applyBorder="1" applyProtection="1">
      <protection hidden="1"/>
    </xf>
    <xf numFmtId="0" fontId="0" fillId="5" borderId="24" xfId="0" applyFill="1" applyBorder="1" applyProtection="1">
      <protection hidden="1"/>
    </xf>
    <xf numFmtId="0" fontId="0" fillId="5" borderId="8" xfId="0" applyFill="1" applyBorder="1" applyProtection="1">
      <protection hidden="1"/>
    </xf>
    <xf numFmtId="0" fontId="0" fillId="5" borderId="6" xfId="0" applyFill="1" applyBorder="1" applyProtection="1">
      <protection hidden="1"/>
    </xf>
    <xf numFmtId="0" fontId="0" fillId="5" borderId="0" xfId="0" applyFill="1" applyBorder="1" applyProtection="1">
      <protection hidden="1"/>
    </xf>
    <xf numFmtId="0" fontId="8" fillId="5" borderId="0" xfId="0" applyFont="1" applyFill="1" applyBorder="1" applyAlignment="1" applyProtection="1">
      <alignment horizontal="center"/>
      <protection hidden="1"/>
    </xf>
    <xf numFmtId="0" fontId="0" fillId="5" borderId="22" xfId="0" applyFill="1" applyBorder="1" applyProtection="1">
      <protection hidden="1"/>
    </xf>
    <xf numFmtId="0" fontId="8" fillId="5" borderId="5" xfId="0" applyFont="1" applyFill="1" applyBorder="1" applyAlignment="1" applyProtection="1">
      <alignment horizontal="center"/>
      <protection hidden="1"/>
    </xf>
    <xf numFmtId="0" fontId="0" fillId="2" borderId="20" xfId="0" applyFill="1" applyBorder="1" applyProtection="1">
      <protection hidden="1"/>
    </xf>
    <xf numFmtId="0" fontId="0" fillId="2" borderId="21" xfId="0" applyFill="1" applyBorder="1" applyProtection="1">
      <protection hidden="1"/>
    </xf>
    <xf numFmtId="0" fontId="0" fillId="2" borderId="23" xfId="0" applyFill="1" applyBorder="1" applyProtection="1">
      <protection hidden="1"/>
    </xf>
    <xf numFmtId="0" fontId="1" fillId="3" borderId="25" xfId="0" applyFont="1" applyFill="1" applyBorder="1" applyProtection="1">
      <protection hidden="1"/>
    </xf>
    <xf numFmtId="0" fontId="24" fillId="2" borderId="0" xfId="0" applyFont="1" applyFill="1" applyBorder="1" applyProtection="1">
      <protection hidden="1"/>
    </xf>
    <xf numFmtId="0" fontId="0" fillId="2" borderId="0" xfId="0" applyFill="1" applyBorder="1" applyAlignment="1" applyProtection="1">
      <alignment vertical="top"/>
      <protection hidden="1"/>
    </xf>
    <xf numFmtId="40" fontId="0" fillId="2" borderId="1" xfId="0" applyNumberFormat="1" applyFill="1" applyBorder="1" applyProtection="1">
      <protection hidden="1"/>
    </xf>
    <xf numFmtId="40" fontId="0" fillId="2" borderId="0" xfId="0" applyNumberFormat="1" applyFill="1" applyBorder="1" applyAlignment="1" applyProtection="1">
      <alignment horizontal="center"/>
      <protection hidden="1"/>
    </xf>
    <xf numFmtId="40" fontId="19" fillId="2" borderId="0" xfId="0" applyNumberFormat="1" applyFont="1" applyFill="1" applyBorder="1" applyAlignment="1" applyProtection="1">
      <alignment horizontal="center"/>
      <protection hidden="1"/>
    </xf>
    <xf numFmtId="164" fontId="4" fillId="2" borderId="21" xfId="0" applyNumberFormat="1" applyFont="1" applyFill="1" applyBorder="1" applyProtection="1">
      <protection hidden="1"/>
    </xf>
    <xf numFmtId="40" fontId="26" fillId="2" borderId="0" xfId="0" applyNumberFormat="1" applyFont="1" applyFill="1" applyBorder="1" applyAlignment="1" applyProtection="1">
      <alignment horizontal="center"/>
      <protection hidden="1"/>
    </xf>
    <xf numFmtId="38" fontId="0" fillId="2" borderId="0" xfId="0" applyNumberFormat="1" applyFill="1" applyBorder="1" applyAlignment="1" applyProtection="1">
      <alignment horizontal="center"/>
      <protection hidden="1"/>
    </xf>
    <xf numFmtId="38" fontId="0" fillId="2" borderId="21" xfId="0" applyNumberFormat="1" applyFill="1" applyBorder="1" applyAlignment="1" applyProtection="1">
      <alignment horizontal="center"/>
      <protection hidden="1"/>
    </xf>
    <xf numFmtId="40" fontId="0" fillId="2" borderId="0" xfId="0" applyNumberFormat="1" applyFill="1" applyBorder="1" applyAlignment="1" applyProtection="1">
      <alignment horizontal="left"/>
      <protection hidden="1"/>
    </xf>
    <xf numFmtId="164" fontId="27" fillId="2" borderId="0" xfId="0" applyNumberFormat="1" applyFont="1" applyFill="1" applyBorder="1" applyProtection="1">
      <protection hidden="1"/>
    </xf>
    <xf numFmtId="0" fontId="0" fillId="2" borderId="6" xfId="0" applyFill="1" applyBorder="1" applyAlignment="1" applyProtection="1">
      <protection hidden="1"/>
    </xf>
    <xf numFmtId="40" fontId="0" fillId="2" borderId="6" xfId="0" applyNumberFormat="1" applyFill="1" applyBorder="1" applyAlignment="1" applyProtection="1">
      <alignment horizontal="left"/>
      <protection hidden="1"/>
    </xf>
    <xf numFmtId="40" fontId="19" fillId="2" borderId="6" xfId="0" applyNumberFormat="1" applyFont="1" applyFill="1" applyBorder="1" applyAlignment="1" applyProtection="1">
      <alignment horizontal="left"/>
      <protection hidden="1"/>
    </xf>
    <xf numFmtId="0" fontId="0" fillId="2" borderId="5" xfId="0" applyFill="1" applyBorder="1" applyAlignment="1" applyProtection="1">
      <alignment wrapText="1"/>
      <protection hidden="1"/>
    </xf>
    <xf numFmtId="0" fontId="25" fillId="2" borderId="1" xfId="0" applyFont="1" applyFill="1" applyBorder="1" applyProtection="1">
      <protection hidden="1"/>
    </xf>
    <xf numFmtId="0" fontId="24" fillId="2" borderId="1" xfId="0" applyFont="1" applyFill="1" applyBorder="1" applyProtection="1">
      <protection hidden="1"/>
    </xf>
    <xf numFmtId="0" fontId="47" fillId="2" borderId="1" xfId="0" applyFont="1" applyFill="1" applyBorder="1" applyProtection="1">
      <protection hidden="1"/>
    </xf>
    <xf numFmtId="0" fontId="14" fillId="2" borderId="1" xfId="0" applyFont="1" applyFill="1" applyBorder="1" applyProtection="1">
      <protection hidden="1"/>
    </xf>
    <xf numFmtId="40" fontId="19" fillId="2" borderId="21" xfId="0" applyNumberFormat="1" applyFont="1" applyFill="1" applyBorder="1" applyAlignment="1" applyProtection="1">
      <alignment horizontal="right"/>
      <protection hidden="1"/>
    </xf>
    <xf numFmtId="40" fontId="19" fillId="2" borderId="21" xfId="0" applyNumberFormat="1" applyFont="1" applyFill="1" applyBorder="1" applyProtection="1">
      <protection hidden="1"/>
    </xf>
    <xf numFmtId="0" fontId="1" fillId="2" borderId="2" xfId="0" applyFont="1" applyFill="1" applyBorder="1" applyAlignment="1" applyProtection="1">
      <alignment horizontal="center"/>
      <protection hidden="1"/>
    </xf>
    <xf numFmtId="0" fontId="28" fillId="2" borderId="0" xfId="0" applyFont="1" applyFill="1" applyBorder="1" applyAlignment="1" applyProtection="1">
      <protection hidden="1"/>
    </xf>
    <xf numFmtId="40" fontId="2" fillId="2" borderId="0" xfId="0" applyNumberFormat="1" applyFont="1" applyFill="1" applyBorder="1" applyAlignment="1" applyProtection="1">
      <alignment horizontal="left"/>
      <protection hidden="1"/>
    </xf>
    <xf numFmtId="0" fontId="24" fillId="2" borderId="1" xfId="0" applyFont="1" applyFill="1" applyBorder="1" applyAlignment="1" applyProtection="1">
      <alignment vertical="center"/>
      <protection hidden="1"/>
    </xf>
    <xf numFmtId="0" fontId="14" fillId="2" borderId="1" xfId="0" applyFont="1" applyFill="1" applyBorder="1" applyAlignment="1" applyProtection="1">
      <alignment vertical="center"/>
      <protection hidden="1"/>
    </xf>
    <xf numFmtId="0" fontId="0" fillId="2" borderId="0" xfId="0" applyFill="1" applyAlignment="1" applyProtection="1">
      <alignment vertical="center"/>
      <protection hidden="1"/>
    </xf>
    <xf numFmtId="164" fontId="4" fillId="2" borderId="0" xfId="0" applyNumberFormat="1" applyFont="1" applyFill="1" applyBorder="1" applyAlignment="1" applyProtection="1">
      <alignment horizontal="center"/>
      <protection hidden="1"/>
    </xf>
    <xf numFmtId="40" fontId="1" fillId="2" borderId="0" xfId="0" applyNumberFormat="1" applyFont="1" applyFill="1" applyBorder="1" applyAlignment="1" applyProtection="1">
      <alignment horizontal="center"/>
      <protection hidden="1"/>
    </xf>
    <xf numFmtId="40" fontId="1" fillId="2" borderId="21" xfId="0" applyNumberFormat="1" applyFont="1" applyFill="1" applyBorder="1" applyProtection="1">
      <protection hidden="1"/>
    </xf>
    <xf numFmtId="40" fontId="3" fillId="2" borderId="0" xfId="0" applyNumberFormat="1" applyFont="1" applyFill="1" applyBorder="1" applyProtection="1">
      <protection hidden="1"/>
    </xf>
    <xf numFmtId="164" fontId="4" fillId="2" borderId="0" xfId="0" applyNumberFormat="1" applyFont="1" applyFill="1" applyBorder="1" applyAlignment="1" applyProtection="1">
      <alignment vertical="top"/>
      <protection hidden="1"/>
    </xf>
    <xf numFmtId="4" fontId="0" fillId="2" borderId="0" xfId="0" applyNumberFormat="1" applyFill="1" applyProtection="1">
      <protection hidden="1"/>
    </xf>
    <xf numFmtId="40" fontId="3" fillId="2" borderId="0" xfId="0" applyNumberFormat="1" applyFont="1" applyFill="1" applyBorder="1" applyAlignment="1" applyProtection="1">
      <alignment horizontal="left"/>
      <protection hidden="1"/>
    </xf>
    <xf numFmtId="164" fontId="15" fillId="2" borderId="0" xfId="0" applyNumberFormat="1" applyFont="1" applyFill="1" applyBorder="1" applyProtection="1">
      <protection hidden="1"/>
    </xf>
    <xf numFmtId="40" fontId="0" fillId="2" borderId="0" xfId="0" applyNumberFormat="1" applyFill="1" applyProtection="1">
      <protection hidden="1"/>
    </xf>
    <xf numFmtId="164" fontId="4" fillId="2" borderId="0" xfId="0" applyNumberFormat="1" applyFont="1" applyFill="1" applyAlignment="1" applyProtection="1">
      <alignment vertical="top"/>
      <protection hidden="1"/>
    </xf>
    <xf numFmtId="0" fontId="0" fillId="2" borderId="0" xfId="0" applyFill="1" applyAlignment="1" applyProtection="1">
      <alignment wrapText="1"/>
      <protection hidden="1"/>
    </xf>
    <xf numFmtId="164" fontId="4" fillId="2" borderId="0" xfId="0" applyNumberFormat="1" applyFont="1" applyFill="1" applyProtection="1">
      <protection hidden="1"/>
    </xf>
    <xf numFmtId="164" fontId="15" fillId="2" borderId="0" xfId="0" applyNumberFormat="1" applyFont="1" applyFill="1" applyAlignment="1" applyProtection="1">
      <alignment horizontal="right"/>
      <protection hidden="1"/>
    </xf>
    <xf numFmtId="0" fontId="3" fillId="2" borderId="0" xfId="0" applyFont="1" applyFill="1" applyBorder="1" applyProtection="1">
      <protection hidden="1"/>
    </xf>
    <xf numFmtId="164" fontId="4" fillId="2" borderId="5" xfId="0" applyNumberFormat="1" applyFont="1" applyFill="1" applyBorder="1" applyAlignment="1" applyProtection="1">
      <alignment vertical="top"/>
      <protection hidden="1"/>
    </xf>
    <xf numFmtId="0" fontId="0" fillId="2" borderId="0" xfId="0" applyFill="1" applyAlignment="1" applyProtection="1">
      <protection hidden="1"/>
    </xf>
    <xf numFmtId="0" fontId="14" fillId="2" borderId="0" xfId="0" applyFont="1" applyFill="1" applyBorder="1" applyProtection="1">
      <protection hidden="1"/>
    </xf>
    <xf numFmtId="49" fontId="7" fillId="2" borderId="5" xfId="0" applyNumberFormat="1" applyFont="1" applyFill="1" applyBorder="1" applyAlignment="1" applyProtection="1">
      <alignment horizontal="right"/>
      <protection hidden="1"/>
    </xf>
    <xf numFmtId="49" fontId="7" fillId="2" borderId="0" xfId="0" applyNumberFormat="1" applyFont="1" applyFill="1" applyBorder="1" applyAlignment="1" applyProtection="1">
      <alignment horizontal="right"/>
      <protection hidden="1"/>
    </xf>
    <xf numFmtId="0" fontId="0" fillId="2" borderId="0" xfId="0" applyFill="1" applyBorder="1" applyAlignment="1" applyProtection="1">
      <alignment horizontal="right"/>
      <protection hidden="1"/>
    </xf>
    <xf numFmtId="0" fontId="1" fillId="3" borderId="0" xfId="0" applyFont="1" applyFill="1" applyBorder="1" applyProtection="1">
      <protection hidden="1"/>
    </xf>
    <xf numFmtId="0" fontId="1" fillId="2" borderId="25" xfId="0" applyFont="1" applyFill="1" applyBorder="1" applyProtection="1">
      <protection hidden="1"/>
    </xf>
    <xf numFmtId="0" fontId="1" fillId="3" borderId="0" xfId="0" applyFont="1" applyFill="1" applyBorder="1" applyAlignment="1" applyProtection="1">
      <alignment vertical="center"/>
      <protection hidden="1"/>
    </xf>
    <xf numFmtId="0" fontId="10" fillId="3" borderId="0" xfId="0" applyFont="1" applyFill="1" applyAlignment="1" applyProtection="1">
      <alignment horizontal="left"/>
      <protection hidden="1"/>
    </xf>
    <xf numFmtId="0" fontId="0" fillId="3" borderId="0" xfId="0" applyFill="1" applyBorder="1" applyProtection="1">
      <protection hidden="1"/>
    </xf>
    <xf numFmtId="0" fontId="0" fillId="3" borderId="0" xfId="0" applyFill="1" applyProtection="1">
      <protection hidden="1"/>
    </xf>
    <xf numFmtId="4" fontId="0" fillId="3" borderId="0" xfId="0" applyNumberFormat="1" applyFill="1" applyBorder="1" applyProtection="1">
      <protection hidden="1"/>
    </xf>
    <xf numFmtId="0" fontId="17" fillId="3" borderId="0" xfId="0" applyFont="1" applyFill="1" applyBorder="1" applyAlignment="1" applyProtection="1">
      <alignment vertical="center"/>
      <protection hidden="1"/>
    </xf>
    <xf numFmtId="0" fontId="17" fillId="3" borderId="25" xfId="0" applyFont="1" applyFill="1" applyBorder="1" applyProtection="1">
      <protection hidden="1"/>
    </xf>
    <xf numFmtId="1" fontId="12" fillId="3" borderId="0" xfId="0" applyNumberFormat="1" applyFont="1" applyFill="1" applyBorder="1" applyAlignment="1" applyProtection="1">
      <alignment horizontal="left" vertical="center"/>
      <protection hidden="1"/>
    </xf>
    <xf numFmtId="0" fontId="0" fillId="3" borderId="1" xfId="0" applyFill="1" applyBorder="1" applyAlignment="1" applyProtection="1">
      <alignment vertical="center"/>
      <protection hidden="1"/>
    </xf>
    <xf numFmtId="4" fontId="0" fillId="3" borderId="1" xfId="0" applyNumberFormat="1" applyFill="1" applyBorder="1" applyAlignment="1" applyProtection="1">
      <alignment vertical="center"/>
      <protection hidden="1"/>
    </xf>
    <xf numFmtId="4" fontId="8" fillId="3" borderId="1" xfId="0" applyNumberFormat="1" applyFont="1" applyFill="1" applyBorder="1" applyProtection="1">
      <protection hidden="1"/>
    </xf>
    <xf numFmtId="0" fontId="7" fillId="3" borderId="0" xfId="0" applyFont="1" applyFill="1" applyBorder="1" applyAlignment="1" applyProtection="1">
      <alignment horizontal="left"/>
      <protection hidden="1"/>
    </xf>
    <xf numFmtId="0" fontId="11" fillId="3" borderId="0" xfId="0" applyFont="1" applyFill="1" applyProtection="1">
      <protection hidden="1"/>
    </xf>
    <xf numFmtId="4" fontId="7" fillId="3" borderId="0" xfId="0" applyNumberFormat="1" applyFont="1" applyFill="1" applyBorder="1" applyAlignment="1" applyProtection="1">
      <alignment horizontal="center"/>
      <protection hidden="1"/>
    </xf>
    <xf numFmtId="0" fontId="8" fillId="3" borderId="0" xfId="0" applyFont="1" applyFill="1" applyProtection="1">
      <protection hidden="1"/>
    </xf>
    <xf numFmtId="0" fontId="1" fillId="3" borderId="10" xfId="0" applyFont="1" applyFill="1" applyBorder="1" applyProtection="1">
      <protection hidden="1"/>
    </xf>
    <xf numFmtId="0" fontId="8" fillId="3" borderId="1" xfId="0" applyFont="1" applyFill="1" applyBorder="1" applyProtection="1">
      <protection hidden="1"/>
    </xf>
    <xf numFmtId="4" fontId="5" fillId="3" borderId="1" xfId="0" applyNumberFormat="1" applyFont="1" applyFill="1" applyBorder="1" applyProtection="1">
      <protection hidden="1"/>
    </xf>
    <xf numFmtId="0" fontId="12" fillId="3" borderId="0" xfId="0" applyFont="1" applyFill="1" applyBorder="1" applyProtection="1">
      <protection hidden="1"/>
    </xf>
    <xf numFmtId="4" fontId="5" fillId="3" borderId="0" xfId="0" applyNumberFormat="1" applyFont="1" applyFill="1" applyProtection="1">
      <protection hidden="1"/>
    </xf>
    <xf numFmtId="0" fontId="11" fillId="3" borderId="1" xfId="0" applyFont="1" applyFill="1" applyBorder="1" applyProtection="1">
      <protection hidden="1"/>
    </xf>
    <xf numFmtId="0" fontId="1" fillId="0" borderId="0" xfId="0" applyFont="1" applyProtection="1">
      <protection hidden="1"/>
    </xf>
    <xf numFmtId="0" fontId="6" fillId="3" borderId="1" xfId="0" applyFont="1" applyFill="1" applyBorder="1" applyProtection="1">
      <protection hidden="1"/>
    </xf>
    <xf numFmtId="0" fontId="15" fillId="3" borderId="0" xfId="0" applyFont="1" applyFill="1" applyProtection="1">
      <protection hidden="1"/>
    </xf>
    <xf numFmtId="4" fontId="0" fillId="3" borderId="15" xfId="0" applyNumberFormat="1" applyFill="1" applyBorder="1" applyProtection="1">
      <protection hidden="1"/>
    </xf>
    <xf numFmtId="0" fontId="1" fillId="3" borderId="9" xfId="0" applyFont="1" applyFill="1" applyBorder="1" applyProtection="1">
      <protection hidden="1"/>
    </xf>
    <xf numFmtId="0" fontId="8" fillId="3" borderId="26" xfId="0" applyFont="1" applyFill="1" applyBorder="1" applyProtection="1">
      <protection hidden="1"/>
    </xf>
    <xf numFmtId="4" fontId="0" fillId="3" borderId="9" xfId="0" applyNumberFormat="1" applyFill="1" applyBorder="1" applyProtection="1">
      <protection hidden="1"/>
    </xf>
    <xf numFmtId="0" fontId="1" fillId="3" borderId="0" xfId="0" applyFont="1" applyFill="1" applyAlignment="1" applyProtection="1">
      <alignment horizontal="right"/>
      <protection hidden="1"/>
    </xf>
    <xf numFmtId="0" fontId="4" fillId="3" borderId="0" xfId="0" applyFont="1" applyFill="1" applyAlignment="1" applyProtection="1">
      <alignment horizontal="right"/>
      <protection hidden="1"/>
    </xf>
    <xf numFmtId="0" fontId="1" fillId="3" borderId="5" xfId="0" applyFont="1" applyFill="1" applyBorder="1" applyProtection="1">
      <protection hidden="1"/>
    </xf>
    <xf numFmtId="0" fontId="0" fillId="3" borderId="5" xfId="0" applyFill="1" applyBorder="1" applyProtection="1">
      <protection hidden="1"/>
    </xf>
    <xf numFmtId="0" fontId="8" fillId="3" borderId="5" xfId="0" applyFont="1" applyFill="1" applyBorder="1" applyProtection="1">
      <protection hidden="1"/>
    </xf>
    <xf numFmtId="0" fontId="6" fillId="3" borderId="8" xfId="0" applyFont="1" applyFill="1" applyBorder="1" applyProtection="1">
      <protection hidden="1"/>
    </xf>
    <xf numFmtId="0" fontId="1" fillId="3" borderId="8" xfId="0" applyFont="1" applyFill="1" applyBorder="1" applyProtection="1">
      <protection hidden="1"/>
    </xf>
    <xf numFmtId="0" fontId="6" fillId="3" borderId="0" xfId="0" applyFont="1" applyFill="1" applyBorder="1" applyProtection="1">
      <protection hidden="1"/>
    </xf>
    <xf numFmtId="0" fontId="6" fillId="3" borderId="0" xfId="0" applyFont="1" applyFill="1" applyBorder="1" applyAlignment="1" applyProtection="1">
      <alignment horizontal="center"/>
      <protection hidden="1"/>
    </xf>
    <xf numFmtId="0" fontId="6" fillId="3" borderId="0" xfId="0" applyFont="1" applyFill="1" applyBorder="1" applyAlignment="1" applyProtection="1">
      <alignment horizontal="left"/>
      <protection hidden="1"/>
    </xf>
    <xf numFmtId="0" fontId="5" fillId="3" borderId="0" xfId="0" applyFont="1" applyFill="1" applyBorder="1" applyProtection="1">
      <protection hidden="1"/>
    </xf>
    <xf numFmtId="1" fontId="21" fillId="3" borderId="0" xfId="0" applyNumberFormat="1" applyFont="1" applyFill="1" applyBorder="1" applyAlignment="1" applyProtection="1">
      <alignment horizontal="center"/>
      <protection hidden="1"/>
    </xf>
    <xf numFmtId="0" fontId="60" fillId="3" borderId="0" xfId="0" applyFont="1" applyFill="1" applyBorder="1" applyAlignment="1" applyProtection="1">
      <alignment vertical="center"/>
      <protection hidden="1"/>
    </xf>
    <xf numFmtId="0" fontId="8" fillId="3" borderId="6" xfId="0" applyFont="1" applyFill="1" applyBorder="1" applyProtection="1">
      <protection hidden="1"/>
    </xf>
    <xf numFmtId="0" fontId="6" fillId="3" borderId="21" xfId="0" applyFont="1" applyFill="1" applyBorder="1" applyProtection="1">
      <protection hidden="1"/>
    </xf>
    <xf numFmtId="0" fontId="15" fillId="3" borderId="1" xfId="0" applyFont="1" applyFill="1" applyBorder="1" applyAlignment="1" applyProtection="1">
      <alignment horizontal="left"/>
      <protection hidden="1"/>
    </xf>
    <xf numFmtId="0" fontId="12" fillId="3" borderId="27" xfId="0" applyFont="1" applyFill="1" applyBorder="1" applyAlignment="1" applyProtection="1">
      <alignment horizontal="left"/>
      <protection hidden="1"/>
    </xf>
    <xf numFmtId="4" fontId="0" fillId="3" borderId="25" xfId="0" applyNumberFormat="1" applyFill="1" applyBorder="1" applyProtection="1">
      <protection hidden="1"/>
    </xf>
    <xf numFmtId="0" fontId="0" fillId="3" borderId="21" xfId="0" applyFill="1" applyBorder="1" applyProtection="1">
      <protection hidden="1"/>
    </xf>
    <xf numFmtId="0" fontId="9" fillId="3" borderId="0" xfId="0" applyFont="1" applyFill="1" applyBorder="1" applyProtection="1">
      <protection hidden="1"/>
    </xf>
    <xf numFmtId="0" fontId="6" fillId="3" borderId="3" xfId="0" applyFont="1" applyFill="1" applyBorder="1" applyProtection="1">
      <protection hidden="1"/>
    </xf>
    <xf numFmtId="0" fontId="9" fillId="3" borderId="1" xfId="0" applyFont="1" applyFill="1" applyBorder="1" applyProtection="1">
      <protection hidden="1"/>
    </xf>
    <xf numFmtId="0" fontId="1" fillId="3" borderId="0" xfId="0" applyFont="1" applyFill="1" applyBorder="1" applyAlignment="1" applyProtection="1">
      <alignment horizontal="right"/>
      <protection hidden="1"/>
    </xf>
    <xf numFmtId="0" fontId="7" fillId="3" borderId="0" xfId="0" applyFont="1" applyFill="1" applyBorder="1" applyAlignment="1" applyProtection="1">
      <alignment horizontal="right"/>
      <protection hidden="1"/>
    </xf>
    <xf numFmtId="0" fontId="13" fillId="3" borderId="26" xfId="0" applyFont="1" applyFill="1" applyBorder="1" applyProtection="1">
      <protection hidden="1"/>
    </xf>
    <xf numFmtId="0" fontId="16" fillId="3" borderId="26" xfId="0" applyFont="1" applyFill="1" applyBorder="1" applyProtection="1">
      <protection hidden="1"/>
    </xf>
    <xf numFmtId="0" fontId="55" fillId="3" borderId="26" xfId="0" applyFont="1" applyFill="1" applyBorder="1" applyProtection="1">
      <protection hidden="1"/>
    </xf>
    <xf numFmtId="4" fontId="55" fillId="3" borderId="26" xfId="0" applyNumberFormat="1" applyFont="1" applyFill="1" applyBorder="1" applyProtection="1">
      <protection hidden="1"/>
    </xf>
    <xf numFmtId="39" fontId="55" fillId="3" borderId="26"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9" fillId="3" borderId="0" xfId="0" applyFont="1" applyFill="1" applyBorder="1" applyAlignment="1" applyProtection="1">
      <alignment horizontal="center"/>
      <protection hidden="1"/>
    </xf>
    <xf numFmtId="4" fontId="9" fillId="3" borderId="0" xfId="0" applyNumberFormat="1" applyFont="1" applyFill="1" applyBorder="1" applyAlignment="1" applyProtection="1">
      <alignment horizontal="center"/>
      <protection hidden="1"/>
    </xf>
    <xf numFmtId="39" fontId="9" fillId="3" borderId="0" xfId="0" applyNumberFormat="1" applyFont="1" applyFill="1" applyBorder="1" applyAlignment="1" applyProtection="1">
      <alignment horizontal="center"/>
      <protection hidden="1"/>
    </xf>
    <xf numFmtId="0" fontId="7" fillId="3" borderId="10" xfId="0" applyFont="1" applyFill="1" applyBorder="1" applyAlignment="1" applyProtection="1">
      <alignment horizontal="center"/>
      <protection hidden="1"/>
    </xf>
    <xf numFmtId="0" fontId="9" fillId="3" borderId="0" xfId="0" applyFont="1" applyFill="1" applyBorder="1" applyAlignment="1" applyProtection="1">
      <alignment horizontal="left"/>
      <protection hidden="1"/>
    </xf>
    <xf numFmtId="39" fontId="9" fillId="3" borderId="0" xfId="0" applyNumberFormat="1" applyFont="1" applyFill="1" applyBorder="1" applyProtection="1">
      <protection hidden="1"/>
    </xf>
    <xf numFmtId="0" fontId="7" fillId="3" borderId="3" xfId="0" applyFont="1" applyFill="1" applyBorder="1" applyAlignment="1" applyProtection="1">
      <alignment horizontal="center"/>
      <protection hidden="1"/>
    </xf>
    <xf numFmtId="39" fontId="7" fillId="3" borderId="0" xfId="0" applyNumberFormat="1" applyFont="1" applyFill="1" applyBorder="1" applyProtection="1">
      <protection hidden="1"/>
    </xf>
    <xf numFmtId="0" fontId="9" fillId="3" borderId="0" xfId="0" applyFont="1" applyFill="1" applyBorder="1" applyAlignment="1" applyProtection="1">
      <alignment horizontal="right"/>
      <protection hidden="1"/>
    </xf>
    <xf numFmtId="4" fontId="9" fillId="3" borderId="0" xfId="0" applyNumberFormat="1" applyFont="1" applyFill="1" applyBorder="1" applyProtection="1">
      <protection hidden="1"/>
    </xf>
    <xf numFmtId="0" fontId="9" fillId="3" borderId="3" xfId="0" applyFont="1" applyFill="1" applyBorder="1" applyAlignment="1" applyProtection="1">
      <alignment horizontal="center"/>
      <protection hidden="1"/>
    </xf>
    <xf numFmtId="0" fontId="7" fillId="3" borderId="0" xfId="0" applyFont="1" applyFill="1" applyBorder="1" applyProtection="1">
      <protection hidden="1"/>
    </xf>
    <xf numFmtId="0" fontId="19" fillId="3" borderId="0" xfId="0" applyFont="1" applyFill="1" applyBorder="1" applyProtection="1">
      <protection hidden="1"/>
    </xf>
    <xf numFmtId="4" fontId="19" fillId="3" borderId="0" xfId="0" applyNumberFormat="1" applyFont="1" applyFill="1" applyBorder="1" applyAlignment="1" applyProtection="1">
      <alignment horizontal="left"/>
      <protection hidden="1"/>
    </xf>
    <xf numFmtId="4" fontId="19" fillId="3" borderId="0" xfId="0" applyNumberFormat="1" applyFont="1" applyFill="1" applyBorder="1" applyProtection="1">
      <protection hidden="1"/>
    </xf>
    <xf numFmtId="39" fontId="19" fillId="3" borderId="0" xfId="0" applyNumberFormat="1" applyFont="1" applyFill="1" applyBorder="1" applyProtection="1">
      <protection hidden="1"/>
    </xf>
    <xf numFmtId="0" fontId="19" fillId="3" borderId="0" xfId="0" applyFont="1" applyFill="1" applyBorder="1" applyAlignment="1" applyProtection="1">
      <alignment horizontal="center"/>
      <protection hidden="1"/>
    </xf>
    <xf numFmtId="0" fontId="19" fillId="3" borderId="0" xfId="0" applyFont="1" applyFill="1" applyBorder="1" applyAlignment="1" applyProtection="1">
      <alignment horizontal="right"/>
      <protection hidden="1"/>
    </xf>
    <xf numFmtId="0" fontId="19" fillId="3" borderId="1" xfId="0" applyFont="1" applyFill="1" applyBorder="1" applyAlignment="1" applyProtection="1">
      <alignment horizontal="left"/>
      <protection hidden="1"/>
    </xf>
    <xf numFmtId="0" fontId="56" fillId="3" borderId="0" xfId="0" applyFont="1" applyFill="1" applyBorder="1" applyProtection="1">
      <protection hidden="1"/>
    </xf>
    <xf numFmtId="0" fontId="7" fillId="3" borderId="0" xfId="0" applyFont="1" applyFill="1" applyBorder="1" applyAlignment="1" applyProtection="1">
      <alignment horizontal="center"/>
      <protection hidden="1"/>
    </xf>
    <xf numFmtId="4" fontId="17" fillId="3" borderId="0" xfId="0" applyNumberFormat="1" applyFont="1" applyFill="1" applyBorder="1" applyAlignment="1" applyProtection="1">
      <alignment horizontal="left"/>
      <protection hidden="1"/>
    </xf>
    <xf numFmtId="0" fontId="17" fillId="3" borderId="6" xfId="0" applyFont="1" applyFill="1" applyBorder="1" applyAlignment="1" applyProtection="1">
      <alignment horizontal="left"/>
      <protection hidden="1"/>
    </xf>
    <xf numFmtId="0" fontId="56" fillId="3" borderId="5" xfId="0" applyFont="1" applyFill="1" applyBorder="1" applyProtection="1">
      <protection hidden="1"/>
    </xf>
    <xf numFmtId="0" fontId="9" fillId="3" borderId="5" xfId="0" applyFont="1" applyFill="1" applyBorder="1" applyProtection="1">
      <protection hidden="1"/>
    </xf>
    <xf numFmtId="0" fontId="9" fillId="3" borderId="5" xfId="0" applyFont="1" applyFill="1" applyBorder="1" applyAlignment="1" applyProtection="1">
      <alignment horizontal="center"/>
      <protection hidden="1"/>
    </xf>
    <xf numFmtId="4" fontId="9" fillId="3" borderId="5" xfId="0" applyNumberFormat="1" applyFont="1" applyFill="1" applyBorder="1" applyProtection="1">
      <protection hidden="1"/>
    </xf>
    <xf numFmtId="39" fontId="9" fillId="3" borderId="5" xfId="0" applyNumberFormat="1" applyFont="1" applyFill="1" applyBorder="1" applyProtection="1">
      <protection hidden="1"/>
    </xf>
    <xf numFmtId="0" fontId="17" fillId="3" borderId="5" xfId="0" applyFont="1" applyFill="1" applyBorder="1" applyAlignment="1" applyProtection="1">
      <alignment horizontal="left"/>
      <protection hidden="1"/>
    </xf>
    <xf numFmtId="0" fontId="7" fillId="3" borderId="5" xfId="0" applyFont="1" applyFill="1" applyBorder="1" applyAlignment="1" applyProtection="1">
      <alignment horizontal="center"/>
      <protection hidden="1"/>
    </xf>
    <xf numFmtId="39" fontId="9" fillId="3" borderId="0" xfId="0" applyNumberFormat="1" applyFont="1" applyFill="1" applyBorder="1" applyAlignment="1" applyProtection="1">
      <alignment horizontal="right"/>
      <protection hidden="1"/>
    </xf>
    <xf numFmtId="39" fontId="5" fillId="3" borderId="0" xfId="0" applyNumberFormat="1" applyFont="1" applyFill="1" applyBorder="1" applyAlignment="1" applyProtection="1">
      <alignment horizontal="right"/>
      <protection hidden="1"/>
    </xf>
    <xf numFmtId="39" fontId="10" fillId="3" borderId="0" xfId="0" applyNumberFormat="1" applyFont="1" applyFill="1" applyBorder="1" applyAlignment="1" applyProtection="1">
      <alignment horizontal="left"/>
      <protection hidden="1"/>
    </xf>
    <xf numFmtId="0" fontId="55" fillId="3" borderId="28" xfId="0" applyFont="1" applyFill="1" applyBorder="1" applyProtection="1">
      <protection hidden="1"/>
    </xf>
    <xf numFmtId="39" fontId="20" fillId="3" borderId="0" xfId="0" applyNumberFormat="1" applyFont="1" applyFill="1" applyBorder="1" applyProtection="1">
      <protection hidden="1"/>
    </xf>
    <xf numFmtId="0" fontId="55" fillId="3" borderId="8" xfId="0" applyFont="1" applyFill="1" applyBorder="1" applyProtection="1">
      <protection hidden="1"/>
    </xf>
    <xf numFmtId="39" fontId="55" fillId="3" borderId="0" xfId="0" applyNumberFormat="1" applyFont="1" applyFill="1" applyBorder="1" applyProtection="1">
      <protection hidden="1"/>
    </xf>
    <xf numFmtId="39" fontId="19" fillId="3" borderId="1" xfId="0" applyNumberFormat="1" applyFont="1" applyFill="1" applyBorder="1" applyProtection="1">
      <protection hidden="1"/>
    </xf>
    <xf numFmtId="39" fontId="9" fillId="3" borderId="1" xfId="0" applyNumberFormat="1" applyFont="1" applyFill="1" applyBorder="1" applyProtection="1">
      <protection hidden="1"/>
    </xf>
    <xf numFmtId="39" fontId="7" fillId="3" borderId="0" xfId="0" applyNumberFormat="1" applyFont="1" applyFill="1" applyBorder="1" applyAlignment="1" applyProtection="1">
      <alignment horizontal="right"/>
      <protection hidden="1"/>
    </xf>
    <xf numFmtId="0" fontId="1" fillId="3" borderId="0" xfId="0" applyFont="1" applyFill="1" applyBorder="1" applyAlignment="1" applyProtection="1">
      <alignment horizontal="left"/>
      <protection hidden="1"/>
    </xf>
    <xf numFmtId="39" fontId="4" fillId="3" borderId="0" xfId="0" applyNumberFormat="1" applyFont="1" applyFill="1" applyBorder="1" applyProtection="1">
      <protection hidden="1"/>
    </xf>
    <xf numFmtId="39" fontId="7" fillId="3" borderId="5" xfId="0" applyNumberFormat="1" applyFont="1" applyFill="1" applyBorder="1" applyProtection="1">
      <protection hidden="1"/>
    </xf>
    <xf numFmtId="39" fontId="4" fillId="3" borderId="5" xfId="0" applyNumberFormat="1" applyFont="1" applyFill="1" applyBorder="1" applyProtection="1">
      <protection hidden="1"/>
    </xf>
    <xf numFmtId="0" fontId="7" fillId="3" borderId="29" xfId="0" applyFont="1" applyFill="1" applyBorder="1" applyAlignment="1" applyProtection="1">
      <alignment horizontal="center"/>
      <protection hidden="1"/>
    </xf>
    <xf numFmtId="0" fontId="16" fillId="3" borderId="1" xfId="0" applyFont="1" applyFill="1" applyBorder="1" applyProtection="1">
      <protection hidden="1"/>
    </xf>
    <xf numFmtId="0" fontId="0" fillId="3" borderId="0" xfId="0" applyFill="1" applyBorder="1" applyAlignment="1" applyProtection="1">
      <alignment horizontal="center"/>
      <protection hidden="1"/>
    </xf>
    <xf numFmtId="0" fontId="1" fillId="3" borderId="3" xfId="0" applyFont="1" applyFill="1" applyBorder="1" applyAlignment="1" applyProtection="1">
      <alignment horizontal="right"/>
      <protection hidden="1"/>
    </xf>
    <xf numFmtId="4" fontId="8" fillId="3" borderId="0" xfId="0" applyNumberFormat="1" applyFont="1" applyFill="1" applyBorder="1" applyProtection="1">
      <protection hidden="1"/>
    </xf>
    <xf numFmtId="0" fontId="11" fillId="3" borderId="0" xfId="0" applyFont="1" applyFill="1" applyBorder="1" applyProtection="1">
      <protection hidden="1"/>
    </xf>
    <xf numFmtId="4" fontId="11" fillId="3" borderId="0" xfId="0" applyNumberFormat="1" applyFont="1" applyFill="1" applyBorder="1" applyProtection="1">
      <protection hidden="1"/>
    </xf>
    <xf numFmtId="4" fontId="12" fillId="3" borderId="0" xfId="0" applyNumberFormat="1" applyFont="1" applyFill="1" applyBorder="1" applyProtection="1">
      <protection hidden="1"/>
    </xf>
    <xf numFmtId="4" fontId="11" fillId="3" borderId="1" xfId="0" applyNumberFormat="1" applyFont="1" applyFill="1" applyBorder="1" applyProtection="1">
      <protection hidden="1"/>
    </xf>
    <xf numFmtId="0" fontId="8" fillId="3" borderId="0" xfId="0" applyFont="1" applyFill="1" applyBorder="1" applyAlignment="1" applyProtection="1">
      <alignment horizontal="left"/>
      <protection hidden="1"/>
    </xf>
    <xf numFmtId="4" fontId="8" fillId="3" borderId="0" xfId="0" applyNumberFormat="1" applyFont="1" applyFill="1" applyBorder="1" applyAlignment="1" applyProtection="1">
      <alignment horizontal="left"/>
      <protection hidden="1"/>
    </xf>
    <xf numFmtId="4" fontId="15" fillId="3" borderId="25" xfId="0" applyNumberFormat="1" applyFont="1" applyFill="1" applyBorder="1" applyAlignment="1" applyProtection="1">
      <alignment horizontal="center"/>
      <protection hidden="1"/>
    </xf>
    <xf numFmtId="0" fontId="4" fillId="3" borderId="3" xfId="0" applyFont="1" applyFill="1" applyBorder="1" applyAlignment="1" applyProtection="1">
      <alignment horizontal="right"/>
      <protection hidden="1"/>
    </xf>
    <xf numFmtId="0" fontId="4" fillId="3" borderId="0" xfId="0" applyFont="1" applyFill="1" applyBorder="1" applyAlignment="1" applyProtection="1">
      <alignment horizontal="right"/>
      <protection hidden="1"/>
    </xf>
    <xf numFmtId="4" fontId="11" fillId="3" borderId="0" xfId="0" applyNumberFormat="1" applyFont="1" applyFill="1" applyBorder="1" applyAlignment="1" applyProtection="1">
      <alignment horizontal="left"/>
      <protection hidden="1"/>
    </xf>
    <xf numFmtId="0" fontId="0" fillId="0" borderId="0" xfId="0" applyBorder="1" applyProtection="1">
      <protection hidden="1"/>
    </xf>
    <xf numFmtId="0" fontId="8" fillId="0" borderId="0" xfId="0" applyFont="1" applyProtection="1">
      <protection hidden="1"/>
    </xf>
    <xf numFmtId="0" fontId="4" fillId="0" borderId="0" xfId="0" applyFont="1" applyProtection="1">
      <protection hidden="1"/>
    </xf>
    <xf numFmtId="3" fontId="19" fillId="0" borderId="0" xfId="0" applyNumberFormat="1" applyFont="1" applyBorder="1" applyAlignment="1" applyProtection="1">
      <alignment horizontal="right"/>
      <protection hidden="1"/>
    </xf>
    <xf numFmtId="0" fontId="19" fillId="0" borderId="0" xfId="0" applyFont="1" applyProtection="1"/>
    <xf numFmtId="0" fontId="19" fillId="5" borderId="0" xfId="0" applyFont="1" applyFill="1"/>
    <xf numFmtId="40" fontId="23" fillId="2" borderId="0" xfId="0" applyNumberFormat="1" applyFont="1" applyFill="1" applyBorder="1" applyProtection="1">
      <protection hidden="1"/>
    </xf>
    <xf numFmtId="4" fontId="8" fillId="7" borderId="0" xfId="0" applyNumberFormat="1" applyFont="1" applyFill="1" applyBorder="1" applyProtection="1">
      <protection hidden="1"/>
    </xf>
    <xf numFmtId="1" fontId="4" fillId="7" borderId="16" xfId="0" applyNumberFormat="1" applyFont="1" applyFill="1" applyBorder="1" applyAlignment="1" applyProtection="1">
      <alignment horizontal="right"/>
      <protection hidden="1"/>
    </xf>
    <xf numFmtId="1" fontId="4" fillId="7" borderId="7" xfId="0" applyNumberFormat="1" applyFont="1" applyFill="1" applyBorder="1" applyAlignment="1" applyProtection="1">
      <alignment horizontal="right"/>
      <protection hidden="1"/>
    </xf>
    <xf numFmtId="0" fontId="13" fillId="3" borderId="0" xfId="0" applyFont="1" applyFill="1" applyBorder="1" applyAlignment="1" applyProtection="1">
      <alignment horizontal="left"/>
      <protection hidden="1"/>
    </xf>
    <xf numFmtId="0" fontId="6" fillId="3" borderId="0" xfId="0" applyFont="1" applyFill="1" applyProtection="1">
      <protection hidden="1"/>
    </xf>
    <xf numFmtId="0" fontId="0" fillId="3" borderId="8" xfId="0" applyFill="1" applyBorder="1" applyProtection="1">
      <protection hidden="1"/>
    </xf>
    <xf numFmtId="0" fontId="0" fillId="3" borderId="20" xfId="0" applyFill="1" applyBorder="1" applyProtection="1">
      <protection hidden="1"/>
    </xf>
    <xf numFmtId="0" fontId="1" fillId="3" borderId="0" xfId="0" applyFont="1" applyFill="1" applyBorder="1" applyAlignment="1" applyProtection="1">
      <alignment horizontal="center"/>
      <protection hidden="1"/>
    </xf>
    <xf numFmtId="0" fontId="5" fillId="3" borderId="0" xfId="0" applyFont="1" applyFill="1" applyProtection="1">
      <protection hidden="1"/>
    </xf>
    <xf numFmtId="0" fontId="11" fillId="3" borderId="5" xfId="0" applyFont="1" applyFill="1" applyBorder="1" applyProtection="1">
      <protection hidden="1"/>
    </xf>
    <xf numFmtId="0" fontId="6" fillId="3" borderId="5" xfId="0" applyFont="1" applyFill="1" applyBorder="1" applyProtection="1">
      <protection hidden="1"/>
    </xf>
    <xf numFmtId="0" fontId="1" fillId="3" borderId="11" xfId="0" applyFont="1" applyFill="1" applyBorder="1" applyAlignment="1" applyProtection="1">
      <alignment horizontal="right"/>
      <protection hidden="1"/>
    </xf>
    <xf numFmtId="0" fontId="5" fillId="3" borderId="1" xfId="0" applyFont="1" applyFill="1" applyBorder="1" applyProtection="1">
      <protection hidden="1"/>
    </xf>
    <xf numFmtId="4" fontId="8" fillId="3" borderId="0" xfId="0" applyNumberFormat="1" applyFont="1" applyFill="1" applyBorder="1" applyAlignment="1" applyProtection="1">
      <alignment horizontal="right"/>
      <protection hidden="1"/>
    </xf>
    <xf numFmtId="0" fontId="41" fillId="3" borderId="0" xfId="0" applyFont="1" applyFill="1" applyProtection="1">
      <protection hidden="1"/>
    </xf>
    <xf numFmtId="4" fontId="8" fillId="3" borderId="1" xfId="0" applyNumberFormat="1" applyFont="1" applyFill="1" applyBorder="1" applyAlignment="1" applyProtection="1">
      <alignment horizontal="left"/>
      <protection hidden="1"/>
    </xf>
    <xf numFmtId="1" fontId="15" fillId="3" borderId="0" xfId="0" applyNumberFormat="1" applyFont="1" applyFill="1" applyBorder="1" applyAlignment="1" applyProtection="1">
      <alignment horizontal="center"/>
      <protection hidden="1"/>
    </xf>
    <xf numFmtId="1" fontId="21" fillId="3" borderId="0" xfId="0" applyNumberFormat="1" applyFont="1" applyFill="1" applyBorder="1" applyAlignment="1" applyProtection="1">
      <alignment horizontal="left"/>
      <protection hidden="1"/>
    </xf>
    <xf numFmtId="4" fontId="11" fillId="3" borderId="0" xfId="0" applyNumberFormat="1" applyFont="1" applyFill="1" applyBorder="1" applyAlignment="1" applyProtection="1">
      <alignment horizontal="right"/>
      <protection hidden="1"/>
    </xf>
    <xf numFmtId="39" fontId="64" fillId="3" borderId="0" xfId="0" applyNumberFormat="1" applyFont="1" applyFill="1" applyBorder="1" applyProtection="1">
      <protection hidden="1"/>
    </xf>
    <xf numFmtId="39" fontId="8" fillId="3" borderId="0" xfId="0" applyNumberFormat="1" applyFont="1" applyFill="1" applyBorder="1" applyAlignment="1" applyProtection="1">
      <alignment horizontal="right"/>
      <protection hidden="1"/>
    </xf>
    <xf numFmtId="39" fontId="19" fillId="3" borderId="0" xfId="0" applyNumberFormat="1" applyFont="1" applyFill="1" applyBorder="1" applyAlignment="1" applyProtection="1">
      <alignment horizontal="right"/>
      <protection hidden="1"/>
    </xf>
    <xf numFmtId="39" fontId="31" fillId="3" borderId="0" xfId="0" applyNumberFormat="1" applyFont="1" applyFill="1" applyBorder="1" applyAlignment="1" applyProtection="1">
      <alignment horizontal="right"/>
      <protection hidden="1"/>
    </xf>
    <xf numFmtId="4" fontId="5" fillId="0" borderId="0" xfId="0" applyNumberFormat="1" applyFont="1" applyProtection="1">
      <protection hidden="1"/>
    </xf>
    <xf numFmtId="0" fontId="5" fillId="0" borderId="0" xfId="0" applyFont="1" applyProtection="1">
      <protection hidden="1"/>
    </xf>
    <xf numFmtId="0" fontId="6" fillId="0" borderId="0" xfId="0" applyFont="1" applyProtection="1">
      <protection hidden="1"/>
    </xf>
    <xf numFmtId="0" fontId="55" fillId="0" borderId="0" xfId="0" applyFont="1" applyProtection="1">
      <protection hidden="1"/>
    </xf>
    <xf numFmtId="0" fontId="8" fillId="0" borderId="0" xfId="0" applyFont="1" applyAlignment="1" applyProtection="1">
      <alignment horizontal="center"/>
      <protection hidden="1"/>
    </xf>
    <xf numFmtId="0" fontId="15" fillId="0" borderId="0" xfId="0" applyFont="1" applyProtection="1">
      <protection hidden="1"/>
    </xf>
    <xf numFmtId="39" fontId="7" fillId="2" borderId="0" xfId="0" applyNumberFormat="1" applyFont="1" applyFill="1" applyBorder="1" applyProtection="1">
      <protection hidden="1"/>
    </xf>
    <xf numFmtId="0" fontId="11" fillId="3" borderId="8" xfId="0" applyFont="1" applyFill="1" applyBorder="1" applyProtection="1">
      <protection hidden="1"/>
    </xf>
    <xf numFmtId="4" fontId="0" fillId="0" borderId="0" xfId="0" applyNumberFormat="1" applyProtection="1">
      <protection hidden="1"/>
    </xf>
    <xf numFmtId="0" fontId="8" fillId="2" borderId="21" xfId="0" applyFont="1" applyFill="1" applyBorder="1" applyProtection="1">
      <protection hidden="1"/>
    </xf>
    <xf numFmtId="0" fontId="19" fillId="2" borderId="0" xfId="0" applyFont="1" applyFill="1" applyBorder="1" applyProtection="1">
      <protection hidden="1"/>
    </xf>
    <xf numFmtId="0" fontId="4" fillId="2" borderId="2" xfId="0" applyFont="1" applyFill="1" applyBorder="1" applyAlignment="1" applyProtection="1">
      <alignment horizontal="center"/>
      <protection hidden="1"/>
    </xf>
    <xf numFmtId="49" fontId="8" fillId="3" borderId="12" xfId="0" applyNumberFormat="1" applyFont="1" applyFill="1" applyBorder="1" applyAlignment="1" applyProtection="1">
      <alignment horizontal="center"/>
      <protection hidden="1"/>
    </xf>
    <xf numFmtId="0" fontId="0" fillId="0" borderId="0" xfId="0" applyAlignment="1">
      <alignment horizontal="center"/>
    </xf>
    <xf numFmtId="0" fontId="0" fillId="0" borderId="0" xfId="0" applyBorder="1" applyAlignment="1">
      <alignment horizontal="center"/>
    </xf>
    <xf numFmtId="39" fontId="5" fillId="3" borderId="16" xfId="0" applyNumberFormat="1" applyFont="1" applyFill="1" applyBorder="1" applyProtection="1">
      <protection hidden="1"/>
    </xf>
    <xf numFmtId="0" fontId="5" fillId="3" borderId="0" xfId="0" applyFont="1" applyFill="1" applyAlignment="1" applyProtection="1">
      <alignment wrapText="1"/>
      <protection hidden="1"/>
    </xf>
    <xf numFmtId="0" fontId="5" fillId="3" borderId="0" xfId="0" applyFont="1" applyFill="1" applyAlignment="1" applyProtection="1">
      <alignment horizontal="left"/>
      <protection hidden="1"/>
    </xf>
    <xf numFmtId="4" fontId="6" fillId="3" borderId="8" xfId="0" applyNumberFormat="1" applyFont="1" applyFill="1" applyBorder="1" applyAlignment="1" applyProtection="1">
      <alignment horizontal="right"/>
      <protection hidden="1"/>
    </xf>
    <xf numFmtId="0" fontId="21" fillId="3" borderId="0" xfId="0" applyFont="1" applyFill="1" applyBorder="1" applyAlignment="1" applyProtection="1">
      <alignment horizontal="left"/>
      <protection hidden="1"/>
    </xf>
    <xf numFmtId="0" fontId="6" fillId="3" borderId="23" xfId="0" applyFont="1" applyFill="1" applyBorder="1" applyProtection="1">
      <protection hidden="1"/>
    </xf>
    <xf numFmtId="0" fontId="4" fillId="3" borderId="0" xfId="0" applyFont="1" applyFill="1" applyBorder="1" applyProtection="1">
      <protection hidden="1"/>
    </xf>
    <xf numFmtId="0" fontId="1" fillId="5" borderId="0" xfId="0" applyFont="1" applyFill="1" applyBorder="1" applyAlignment="1" applyProtection="1">
      <alignment horizontal="right"/>
      <protection hidden="1"/>
    </xf>
    <xf numFmtId="0" fontId="5" fillId="6" borderId="0" xfId="0" applyFont="1" applyFill="1" applyBorder="1" applyProtection="1">
      <protection hidden="1"/>
    </xf>
    <xf numFmtId="0" fontId="8" fillId="2" borderId="0" xfId="0" applyFont="1" applyFill="1" applyBorder="1" applyAlignment="1" applyProtection="1">
      <alignment wrapText="1"/>
      <protection hidden="1"/>
    </xf>
    <xf numFmtId="0" fontId="6" fillId="2" borderId="0" xfId="0" applyFont="1" applyFill="1" applyBorder="1" applyProtection="1">
      <protection hidden="1"/>
    </xf>
    <xf numFmtId="0" fontId="5" fillId="2" borderId="0" xfId="0" applyFont="1" applyFill="1" applyProtection="1">
      <protection hidden="1"/>
    </xf>
    <xf numFmtId="0" fontId="5" fillId="2" borderId="1" xfId="0" applyFont="1" applyFill="1" applyBorder="1" applyProtection="1">
      <protection hidden="1"/>
    </xf>
    <xf numFmtId="0" fontId="5" fillId="2" borderId="9" xfId="0" applyFont="1" applyFill="1" applyBorder="1" applyProtection="1">
      <protection hidden="1"/>
    </xf>
    <xf numFmtId="0" fontId="5" fillId="2" borderId="0" xfId="0" applyFont="1" applyFill="1" applyAlignment="1" applyProtection="1">
      <alignment horizontal="left"/>
      <protection hidden="1"/>
    </xf>
    <xf numFmtId="0" fontId="6" fillId="2" borderId="0" xfId="0" applyFont="1" applyFill="1" applyProtection="1">
      <protection hidden="1"/>
    </xf>
    <xf numFmtId="0" fontId="6" fillId="2" borderId="0" xfId="0" applyFont="1" applyFill="1" applyBorder="1" applyAlignment="1" applyProtection="1">
      <alignment horizontal="right"/>
      <protection hidden="1"/>
    </xf>
    <xf numFmtId="0" fontId="0" fillId="2" borderId="0" xfId="0" applyFill="1" applyBorder="1"/>
    <xf numFmtId="1" fontId="23" fillId="2" borderId="0" xfId="0" applyNumberFormat="1" applyFont="1" applyFill="1" applyBorder="1" applyAlignment="1" applyProtection="1">
      <alignment horizontal="right" vertical="center"/>
      <protection hidden="1"/>
    </xf>
    <xf numFmtId="0" fontId="0" fillId="2" borderId="0" xfId="0" applyFill="1" applyBorder="1" applyAlignment="1" applyProtection="1">
      <alignment vertical="center"/>
      <protection hidden="1"/>
    </xf>
    <xf numFmtId="0" fontId="8" fillId="2" borderId="0" xfId="0" applyFont="1" applyFill="1" applyBorder="1" applyAlignment="1" applyProtection="1">
      <alignment vertical="center"/>
      <protection hidden="1"/>
    </xf>
    <xf numFmtId="40" fontId="19" fillId="2" borderId="0" xfId="0" applyNumberFormat="1" applyFont="1" applyFill="1" applyBorder="1" applyAlignment="1" applyProtection="1">
      <alignment horizontal="left"/>
      <protection hidden="1"/>
    </xf>
    <xf numFmtId="164" fontId="69" fillId="2" borderId="0" xfId="0" applyNumberFormat="1" applyFont="1" applyFill="1" applyBorder="1" applyAlignment="1" applyProtection="1">
      <alignment horizontal="center"/>
      <protection hidden="1"/>
    </xf>
    <xf numFmtId="164" fontId="4" fillId="2" borderId="0" xfId="0" applyNumberFormat="1" applyFont="1" applyFill="1" applyBorder="1" applyAlignment="1" applyProtection="1">
      <alignment horizontal="left"/>
      <protection hidden="1"/>
    </xf>
    <xf numFmtId="40" fontId="46" fillId="2" borderId="0" xfId="0" applyNumberFormat="1" applyFont="1" applyFill="1" applyBorder="1" applyAlignment="1" applyProtection="1">
      <alignment horizontal="left"/>
      <protection hidden="1"/>
    </xf>
    <xf numFmtId="164" fontId="13" fillId="2" borderId="0" xfId="0" applyNumberFormat="1" applyFont="1" applyFill="1" applyBorder="1" applyAlignment="1" applyProtection="1">
      <protection hidden="1"/>
    </xf>
    <xf numFmtId="0" fontId="14" fillId="2" borderId="0" xfId="0" applyFont="1" applyFill="1" applyBorder="1" applyAlignment="1" applyProtection="1">
      <alignment wrapText="1"/>
      <protection hidden="1"/>
    </xf>
    <xf numFmtId="40" fontId="14" fillId="2" borderId="0" xfId="0" applyNumberFormat="1" applyFont="1" applyFill="1" applyBorder="1" applyAlignment="1" applyProtection="1">
      <alignment horizontal="right"/>
      <protection hidden="1"/>
    </xf>
    <xf numFmtId="40" fontId="14" fillId="2" borderId="0" xfId="0" applyNumberFormat="1" applyFont="1" applyFill="1" applyBorder="1" applyAlignment="1" applyProtection="1">
      <alignment horizontal="left"/>
      <protection hidden="1"/>
    </xf>
    <xf numFmtId="40" fontId="1" fillId="2" borderId="2" xfId="0" applyNumberFormat="1" applyFont="1" applyFill="1" applyBorder="1" applyAlignment="1" applyProtection="1">
      <alignment horizontal="center"/>
      <protection hidden="1"/>
    </xf>
    <xf numFmtId="0" fontId="0" fillId="2" borderId="8" xfId="0" applyFill="1" applyBorder="1"/>
    <xf numFmtId="0" fontId="0" fillId="2" borderId="20" xfId="0" applyFill="1" applyBorder="1"/>
    <xf numFmtId="0" fontId="0" fillId="2" borderId="21" xfId="0" applyFill="1" applyBorder="1"/>
    <xf numFmtId="0" fontId="0" fillId="2" borderId="5" xfId="0" applyFill="1" applyBorder="1"/>
    <xf numFmtId="40" fontId="4" fillId="2" borderId="0" xfId="0" applyNumberFormat="1" applyFont="1" applyFill="1" applyBorder="1" applyProtection="1">
      <protection hidden="1"/>
    </xf>
    <xf numFmtId="38" fontId="0" fillId="2" borderId="21" xfId="0" applyNumberFormat="1" applyFill="1" applyBorder="1" applyProtection="1">
      <protection hidden="1"/>
    </xf>
    <xf numFmtId="40" fontId="70" fillId="2" borderId="0" xfId="0" applyNumberFormat="1" applyFont="1" applyFill="1" applyAlignment="1" applyProtection="1">
      <alignment horizontal="right"/>
      <protection hidden="1"/>
    </xf>
    <xf numFmtId="164" fontId="13" fillId="2" borderId="0" xfId="0" applyNumberFormat="1" applyFont="1" applyFill="1" applyAlignment="1" applyProtection="1">
      <protection hidden="1"/>
    </xf>
    <xf numFmtId="40" fontId="4" fillId="2" borderId="0" xfId="0" applyNumberFormat="1" applyFont="1" applyFill="1" applyBorder="1" applyAlignment="1" applyProtection="1">
      <alignment horizontal="center"/>
      <protection hidden="1"/>
    </xf>
    <xf numFmtId="164" fontId="19" fillId="2" borderId="0" xfId="0" applyNumberFormat="1" applyFont="1" applyFill="1" applyBorder="1" applyProtection="1">
      <protection hidden="1"/>
    </xf>
    <xf numFmtId="0" fontId="0" fillId="2" borderId="0" xfId="0" applyFill="1"/>
    <xf numFmtId="0" fontId="14" fillId="2" borderId="30" xfId="0" applyFont="1" applyFill="1" applyBorder="1" applyAlignment="1" applyProtection="1">
      <alignment vertical="center"/>
      <protection hidden="1"/>
    </xf>
    <xf numFmtId="0" fontId="0" fillId="4" borderId="21" xfId="0" applyFill="1" applyBorder="1" applyProtection="1">
      <protection locked="0" hidden="1"/>
    </xf>
    <xf numFmtId="38" fontId="0" fillId="2" borderId="0" xfId="0" applyNumberFormat="1" applyFill="1" applyBorder="1" applyProtection="1">
      <protection hidden="1"/>
    </xf>
    <xf numFmtId="40" fontId="0" fillId="2" borderId="5" xfId="0" applyNumberFormat="1" applyFill="1" applyBorder="1" applyAlignment="1" applyProtection="1">
      <alignment horizontal="center"/>
      <protection hidden="1"/>
    </xf>
    <xf numFmtId="164" fontId="13" fillId="4" borderId="0" xfId="0" applyNumberFormat="1" applyFont="1" applyFill="1" applyAlignment="1" applyProtection="1">
      <protection locked="0" hidden="1"/>
    </xf>
    <xf numFmtId="164" fontId="15" fillId="2" borderId="5" xfId="0" applyNumberFormat="1" applyFont="1" applyFill="1" applyBorder="1" applyAlignment="1" applyProtection="1">
      <alignment horizontal="right"/>
      <protection hidden="1"/>
    </xf>
    <xf numFmtId="38" fontId="0" fillId="2" borderId="5" xfId="0" applyNumberFormat="1" applyFill="1" applyBorder="1" applyProtection="1">
      <protection hidden="1"/>
    </xf>
    <xf numFmtId="164" fontId="4" fillId="2" borderId="6" xfId="0" applyNumberFormat="1" applyFont="1" applyFill="1" applyBorder="1" applyAlignment="1" applyProtection="1">
      <protection hidden="1"/>
    </xf>
    <xf numFmtId="0" fontId="4" fillId="2" borderId="21" xfId="0" applyFont="1" applyFill="1" applyBorder="1" applyAlignment="1" applyProtection="1">
      <alignment horizontal="center"/>
      <protection hidden="1"/>
    </xf>
    <xf numFmtId="0" fontId="5" fillId="2" borderId="0" xfId="0" applyFont="1" applyFill="1" applyBorder="1" applyAlignment="1" applyProtection="1">
      <protection hidden="1"/>
    </xf>
    <xf numFmtId="0" fontId="0" fillId="2" borderId="0" xfId="0" applyFill="1" applyBorder="1" applyAlignment="1" applyProtection="1">
      <alignment horizontal="left" vertical="center"/>
      <protection hidden="1"/>
    </xf>
    <xf numFmtId="0" fontId="19" fillId="2" borderId="1" xfId="0" applyFont="1" applyFill="1" applyBorder="1" applyProtection="1">
      <protection hidden="1"/>
    </xf>
    <xf numFmtId="0" fontId="0" fillId="2" borderId="5" xfId="0" applyFill="1" applyBorder="1" applyAlignment="1" applyProtection="1">
      <alignment horizontal="center"/>
      <protection hidden="1"/>
    </xf>
    <xf numFmtId="0" fontId="0" fillId="2" borderId="0" xfId="0" applyFill="1" applyBorder="1" applyAlignment="1" applyProtection="1">
      <alignment horizontal="center"/>
      <protection hidden="1"/>
    </xf>
    <xf numFmtId="0" fontId="4" fillId="2" borderId="0" xfId="0" applyFont="1" applyFill="1" applyBorder="1" applyAlignment="1" applyProtection="1">
      <alignment horizontal="left"/>
      <protection hidden="1"/>
    </xf>
    <xf numFmtId="0" fontId="32" fillId="2" borderId="0" xfId="0" applyFont="1" applyFill="1" applyBorder="1" applyProtection="1">
      <protection hidden="1"/>
    </xf>
    <xf numFmtId="0" fontId="0" fillId="0" borderId="0" xfId="0" applyAlignment="1" applyProtection="1">
      <alignment horizontal="center"/>
      <protection hidden="1"/>
    </xf>
    <xf numFmtId="0" fontId="32" fillId="2" borderId="0" xfId="0" applyFont="1" applyFill="1" applyProtection="1">
      <protection hidden="1"/>
    </xf>
    <xf numFmtId="0" fontId="19" fillId="2" borderId="0" xfId="0" applyFont="1" applyFill="1" applyProtection="1">
      <protection hidden="1"/>
    </xf>
    <xf numFmtId="0" fontId="19" fillId="2" borderId="21" xfId="0" applyFont="1" applyFill="1" applyBorder="1" applyProtection="1">
      <protection hidden="1"/>
    </xf>
    <xf numFmtId="1" fontId="63" fillId="2" borderId="0" xfId="0" applyNumberFormat="1" applyFont="1" applyFill="1" applyBorder="1" applyProtection="1">
      <protection hidden="1"/>
    </xf>
    <xf numFmtId="164" fontId="63" fillId="2" borderId="5" xfId="0" applyNumberFormat="1" applyFont="1" applyFill="1" applyBorder="1" applyProtection="1">
      <protection hidden="1"/>
    </xf>
    <xf numFmtId="40" fontId="4" fillId="2" borderId="0" xfId="0" applyNumberFormat="1" applyFont="1" applyFill="1" applyBorder="1" applyAlignment="1" applyProtection="1">
      <alignment horizontal="left"/>
      <protection hidden="1"/>
    </xf>
    <xf numFmtId="1" fontId="74" fillId="2" borderId="0" xfId="0" applyNumberFormat="1" applyFont="1" applyFill="1" applyBorder="1" applyProtection="1">
      <protection hidden="1"/>
    </xf>
    <xf numFmtId="0" fontId="4" fillId="2" borderId="0" xfId="0" applyFont="1" applyFill="1" applyProtection="1">
      <protection hidden="1"/>
    </xf>
    <xf numFmtId="3" fontId="23" fillId="2" borderId="0" xfId="0" applyNumberFormat="1" applyFont="1" applyFill="1" applyBorder="1" applyProtection="1">
      <protection hidden="1"/>
    </xf>
    <xf numFmtId="40" fontId="0" fillId="2" borderId="0" xfId="0" applyNumberFormat="1" applyFill="1" applyBorder="1" applyAlignment="1" applyProtection="1">
      <protection hidden="1"/>
    </xf>
    <xf numFmtId="0" fontId="19" fillId="2" borderId="0" xfId="0" applyFont="1" applyFill="1"/>
    <xf numFmtId="0" fontId="4" fillId="0" borderId="0" xfId="0" applyFont="1" applyAlignment="1" applyProtection="1">
      <alignment horizontal="center"/>
      <protection hidden="1"/>
    </xf>
    <xf numFmtId="0" fontId="13" fillId="2" borderId="0" xfId="0" applyFont="1" applyFill="1" applyBorder="1" applyProtection="1">
      <protection hidden="1"/>
    </xf>
    <xf numFmtId="0" fontId="4" fillId="3" borderId="0" xfId="0" applyFont="1" applyFill="1" applyBorder="1" applyAlignment="1" applyProtection="1">
      <alignment horizontal="center"/>
      <protection hidden="1"/>
    </xf>
    <xf numFmtId="4" fontId="15" fillId="3" borderId="0" xfId="0" applyNumberFormat="1" applyFont="1" applyFill="1" applyBorder="1" applyAlignment="1" applyProtection="1">
      <alignment horizontal="right"/>
      <protection hidden="1"/>
    </xf>
    <xf numFmtId="0" fontId="8" fillId="3" borderId="8" xfId="0" applyFont="1" applyFill="1" applyBorder="1" applyProtection="1">
      <protection hidden="1"/>
    </xf>
    <xf numFmtId="0" fontId="55" fillId="3" borderId="0" xfId="0" applyFont="1" applyFill="1" applyBorder="1" applyProtection="1">
      <protection hidden="1"/>
    </xf>
    <xf numFmtId="0" fontId="55" fillId="3" borderId="1" xfId="0" applyFont="1" applyFill="1" applyBorder="1" applyProtection="1">
      <protection hidden="1"/>
    </xf>
    <xf numFmtId="0" fontId="0" fillId="0" borderId="0" xfId="0" applyFill="1" applyBorder="1" applyProtection="1">
      <protection hidden="1"/>
    </xf>
    <xf numFmtId="0" fontId="4" fillId="5" borderId="0" xfId="0" applyFont="1" applyFill="1" applyBorder="1" applyAlignment="1" applyProtection="1">
      <alignment horizontal="center"/>
      <protection hidden="1"/>
    </xf>
    <xf numFmtId="38" fontId="5" fillId="2" borderId="0" xfId="0" applyNumberFormat="1" applyFont="1" applyFill="1" applyBorder="1" applyProtection="1">
      <protection hidden="1"/>
    </xf>
    <xf numFmtId="38" fontId="0" fillId="2" borderId="9" xfId="0" applyNumberFormat="1" applyFill="1" applyBorder="1" applyProtection="1">
      <protection hidden="1"/>
    </xf>
    <xf numFmtId="0" fontId="8" fillId="3" borderId="1" xfId="0" applyFont="1" applyFill="1" applyBorder="1" applyAlignment="1" applyProtection="1">
      <alignment horizontal="left"/>
      <protection hidden="1"/>
    </xf>
    <xf numFmtId="0" fontId="0" fillId="8" borderId="16" xfId="0" applyFill="1" applyBorder="1" applyProtection="1">
      <protection hidden="1"/>
    </xf>
    <xf numFmtId="0" fontId="1" fillId="8" borderId="16" xfId="0" applyFont="1" applyFill="1" applyBorder="1" applyProtection="1">
      <protection hidden="1"/>
    </xf>
    <xf numFmtId="0" fontId="1" fillId="9" borderId="7" xfId="0" applyFont="1" applyFill="1" applyBorder="1" applyProtection="1">
      <protection hidden="1"/>
    </xf>
    <xf numFmtId="0" fontId="1" fillId="9" borderId="3" xfId="0" applyFont="1" applyFill="1" applyBorder="1" applyProtection="1">
      <protection hidden="1"/>
    </xf>
    <xf numFmtId="4" fontId="5" fillId="9" borderId="5" xfId="0" applyNumberFormat="1" applyFont="1" applyFill="1" applyBorder="1" applyProtection="1">
      <protection hidden="1"/>
    </xf>
    <xf numFmtId="0" fontId="5" fillId="0" borderId="0" xfId="0" applyFont="1" applyFill="1" applyProtection="1">
      <protection hidden="1"/>
    </xf>
    <xf numFmtId="0" fontId="8" fillId="0" borderId="0" xfId="0" applyFont="1" applyFill="1" applyProtection="1">
      <protection hidden="1"/>
    </xf>
    <xf numFmtId="0" fontId="0" fillId="0" borderId="0" xfId="0" applyFill="1" applyProtection="1">
      <protection hidden="1"/>
    </xf>
    <xf numFmtId="0" fontId="7" fillId="3" borderId="1" xfId="0" applyFont="1" applyFill="1" applyBorder="1" applyAlignment="1" applyProtection="1">
      <alignment horizontal="left" vertical="center"/>
      <protection hidden="1"/>
    </xf>
    <xf numFmtId="0" fontId="1" fillId="3" borderId="10" xfId="0" applyFont="1" applyFill="1" applyBorder="1" applyAlignment="1" applyProtection="1">
      <alignment horizontal="center"/>
      <protection hidden="1"/>
    </xf>
    <xf numFmtId="0" fontId="1" fillId="3" borderId="11" xfId="0" applyFont="1" applyFill="1" applyBorder="1" applyAlignment="1" applyProtection="1">
      <alignment horizontal="center"/>
      <protection hidden="1"/>
    </xf>
    <xf numFmtId="0" fontId="16" fillId="3" borderId="0" xfId="0" applyFont="1" applyFill="1" applyProtection="1">
      <protection hidden="1"/>
    </xf>
    <xf numFmtId="4" fontId="8" fillId="3" borderId="4" xfId="0" applyNumberFormat="1" applyFont="1" applyFill="1" applyBorder="1" applyAlignment="1" applyProtection="1">
      <alignment horizontal="right"/>
      <protection locked="0"/>
    </xf>
    <xf numFmtId="0" fontId="1" fillId="3" borderId="16"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13" xfId="0" applyFont="1" applyFill="1" applyBorder="1" applyAlignment="1" applyProtection="1">
      <alignment horizontal="center"/>
      <protection hidden="1"/>
    </xf>
    <xf numFmtId="4" fontId="0" fillId="0" borderId="0" xfId="0" applyNumberFormat="1" applyFill="1" applyBorder="1" applyProtection="1">
      <protection hidden="1"/>
    </xf>
    <xf numFmtId="4" fontId="4" fillId="0" borderId="0" xfId="0" applyNumberFormat="1" applyFont="1" applyFill="1" applyBorder="1" applyProtection="1">
      <protection hidden="1"/>
    </xf>
    <xf numFmtId="4" fontId="0" fillId="0" borderId="0" xfId="0" applyNumberFormat="1" applyFill="1" applyProtection="1">
      <protection hidden="1"/>
    </xf>
    <xf numFmtId="0" fontId="17" fillId="2" borderId="0" xfId="0" applyFont="1" applyFill="1" applyBorder="1" applyProtection="1">
      <protection hidden="1"/>
    </xf>
    <xf numFmtId="0" fontId="4" fillId="2" borderId="11" xfId="0" applyFont="1" applyFill="1" applyBorder="1" applyAlignment="1" applyProtection="1">
      <alignment horizontal="center"/>
      <protection hidden="1"/>
    </xf>
    <xf numFmtId="0" fontId="4" fillId="2" borderId="5" xfId="0" applyFont="1" applyFill="1" applyBorder="1" applyProtection="1">
      <protection hidden="1"/>
    </xf>
    <xf numFmtId="0" fontId="4" fillId="2" borderId="0" xfId="0" applyFont="1" applyFill="1" applyAlignment="1" applyProtection="1">
      <alignment horizontal="center"/>
      <protection hidden="1"/>
    </xf>
    <xf numFmtId="1" fontId="1" fillId="10" borderId="26" xfId="0" applyNumberFormat="1" applyFont="1" applyFill="1" applyBorder="1" applyProtection="1">
      <protection hidden="1"/>
    </xf>
    <xf numFmtId="1" fontId="1" fillId="10" borderId="26" xfId="0" applyNumberFormat="1" applyFont="1" applyFill="1" applyBorder="1" applyAlignment="1" applyProtection="1">
      <alignment horizontal="right"/>
      <protection hidden="1"/>
    </xf>
    <xf numFmtId="0" fontId="4" fillId="10" borderId="0" xfId="0" applyFont="1" applyFill="1" applyBorder="1" applyProtection="1">
      <protection hidden="1"/>
    </xf>
    <xf numFmtId="1" fontId="1" fillId="10" borderId="1" xfId="0" applyNumberFormat="1" applyFont="1" applyFill="1" applyBorder="1" applyProtection="1">
      <protection hidden="1"/>
    </xf>
    <xf numFmtId="0" fontId="8" fillId="10" borderId="1" xfId="0" applyFont="1" applyFill="1" applyBorder="1" applyProtection="1">
      <protection hidden="1"/>
    </xf>
    <xf numFmtId="0" fontId="8" fillId="10" borderId="0" xfId="0" applyFont="1" applyFill="1" applyBorder="1" applyProtection="1">
      <protection hidden="1"/>
    </xf>
    <xf numFmtId="0" fontId="4" fillId="10" borderId="1" xfId="0" applyFont="1" applyFill="1" applyBorder="1" applyProtection="1">
      <protection hidden="1"/>
    </xf>
    <xf numFmtId="0" fontId="5" fillId="2" borderId="7" xfId="0" applyFont="1" applyFill="1" applyBorder="1" applyProtection="1">
      <protection hidden="1"/>
    </xf>
    <xf numFmtId="0" fontId="5" fillId="2" borderId="11" xfId="0" applyFont="1" applyFill="1" applyBorder="1" applyProtection="1">
      <protection hidden="1"/>
    </xf>
    <xf numFmtId="0" fontId="5" fillId="2" borderId="31" xfId="0" applyFont="1" applyFill="1" applyBorder="1" applyProtection="1">
      <protection hidden="1"/>
    </xf>
    <xf numFmtId="0" fontId="3" fillId="10" borderId="1" xfId="0" applyFont="1" applyFill="1" applyBorder="1" applyAlignment="1" applyProtection="1">
      <alignment horizontal="left"/>
      <protection hidden="1"/>
    </xf>
    <xf numFmtId="0" fontId="3" fillId="10" borderId="0" xfId="0" applyFont="1" applyFill="1" applyBorder="1" applyAlignment="1" applyProtection="1">
      <alignment horizontal="left"/>
      <protection hidden="1"/>
    </xf>
    <xf numFmtId="0" fontId="12" fillId="2" borderId="1" xfId="0" applyFont="1" applyFill="1" applyBorder="1" applyProtection="1">
      <protection hidden="1"/>
    </xf>
    <xf numFmtId="0" fontId="16" fillId="2" borderId="0" xfId="0" applyFont="1" applyFill="1" applyBorder="1" applyProtection="1">
      <protection hidden="1"/>
    </xf>
    <xf numFmtId="0" fontId="16" fillId="2" borderId="9" xfId="0" applyFont="1" applyFill="1" applyBorder="1" applyAlignment="1" applyProtection="1">
      <alignment horizontal="left"/>
      <protection hidden="1"/>
    </xf>
    <xf numFmtId="0" fontId="16" fillId="2" borderId="0" xfId="0" applyFont="1" applyFill="1" applyBorder="1" applyAlignment="1" applyProtection="1">
      <alignment horizontal="left"/>
      <protection hidden="1"/>
    </xf>
    <xf numFmtId="6" fontId="17" fillId="2" borderId="0" xfId="0" applyNumberFormat="1" applyFont="1" applyFill="1" applyBorder="1" applyAlignment="1" applyProtection="1">
      <alignment horizontal="left"/>
      <protection hidden="1"/>
    </xf>
    <xf numFmtId="6" fontId="17" fillId="2" borderId="1" xfId="0" applyNumberFormat="1" applyFont="1" applyFill="1" applyBorder="1" applyAlignment="1" applyProtection="1">
      <alignment horizontal="left"/>
      <protection hidden="1"/>
    </xf>
    <xf numFmtId="0" fontId="7" fillId="2" borderId="5" xfId="0" applyFont="1" applyFill="1" applyBorder="1" applyProtection="1">
      <protection hidden="1"/>
    </xf>
    <xf numFmtId="164" fontId="25" fillId="2" borderId="0" xfId="0" applyNumberFormat="1" applyFont="1" applyFill="1" applyAlignment="1" applyProtection="1">
      <alignment horizontal="center"/>
      <protection hidden="1"/>
    </xf>
    <xf numFmtId="164" fontId="4" fillId="2" borderId="24" xfId="0" applyNumberFormat="1" applyFont="1" applyFill="1" applyBorder="1" applyAlignment="1" applyProtection="1">
      <protection hidden="1"/>
    </xf>
    <xf numFmtId="0" fontId="19" fillId="2" borderId="0" xfId="0" applyFont="1" applyFill="1" applyBorder="1" applyAlignment="1" applyProtection="1">
      <protection hidden="1"/>
    </xf>
    <xf numFmtId="0" fontId="4" fillId="2" borderId="9" xfId="0" applyFont="1" applyFill="1" applyBorder="1" applyAlignment="1" applyProtection="1">
      <protection hidden="1"/>
    </xf>
    <xf numFmtId="40" fontId="0" fillId="2" borderId="9" xfId="0" applyNumberFormat="1" applyFill="1" applyBorder="1" applyProtection="1">
      <protection hidden="1"/>
    </xf>
    <xf numFmtId="40" fontId="5" fillId="2" borderId="21" xfId="0" applyNumberFormat="1" applyFont="1" applyFill="1" applyBorder="1" applyProtection="1">
      <protection hidden="1"/>
    </xf>
    <xf numFmtId="0" fontId="0" fillId="0" borderId="0" xfId="0" applyAlignment="1" applyProtection="1">
      <alignment wrapText="1"/>
      <protection hidden="1"/>
    </xf>
    <xf numFmtId="40" fontId="0" fillId="2" borderId="21" xfId="0" applyNumberFormat="1" applyFill="1" applyBorder="1" applyAlignment="1" applyProtection="1">
      <protection hidden="1"/>
    </xf>
    <xf numFmtId="0" fontId="0" fillId="2" borderId="20" xfId="0" applyFill="1" applyBorder="1" applyAlignment="1" applyProtection="1">
      <protection hidden="1"/>
    </xf>
    <xf numFmtId="40" fontId="0" fillId="2" borderId="8" xfId="0" applyNumberFormat="1" applyFill="1" applyBorder="1" applyAlignment="1" applyProtection="1">
      <alignment horizontal="left"/>
      <protection hidden="1"/>
    </xf>
    <xf numFmtId="0" fontId="0" fillId="2" borderId="24" xfId="0" applyFill="1" applyBorder="1" applyAlignment="1" applyProtection="1">
      <protection hidden="1"/>
    </xf>
    <xf numFmtId="0" fontId="0" fillId="2" borderId="9" xfId="0" applyFill="1" applyBorder="1" applyAlignment="1" applyProtection="1">
      <protection hidden="1"/>
    </xf>
    <xf numFmtId="40" fontId="5" fillId="2" borderId="0" xfId="0" applyNumberFormat="1" applyFont="1" applyFill="1" applyBorder="1" applyProtection="1">
      <protection hidden="1"/>
    </xf>
    <xf numFmtId="164" fontId="25" fillId="2" borderId="0" xfId="0" applyNumberFormat="1" applyFont="1" applyFill="1" applyAlignment="1" applyProtection="1">
      <alignment horizontal="right"/>
      <protection hidden="1"/>
    </xf>
    <xf numFmtId="40" fontId="65" fillId="2" borderId="0" xfId="0" applyNumberFormat="1" applyFont="1" applyFill="1" applyBorder="1" applyAlignment="1" applyProtection="1">
      <alignment horizontal="right"/>
      <protection hidden="1"/>
    </xf>
    <xf numFmtId="38" fontId="19" fillId="2" borderId="0" xfId="0" applyNumberFormat="1" applyFont="1" applyFill="1" applyBorder="1" applyAlignment="1" applyProtection="1">
      <alignment horizontal="right"/>
      <protection hidden="1"/>
    </xf>
    <xf numFmtId="40" fontId="19" fillId="2" borderId="0" xfId="0" applyNumberFormat="1" applyFont="1" applyFill="1" applyBorder="1" applyAlignment="1" applyProtection="1">
      <alignment horizontal="right"/>
      <protection hidden="1"/>
    </xf>
    <xf numFmtId="40" fontId="19" fillId="2" borderId="0" xfId="0" applyNumberFormat="1" applyFont="1" applyFill="1" applyBorder="1" applyProtection="1">
      <protection hidden="1"/>
    </xf>
    <xf numFmtId="40" fontId="79" fillId="2" borderId="0" xfId="0" applyNumberFormat="1" applyFont="1" applyFill="1" applyAlignment="1" applyProtection="1">
      <alignment horizontal="right"/>
      <protection hidden="1"/>
    </xf>
    <xf numFmtId="0" fontId="14" fillId="2" borderId="21" xfId="0" applyFont="1" applyFill="1" applyBorder="1" applyAlignment="1" applyProtection="1">
      <alignment vertical="center"/>
      <protection hidden="1"/>
    </xf>
    <xf numFmtId="164" fontId="19" fillId="2" borderId="0" xfId="0" applyNumberFormat="1" applyFont="1" applyFill="1" applyBorder="1" applyAlignment="1" applyProtection="1">
      <alignment horizontal="left"/>
      <protection hidden="1"/>
    </xf>
    <xf numFmtId="0" fontId="14" fillId="2" borderId="0" xfId="0" applyFont="1" applyFill="1" applyBorder="1" applyAlignment="1" applyProtection="1">
      <alignment vertical="center"/>
      <protection hidden="1"/>
    </xf>
    <xf numFmtId="0" fontId="24" fillId="2" borderId="0" xfId="0" applyFont="1" applyFill="1" applyBorder="1" applyAlignment="1" applyProtection="1">
      <alignment vertical="center"/>
      <protection hidden="1"/>
    </xf>
    <xf numFmtId="164" fontId="69" fillId="2" borderId="0" xfId="0" applyNumberFormat="1" applyFont="1" applyFill="1" applyBorder="1" applyAlignment="1" applyProtection="1">
      <alignment horizontal="left" vertical="center"/>
      <protection hidden="1"/>
    </xf>
    <xf numFmtId="0" fontId="0" fillId="2" borderId="0" xfId="0" applyFill="1" applyAlignment="1"/>
    <xf numFmtId="164" fontId="13" fillId="2" borderId="5" xfId="0" applyNumberFormat="1" applyFont="1" applyFill="1" applyBorder="1" applyAlignment="1" applyProtection="1">
      <protection hidden="1"/>
    </xf>
    <xf numFmtId="0" fontId="22" fillId="2" borderId="0" xfId="0" applyFont="1" applyFill="1" applyBorder="1" applyAlignment="1" applyProtection="1">
      <alignment horizontal="center" vertical="center"/>
      <protection hidden="1"/>
    </xf>
    <xf numFmtId="0" fontId="0" fillId="2" borderId="0" xfId="0" applyFill="1" applyAlignment="1" applyProtection="1">
      <alignment horizontal="center"/>
      <protection hidden="1"/>
    </xf>
    <xf numFmtId="4" fontId="9" fillId="3" borderId="0" xfId="0" applyNumberFormat="1" applyFont="1" applyFill="1" applyBorder="1" applyAlignment="1" applyProtection="1">
      <alignment horizontal="right"/>
      <protection hidden="1"/>
    </xf>
    <xf numFmtId="4" fontId="17" fillId="3" borderId="0" xfId="0" applyNumberFormat="1" applyFont="1" applyFill="1" applyBorder="1" applyAlignment="1" applyProtection="1">
      <alignment horizontal="right"/>
      <protection hidden="1"/>
    </xf>
    <xf numFmtId="4" fontId="9" fillId="3" borderId="5" xfId="0" applyNumberFormat="1" applyFont="1" applyFill="1" applyBorder="1" applyAlignment="1" applyProtection="1">
      <alignment horizontal="right"/>
      <protection hidden="1"/>
    </xf>
    <xf numFmtId="0" fontId="33" fillId="11" borderId="26" xfId="0" applyFont="1" applyFill="1" applyBorder="1" applyAlignment="1" applyProtection="1">
      <alignment horizontal="center"/>
      <protection hidden="1"/>
    </xf>
    <xf numFmtId="0" fontId="7" fillId="3" borderId="1" xfId="0" applyFont="1" applyFill="1" applyBorder="1" applyAlignment="1" applyProtection="1">
      <alignment horizontal="center"/>
      <protection hidden="1"/>
    </xf>
    <xf numFmtId="0" fontId="7" fillId="3" borderId="5" xfId="0" applyFont="1" applyFill="1" applyBorder="1" applyAlignment="1" applyProtection="1">
      <alignment horizontal="right"/>
      <protection hidden="1"/>
    </xf>
    <xf numFmtId="0" fontId="0" fillId="3" borderId="33" xfId="0" applyFill="1" applyBorder="1" applyProtection="1">
      <protection hidden="1"/>
    </xf>
    <xf numFmtId="0" fontId="5" fillId="3" borderId="0" xfId="0" applyFont="1" applyFill="1" applyBorder="1" applyAlignment="1" applyProtection="1">
      <alignment horizontal="left"/>
      <protection hidden="1"/>
    </xf>
    <xf numFmtId="0" fontId="7" fillId="3" borderId="11" xfId="0" applyFont="1" applyFill="1" applyBorder="1" applyAlignment="1" applyProtection="1">
      <alignment horizontal="center"/>
      <protection hidden="1"/>
    </xf>
    <xf numFmtId="0" fontId="7" fillId="3" borderId="7" xfId="0" applyFont="1" applyFill="1" applyBorder="1" applyAlignment="1" applyProtection="1">
      <alignment horizontal="center"/>
      <protection hidden="1"/>
    </xf>
    <xf numFmtId="0" fontId="7" fillId="7" borderId="7" xfId="0" applyFont="1" applyFill="1" applyBorder="1" applyAlignment="1" applyProtection="1">
      <alignment horizontal="center"/>
      <protection hidden="1"/>
    </xf>
    <xf numFmtId="0" fontId="6" fillId="3" borderId="0" xfId="0" applyFont="1" applyFill="1" applyBorder="1" applyAlignment="1" applyProtection="1">
      <alignment vertical="center"/>
      <protection hidden="1"/>
    </xf>
    <xf numFmtId="0" fontId="5" fillId="3" borderId="0" xfId="0" applyFont="1" applyFill="1" applyBorder="1" applyAlignment="1" applyProtection="1">
      <alignment vertical="center"/>
      <protection hidden="1"/>
    </xf>
    <xf numFmtId="4" fontId="5" fillId="3" borderId="0" xfId="0" applyNumberFormat="1" applyFont="1" applyFill="1" applyBorder="1" applyAlignment="1" applyProtection="1">
      <alignment vertical="center"/>
      <protection hidden="1"/>
    </xf>
    <xf numFmtId="4" fontId="6" fillId="3" borderId="8" xfId="0" applyNumberFormat="1" applyFont="1" applyFill="1" applyBorder="1" applyAlignment="1" applyProtection="1">
      <alignment horizontal="right" vertical="center"/>
      <protection hidden="1"/>
    </xf>
    <xf numFmtId="39" fontId="5" fillId="3" borderId="0" xfId="0" applyNumberFormat="1" applyFont="1" applyFill="1" applyBorder="1" applyAlignment="1" applyProtection="1">
      <alignment horizontal="right" vertical="center"/>
      <protection hidden="1"/>
    </xf>
    <xf numFmtId="0" fontId="1" fillId="3" borderId="8" xfId="0" applyFont="1" applyFill="1" applyBorder="1" applyAlignment="1" applyProtection="1">
      <alignment horizontal="right" vertical="center"/>
      <protection hidden="1"/>
    </xf>
    <xf numFmtId="0" fontId="6" fillId="3" borderId="0" xfId="0" applyFont="1" applyFill="1" applyBorder="1" applyAlignment="1" applyProtection="1">
      <protection hidden="1"/>
    </xf>
    <xf numFmtId="0" fontId="4" fillId="3" borderId="0" xfId="0" applyFont="1" applyFill="1" applyBorder="1" applyAlignment="1" applyProtection="1">
      <alignment horizontal="left"/>
      <protection hidden="1"/>
    </xf>
    <xf numFmtId="0" fontId="73" fillId="3" borderId="0" xfId="0" applyFont="1" applyFill="1" applyBorder="1" applyAlignment="1" applyProtection="1">
      <alignment horizontal="right"/>
      <protection hidden="1"/>
    </xf>
    <xf numFmtId="0" fontId="63" fillId="11" borderId="0" xfId="0" applyFont="1" applyFill="1" applyBorder="1" applyAlignment="1" applyProtection="1">
      <alignment horizontal="center" vertical="center"/>
      <protection hidden="1"/>
    </xf>
    <xf numFmtId="3" fontId="55" fillId="3" borderId="26" xfId="0" applyNumberFormat="1" applyFont="1" applyFill="1" applyBorder="1" applyProtection="1">
      <protection hidden="1"/>
    </xf>
    <xf numFmtId="1" fontId="34" fillId="2" borderId="13" xfId="0" applyNumberFormat="1" applyFont="1" applyFill="1" applyBorder="1" applyProtection="1">
      <protection locked="0"/>
    </xf>
    <xf numFmtId="1" fontId="0" fillId="12" borderId="0" xfId="0" applyNumberFormat="1" applyFill="1" applyProtection="1">
      <protection hidden="1"/>
    </xf>
    <xf numFmtId="1" fontId="4" fillId="13" borderId="0" xfId="0" applyNumberFormat="1" applyFont="1" applyFill="1" applyAlignment="1" applyProtection="1">
      <alignment horizontal="center"/>
      <protection hidden="1"/>
    </xf>
    <xf numFmtId="1" fontId="0" fillId="12" borderId="0" xfId="0" applyNumberFormat="1" applyFill="1" applyBorder="1" applyAlignment="1" applyProtection="1">
      <alignment vertical="center"/>
      <protection hidden="1"/>
    </xf>
    <xf numFmtId="0" fontId="4" fillId="2" borderId="26" xfId="0" applyFont="1" applyFill="1" applyBorder="1" applyAlignment="1" applyProtection="1">
      <alignment horizontal="center" wrapText="1"/>
      <protection hidden="1"/>
    </xf>
    <xf numFmtId="0" fontId="4" fillId="0" borderId="26" xfId="0" applyFont="1" applyFill="1" applyBorder="1" applyAlignment="1" applyProtection="1">
      <alignment horizontal="center" wrapText="1"/>
      <protection hidden="1"/>
    </xf>
    <xf numFmtId="1" fontId="4" fillId="0" borderId="0" xfId="0" applyNumberFormat="1" applyFont="1" applyFill="1" applyBorder="1" applyAlignment="1" applyProtection="1">
      <alignment horizontal="center" wrapText="1"/>
      <protection hidden="1"/>
    </xf>
    <xf numFmtId="0" fontId="4" fillId="2" borderId="3" xfId="0" applyFont="1" applyFill="1" applyBorder="1" applyProtection="1">
      <protection hidden="1"/>
    </xf>
    <xf numFmtId="4" fontId="19" fillId="0" borderId="0" xfId="0" applyNumberFormat="1" applyFont="1" applyFill="1" applyBorder="1" applyProtection="1">
      <protection hidden="1"/>
    </xf>
    <xf numFmtId="1" fontId="4" fillId="0" borderId="0" xfId="0" applyNumberFormat="1" applyFont="1" applyFill="1" applyBorder="1" applyProtection="1">
      <protection hidden="1"/>
    </xf>
    <xf numFmtId="0" fontId="0" fillId="2" borderId="3" xfId="0" applyFill="1" applyBorder="1" applyProtection="1">
      <protection hidden="1"/>
    </xf>
    <xf numFmtId="4" fontId="19" fillId="0" borderId="0" xfId="0" applyNumberFormat="1" applyFont="1" applyFill="1" applyBorder="1" applyAlignment="1" applyProtection="1">
      <alignment wrapText="1"/>
      <protection hidden="1"/>
    </xf>
    <xf numFmtId="1" fontId="0" fillId="0" borderId="0" xfId="0" applyNumberFormat="1" applyFill="1" applyBorder="1" applyProtection="1">
      <protection hidden="1"/>
    </xf>
    <xf numFmtId="1" fontId="23" fillId="0" borderId="0" xfId="0" applyNumberFormat="1" applyFont="1" applyFill="1" applyBorder="1" applyProtection="1">
      <protection hidden="1"/>
    </xf>
    <xf numFmtId="0" fontId="0" fillId="0" borderId="1" xfId="0" applyFill="1" applyBorder="1" applyProtection="1">
      <protection hidden="1"/>
    </xf>
    <xf numFmtId="4" fontId="82" fillId="2" borderId="0" xfId="0" applyNumberFormat="1" applyFont="1" applyFill="1" applyBorder="1" applyAlignment="1" applyProtection="1">
      <alignment horizontal="right"/>
      <protection hidden="1"/>
    </xf>
    <xf numFmtId="0" fontId="8" fillId="2" borderId="15" xfId="0" applyFont="1" applyFill="1" applyBorder="1" applyProtection="1">
      <protection hidden="1"/>
    </xf>
    <xf numFmtId="0" fontId="9" fillId="2" borderId="9" xfId="0" applyFont="1" applyFill="1" applyBorder="1" applyProtection="1">
      <protection hidden="1"/>
    </xf>
    <xf numFmtId="0" fontId="8" fillId="2" borderId="35" xfId="0" applyFont="1" applyFill="1" applyBorder="1" applyProtection="1">
      <protection hidden="1"/>
    </xf>
    <xf numFmtId="0" fontId="17" fillId="2" borderId="35" xfId="0" applyFont="1" applyFill="1" applyBorder="1" applyProtection="1">
      <protection hidden="1"/>
    </xf>
    <xf numFmtId="0" fontId="8" fillId="2" borderId="31" xfId="0" applyFont="1" applyFill="1" applyBorder="1" applyProtection="1">
      <protection hidden="1"/>
    </xf>
    <xf numFmtId="0" fontId="21" fillId="2" borderId="0" xfId="0" applyFont="1" applyFill="1" applyBorder="1" applyAlignment="1" applyProtection="1">
      <alignment horizontal="center"/>
      <protection hidden="1"/>
    </xf>
    <xf numFmtId="0" fontId="16" fillId="2" borderId="5" xfId="0" applyFont="1" applyFill="1" applyBorder="1" applyProtection="1">
      <protection hidden="1"/>
    </xf>
    <xf numFmtId="0" fontId="17" fillId="2" borderId="1" xfId="0" applyFont="1" applyFill="1" applyBorder="1" applyAlignment="1" applyProtection="1">
      <alignment vertical="top"/>
      <protection hidden="1"/>
    </xf>
    <xf numFmtId="0" fontId="16" fillId="2" borderId="1" xfId="0" applyFont="1" applyFill="1" applyBorder="1" applyAlignment="1" applyProtection="1">
      <alignment vertical="top"/>
      <protection hidden="1"/>
    </xf>
    <xf numFmtId="0" fontId="6" fillId="3" borderId="8" xfId="0" applyNumberFormat="1" applyFont="1" applyFill="1" applyBorder="1" applyAlignment="1" applyProtection="1">
      <alignment horizontal="right"/>
      <protection hidden="1"/>
    </xf>
    <xf numFmtId="0" fontId="28" fillId="3" borderId="0" xfId="0" applyFont="1" applyFill="1" applyBorder="1" applyAlignment="1" applyProtection="1">
      <alignment horizontal="left"/>
      <protection hidden="1"/>
    </xf>
    <xf numFmtId="0" fontId="3" fillId="3" borderId="0" xfId="0" applyFont="1" applyFill="1" applyBorder="1" applyAlignment="1" applyProtection="1">
      <alignment horizontal="left"/>
      <protection hidden="1"/>
    </xf>
    <xf numFmtId="1" fontId="4" fillId="7" borderId="25" xfId="0" applyNumberFormat="1" applyFont="1" applyFill="1" applyBorder="1" applyAlignment="1" applyProtection="1">
      <alignment horizontal="right"/>
      <protection hidden="1"/>
    </xf>
    <xf numFmtId="1" fontId="4" fillId="3" borderId="0" xfId="0" applyNumberFormat="1" applyFont="1" applyFill="1" applyBorder="1" applyAlignment="1" applyProtection="1">
      <alignment horizontal="right"/>
      <protection hidden="1"/>
    </xf>
    <xf numFmtId="3" fontId="5" fillId="3" borderId="0" xfId="0" applyNumberFormat="1" applyFont="1" applyFill="1" applyBorder="1" applyAlignment="1" applyProtection="1">
      <alignment horizontal="right"/>
      <protection hidden="1"/>
    </xf>
    <xf numFmtId="0" fontId="4" fillId="3" borderId="36" xfId="0" applyFont="1" applyFill="1" applyBorder="1" applyAlignment="1" applyProtection="1">
      <alignment horizontal="right"/>
      <protection hidden="1"/>
    </xf>
    <xf numFmtId="0" fontId="19" fillId="3" borderId="14" xfId="0" applyFont="1" applyFill="1" applyBorder="1" applyAlignment="1" applyProtection="1">
      <alignment horizontal="left"/>
      <protection hidden="1"/>
    </xf>
    <xf numFmtId="0" fontId="8" fillId="3" borderId="14" xfId="0" applyFont="1" applyFill="1" applyBorder="1" applyAlignment="1" applyProtection="1">
      <alignment horizontal="left"/>
      <protection hidden="1"/>
    </xf>
    <xf numFmtId="0" fontId="4" fillId="3" borderId="14" xfId="0" applyFont="1" applyFill="1" applyBorder="1" applyAlignment="1" applyProtection="1">
      <alignment horizontal="right"/>
      <protection hidden="1"/>
    </xf>
    <xf numFmtId="4" fontId="4" fillId="2" borderId="0" xfId="0" applyNumberFormat="1" applyFont="1" applyFill="1" applyBorder="1" applyProtection="1">
      <protection hidden="1"/>
    </xf>
    <xf numFmtId="40" fontId="67" fillId="2" borderId="0" xfId="0" applyNumberFormat="1" applyFont="1" applyFill="1" applyBorder="1" applyAlignment="1" applyProtection="1">
      <alignment horizontal="left"/>
      <protection hidden="1"/>
    </xf>
    <xf numFmtId="0" fontId="30" fillId="2" borderId="0" xfId="0" applyFont="1" applyFill="1" applyBorder="1" applyProtection="1">
      <protection hidden="1"/>
    </xf>
    <xf numFmtId="40" fontId="4" fillId="2" borderId="1" xfId="0" applyNumberFormat="1" applyFont="1" applyFill="1" applyBorder="1" applyAlignment="1" applyProtection="1">
      <alignment horizontal="center"/>
      <protection hidden="1"/>
    </xf>
    <xf numFmtId="40" fontId="27" fillId="2" borderId="0" xfId="0" applyNumberFormat="1" applyFont="1" applyFill="1" applyBorder="1" applyAlignment="1" applyProtection="1">
      <alignment horizontal="left"/>
      <protection hidden="1"/>
    </xf>
    <xf numFmtId="0" fontId="69" fillId="2" borderId="0" xfId="0" applyFont="1" applyFill="1" applyBorder="1" applyProtection="1">
      <protection hidden="1"/>
    </xf>
    <xf numFmtId="0" fontId="5" fillId="2" borderId="0" xfId="0" applyFont="1" applyFill="1" applyBorder="1" applyAlignment="1" applyProtection="1">
      <alignment horizontal="left"/>
      <protection hidden="1"/>
    </xf>
    <xf numFmtId="0" fontId="0" fillId="2" borderId="0" xfId="0" applyFill="1" applyAlignment="1" applyProtection="1">
      <alignment horizontal="left" vertical="center"/>
      <protection hidden="1"/>
    </xf>
    <xf numFmtId="49" fontId="7" fillId="2" borderId="0" xfId="0" applyNumberFormat="1" applyFont="1" applyFill="1" applyAlignment="1" applyProtection="1">
      <alignment horizontal="right"/>
      <protection hidden="1"/>
    </xf>
    <xf numFmtId="0" fontId="0" fillId="2" borderId="2" xfId="0" applyFill="1" applyBorder="1" applyProtection="1">
      <protection locked="0"/>
    </xf>
    <xf numFmtId="4" fontId="0" fillId="2" borderId="0" xfId="0" applyNumberFormat="1" applyFill="1" applyBorder="1" applyProtection="1">
      <protection hidden="1"/>
    </xf>
    <xf numFmtId="3" fontId="34" fillId="2" borderId="13" xfId="0" applyNumberFormat="1" applyFont="1" applyFill="1" applyBorder="1" applyProtection="1">
      <protection locked="0"/>
    </xf>
    <xf numFmtId="0" fontId="5" fillId="2" borderId="0" xfId="0" applyFont="1" applyFill="1" applyBorder="1" applyAlignment="1" applyProtection="1">
      <alignment horizontal="center"/>
      <protection hidden="1"/>
    </xf>
    <xf numFmtId="0" fontId="4" fillId="0" borderId="0" xfId="0" applyFont="1" applyFill="1" applyBorder="1" applyAlignment="1" applyProtection="1">
      <alignment horizontal="center" wrapText="1"/>
      <protection hidden="1"/>
    </xf>
    <xf numFmtId="4" fontId="0" fillId="0" borderId="1" xfId="0" applyNumberFormat="1" applyFill="1" applyBorder="1" applyProtection="1">
      <protection hidden="1"/>
    </xf>
    <xf numFmtId="4" fontId="4" fillId="0" borderId="0" xfId="0" applyNumberFormat="1" applyFont="1" applyFill="1" applyBorder="1" applyAlignment="1" applyProtection="1">
      <alignment horizontal="center"/>
      <protection hidden="1"/>
    </xf>
    <xf numFmtId="0" fontId="67" fillId="2" borderId="0" xfId="0" applyFont="1" applyFill="1" applyBorder="1" applyProtection="1">
      <protection hidden="1"/>
    </xf>
    <xf numFmtId="0" fontId="67" fillId="2" borderId="0" xfId="0" applyFont="1" applyFill="1" applyBorder="1" applyAlignment="1" applyProtection="1">
      <alignment vertical="center"/>
      <protection hidden="1"/>
    </xf>
    <xf numFmtId="0" fontId="19" fillId="2" borderId="0" xfId="0" applyFont="1" applyFill="1" applyAlignment="1" applyProtection="1">
      <alignment vertical="center"/>
      <protection hidden="1"/>
    </xf>
    <xf numFmtId="0" fontId="4" fillId="2" borderId="0" xfId="0" applyFont="1" applyFill="1" applyAlignment="1" applyProtection="1">
      <alignment horizontal="center" vertical="center"/>
      <protection hidden="1"/>
    </xf>
    <xf numFmtId="0" fontId="4" fillId="2" borderId="0" xfId="0" applyFont="1" applyFill="1" applyBorder="1" applyAlignment="1" applyProtection="1">
      <alignment horizontal="center" vertical="center"/>
      <protection hidden="1"/>
    </xf>
    <xf numFmtId="0" fontId="19" fillId="2" borderId="0" xfId="0" applyFont="1" applyFill="1" applyBorder="1" applyAlignment="1" applyProtection="1">
      <alignment vertical="center"/>
      <protection hidden="1"/>
    </xf>
    <xf numFmtId="0" fontId="0" fillId="2" borderId="0" xfId="0" applyFill="1" applyAlignment="1" applyProtection="1">
      <alignment vertical="top"/>
      <protection hidden="1"/>
    </xf>
    <xf numFmtId="0" fontId="55" fillId="2" borderId="0" xfId="0" applyFont="1" applyFill="1" applyProtection="1">
      <protection hidden="1"/>
    </xf>
    <xf numFmtId="0" fontId="0" fillId="2" borderId="3" xfId="0" applyFill="1" applyBorder="1" applyAlignment="1" applyProtection="1">
      <alignment vertical="center"/>
      <protection hidden="1"/>
    </xf>
    <xf numFmtId="0" fontId="0" fillId="2" borderId="25" xfId="0" applyFill="1" applyBorder="1" applyAlignment="1" applyProtection="1">
      <alignment vertical="center"/>
      <protection hidden="1"/>
    </xf>
    <xf numFmtId="49" fontId="6" fillId="2" borderId="0" xfId="0" applyNumberFormat="1" applyFont="1" applyFill="1" applyBorder="1" applyAlignment="1" applyProtection="1">
      <alignment horizontal="right"/>
      <protection hidden="1"/>
    </xf>
    <xf numFmtId="0" fontId="76" fillId="2" borderId="0" xfId="0" applyFont="1" applyFill="1" applyBorder="1" applyAlignment="1" applyProtection="1">
      <alignment horizontal="right"/>
      <protection hidden="1"/>
    </xf>
    <xf numFmtId="0" fontId="63" fillId="2" borderId="0" xfId="0" applyFont="1" applyFill="1" applyBorder="1" applyAlignment="1" applyProtection="1">
      <alignment horizontal="center" vertical="center"/>
      <protection hidden="1"/>
    </xf>
    <xf numFmtId="4" fontId="67" fillId="2" borderId="0" xfId="0" applyNumberFormat="1" applyFont="1" applyFill="1" applyBorder="1" applyProtection="1">
      <protection hidden="1"/>
    </xf>
    <xf numFmtId="49" fontId="25" fillId="2" borderId="5" xfId="0" applyNumberFormat="1" applyFont="1" applyFill="1" applyBorder="1" applyAlignment="1" applyProtection="1">
      <alignment horizontal="right"/>
      <protection hidden="1"/>
    </xf>
    <xf numFmtId="40" fontId="21" fillId="2" borderId="5" xfId="0" applyNumberFormat="1" applyFont="1" applyFill="1" applyBorder="1" applyAlignment="1" applyProtection="1">
      <alignment horizontal="right"/>
      <protection hidden="1"/>
    </xf>
    <xf numFmtId="0" fontId="21" fillId="2" borderId="0" xfId="0" applyFont="1" applyFill="1" applyProtection="1">
      <protection hidden="1"/>
    </xf>
    <xf numFmtId="0" fontId="21" fillId="2" borderId="0" xfId="0" applyFont="1" applyFill="1" applyAlignment="1" applyProtection="1">
      <alignment horizontal="center"/>
      <protection hidden="1"/>
    </xf>
    <xf numFmtId="0" fontId="8" fillId="2" borderId="5" xfId="0" applyFont="1" applyFill="1" applyBorder="1" applyAlignment="1" applyProtection="1">
      <alignment horizontal="left" vertical="top"/>
      <protection hidden="1"/>
    </xf>
    <xf numFmtId="0" fontId="8" fillId="2" borderId="23" xfId="0" applyFont="1" applyFill="1" applyBorder="1" applyAlignment="1" applyProtection="1">
      <alignment horizontal="left" vertical="top"/>
      <protection hidden="1"/>
    </xf>
    <xf numFmtId="0" fontId="0" fillId="2" borderId="37" xfId="0" applyFill="1" applyBorder="1" applyProtection="1">
      <protection hidden="1"/>
    </xf>
    <xf numFmtId="0" fontId="21" fillId="2" borderId="0" xfId="0" applyFont="1" applyFill="1" applyAlignment="1" applyProtection="1">
      <alignment horizontal="left" vertical="center"/>
      <protection hidden="1"/>
    </xf>
    <xf numFmtId="0" fontId="41" fillId="2" borderId="0" xfId="0" applyFont="1" applyFill="1" applyAlignment="1" applyProtection="1">
      <alignment horizontal="center"/>
      <protection hidden="1"/>
    </xf>
    <xf numFmtId="0" fontId="87" fillId="2" borderId="0" xfId="0" applyFont="1" applyFill="1" applyAlignment="1" applyProtection="1">
      <alignment horizontal="left" vertical="center"/>
      <protection hidden="1"/>
    </xf>
    <xf numFmtId="0" fontId="6" fillId="2" borderId="0" xfId="0" applyFont="1" applyFill="1" applyAlignment="1" applyProtection="1">
      <alignment horizontal="left"/>
      <protection hidden="1"/>
    </xf>
    <xf numFmtId="0" fontId="0" fillId="2" borderId="31" xfId="0" applyFill="1" applyBorder="1" applyAlignment="1" applyProtection="1">
      <protection hidden="1"/>
    </xf>
    <xf numFmtId="0" fontId="8" fillId="2" borderId="9" xfId="0" applyFont="1" applyFill="1" applyBorder="1" applyAlignment="1" applyProtection="1">
      <protection hidden="1"/>
    </xf>
    <xf numFmtId="0" fontId="0" fillId="2" borderId="15" xfId="0" applyFill="1" applyBorder="1" applyAlignment="1" applyProtection="1">
      <protection hidden="1"/>
    </xf>
    <xf numFmtId="0" fontId="4" fillId="2" borderId="0" xfId="0" applyFont="1" applyFill="1" applyBorder="1" applyAlignment="1" applyProtection="1">
      <alignment vertical="center"/>
      <protection hidden="1"/>
    </xf>
    <xf numFmtId="0" fontId="0" fillId="2" borderId="10" xfId="0" applyFill="1" applyBorder="1" applyAlignment="1" applyProtection="1">
      <alignment vertical="center"/>
      <protection hidden="1"/>
    </xf>
    <xf numFmtId="0" fontId="8" fillId="2" borderId="1" xfId="0" applyFont="1" applyFill="1" applyBorder="1" applyAlignment="1" applyProtection="1">
      <alignment vertical="center"/>
      <protection hidden="1"/>
    </xf>
    <xf numFmtId="0" fontId="0" fillId="2" borderId="1" xfId="0" applyFill="1" applyBorder="1" applyAlignment="1" applyProtection="1">
      <alignment vertical="center"/>
      <protection hidden="1"/>
    </xf>
    <xf numFmtId="0" fontId="0" fillId="2" borderId="12" xfId="0" applyFill="1" applyBorder="1" applyAlignment="1" applyProtection="1">
      <alignment vertical="center"/>
      <protection hidden="1"/>
    </xf>
    <xf numFmtId="0" fontId="0" fillId="2" borderId="31" xfId="0" applyFill="1" applyBorder="1" applyProtection="1">
      <protection hidden="1"/>
    </xf>
    <xf numFmtId="0" fontId="0" fillId="2" borderId="25" xfId="0" applyFill="1" applyBorder="1" applyProtection="1">
      <protection hidden="1"/>
    </xf>
    <xf numFmtId="0" fontId="4" fillId="2" borderId="10" xfId="0" applyFont="1" applyFill="1" applyBorder="1" applyAlignment="1" applyProtection="1">
      <alignment horizontal="center"/>
      <protection hidden="1"/>
    </xf>
    <xf numFmtId="0" fontId="15" fillId="2" borderId="0" xfId="0" applyFont="1" applyFill="1" applyBorder="1" applyAlignment="1" applyProtection="1">
      <alignment vertical="center"/>
      <protection hidden="1"/>
    </xf>
    <xf numFmtId="0" fontId="15" fillId="2" borderId="0" xfId="0" applyFont="1" applyFill="1" applyBorder="1" applyAlignment="1" applyProtection="1">
      <alignment horizontal="center" vertical="center"/>
      <protection hidden="1"/>
    </xf>
    <xf numFmtId="0" fontId="13" fillId="2" borderId="0" xfId="0" applyFont="1" applyFill="1" applyAlignment="1" applyProtection="1">
      <alignment vertical="center"/>
      <protection hidden="1"/>
    </xf>
    <xf numFmtId="0" fontId="0" fillId="2" borderId="7" xfId="0" applyFill="1" applyBorder="1" applyProtection="1">
      <protection hidden="1"/>
    </xf>
    <xf numFmtId="0" fontId="4" fillId="2" borderId="10" xfId="0" applyFont="1" applyFill="1" applyBorder="1" applyAlignment="1" applyProtection="1">
      <alignment horizontal="center" vertical="center"/>
      <protection hidden="1"/>
    </xf>
    <xf numFmtId="0" fontId="0" fillId="10" borderId="0" xfId="0" applyFill="1" applyProtection="1">
      <protection hidden="1"/>
    </xf>
    <xf numFmtId="0" fontId="0" fillId="10" borderId="7" xfId="0" applyFill="1" applyBorder="1" applyProtection="1">
      <protection hidden="1"/>
    </xf>
    <xf numFmtId="0" fontId="4" fillId="2" borderId="5" xfId="0" applyFont="1" applyFill="1" applyBorder="1" applyAlignment="1" applyProtection="1">
      <alignment horizontal="center"/>
      <protection hidden="1"/>
    </xf>
    <xf numFmtId="0" fontId="8" fillId="2" borderId="0" xfId="0" applyFont="1" applyFill="1" applyAlignment="1" applyProtection="1">
      <alignment horizontal="center"/>
      <protection hidden="1"/>
    </xf>
    <xf numFmtId="0" fontId="4" fillId="2" borderId="5" xfId="0" applyFont="1" applyFill="1" applyBorder="1" applyAlignment="1" applyProtection="1">
      <alignment horizontal="left"/>
      <protection hidden="1"/>
    </xf>
    <xf numFmtId="0" fontId="0" fillId="2" borderId="5" xfId="0" applyFill="1" applyBorder="1" applyAlignment="1" applyProtection="1">
      <alignment horizontal="right"/>
      <protection hidden="1"/>
    </xf>
    <xf numFmtId="0" fontId="21" fillId="2" borderId="0" xfId="0" applyFont="1" applyFill="1" applyAlignment="1" applyProtection="1">
      <alignment vertical="center"/>
      <protection hidden="1"/>
    </xf>
    <xf numFmtId="0" fontId="21" fillId="2" borderId="0" xfId="0" applyFont="1" applyFill="1" applyBorder="1" applyAlignment="1" applyProtection="1">
      <alignment vertical="center"/>
      <protection hidden="1"/>
    </xf>
    <xf numFmtId="0" fontId="41" fillId="2" borderId="0" xfId="0" applyFont="1" applyFill="1" applyProtection="1">
      <protection hidden="1"/>
    </xf>
    <xf numFmtId="0" fontId="4" fillId="2" borderId="3" xfId="0" applyFont="1" applyFill="1" applyBorder="1" applyAlignment="1" applyProtection="1">
      <alignment horizontal="center"/>
      <protection hidden="1"/>
    </xf>
    <xf numFmtId="0" fontId="0" fillId="10" borderId="0" xfId="0" applyFill="1" applyAlignment="1" applyProtection="1">
      <protection hidden="1"/>
    </xf>
    <xf numFmtId="0" fontId="0" fillId="10" borderId="0" xfId="0" applyFill="1" applyAlignment="1" applyProtection="1">
      <alignment vertical="center"/>
      <protection hidden="1"/>
    </xf>
    <xf numFmtId="0" fontId="21" fillId="10" borderId="0" xfId="0" applyFont="1" applyFill="1" applyAlignment="1" applyProtection="1">
      <alignment vertical="center"/>
      <protection hidden="1"/>
    </xf>
    <xf numFmtId="0" fontId="4" fillId="2" borderId="11" xfId="0" applyFont="1" applyFill="1" applyBorder="1" applyAlignment="1" applyProtection="1">
      <alignment horizontal="center" vertical="center"/>
      <protection hidden="1"/>
    </xf>
    <xf numFmtId="3" fontId="0" fillId="2" borderId="0" xfId="0" applyNumberFormat="1" applyFill="1" applyProtection="1">
      <protection hidden="1"/>
    </xf>
    <xf numFmtId="0" fontId="67" fillId="2" borderId="13" xfId="0" applyFont="1" applyFill="1" applyBorder="1" applyAlignment="1" applyProtection="1">
      <alignment horizontal="center"/>
      <protection hidden="1"/>
    </xf>
    <xf numFmtId="0" fontId="67" fillId="2" borderId="24" xfId="0" applyFont="1" applyFill="1" applyBorder="1" applyProtection="1">
      <protection hidden="1"/>
    </xf>
    <xf numFmtId="0" fontId="67" fillId="2" borderId="6" xfId="0" applyFont="1" applyFill="1" applyBorder="1" applyProtection="1">
      <protection hidden="1"/>
    </xf>
    <xf numFmtId="0" fontId="67" fillId="2" borderId="22" xfId="0" applyFont="1" applyFill="1" applyBorder="1" applyProtection="1">
      <protection hidden="1"/>
    </xf>
    <xf numFmtId="0" fontId="13" fillId="3" borderId="1" xfId="0" applyFont="1" applyFill="1" applyBorder="1" applyAlignment="1" applyProtection="1">
      <alignment horizontal="left"/>
      <protection hidden="1"/>
    </xf>
    <xf numFmtId="4" fontId="8" fillId="3" borderId="0" xfId="0" applyNumberFormat="1" applyFont="1" applyFill="1" applyBorder="1" applyAlignment="1" applyProtection="1">
      <alignment horizontal="center"/>
      <protection hidden="1"/>
    </xf>
    <xf numFmtId="3" fontId="5" fillId="3" borderId="9" xfId="0" applyNumberFormat="1" applyFont="1" applyFill="1" applyBorder="1" applyAlignment="1" applyProtection="1">
      <alignment horizontal="right"/>
      <protection hidden="1"/>
    </xf>
    <xf numFmtId="39" fontId="19" fillId="3" borderId="9" xfId="0" applyNumberFormat="1" applyFont="1" applyFill="1" applyBorder="1" applyAlignment="1" applyProtection="1">
      <alignment horizontal="right"/>
      <protection hidden="1"/>
    </xf>
    <xf numFmtId="49" fontId="49" fillId="3" borderId="0" xfId="0" applyNumberFormat="1" applyFont="1" applyFill="1" applyBorder="1" applyAlignment="1" applyProtection="1">
      <alignment horizontal="right"/>
      <protection hidden="1"/>
    </xf>
    <xf numFmtId="37" fontId="5" fillId="3" borderId="1" xfId="0" applyNumberFormat="1" applyFont="1" applyFill="1" applyBorder="1" applyAlignment="1" applyProtection="1">
      <alignment horizontal="right"/>
      <protection locked="0"/>
    </xf>
    <xf numFmtId="3" fontId="31" fillId="3" borderId="0" xfId="0" applyNumberFormat="1" applyFont="1" applyFill="1" applyBorder="1" applyAlignment="1" applyProtection="1">
      <alignment horizontal="right"/>
      <protection hidden="1"/>
    </xf>
    <xf numFmtId="37" fontId="5" fillId="3" borderId="0" xfId="0" applyNumberFormat="1" applyFont="1" applyFill="1" applyBorder="1" applyAlignment="1" applyProtection="1">
      <alignment horizontal="right"/>
      <protection hidden="1"/>
    </xf>
    <xf numFmtId="4" fontId="90" fillId="3" borderId="0" xfId="0" applyNumberFormat="1" applyFont="1" applyFill="1" applyBorder="1" applyAlignment="1" applyProtection="1">
      <alignment horizontal="left" vertical="center"/>
      <protection hidden="1"/>
    </xf>
    <xf numFmtId="4" fontId="31" fillId="3" borderId="0" xfId="0" applyNumberFormat="1" applyFont="1" applyFill="1" applyBorder="1" applyAlignment="1" applyProtection="1">
      <alignment horizontal="center"/>
      <protection hidden="1"/>
    </xf>
    <xf numFmtId="0" fontId="5" fillId="2" borderId="0" xfId="0" applyFont="1" applyFill="1" applyAlignment="1" applyProtection="1">
      <protection hidden="1"/>
    </xf>
    <xf numFmtId="0" fontId="6" fillId="2" borderId="1" xfId="0" applyFont="1" applyFill="1" applyBorder="1" applyAlignment="1" applyProtection="1">
      <alignment horizontal="center"/>
      <protection hidden="1"/>
    </xf>
    <xf numFmtId="0" fontId="4" fillId="2" borderId="3" xfId="0" applyFont="1" applyFill="1" applyBorder="1" applyAlignment="1" applyProtection="1">
      <alignment vertical="center"/>
      <protection hidden="1"/>
    </xf>
    <xf numFmtId="0" fontId="92" fillId="2" borderId="0" xfId="0" applyFont="1" applyFill="1" applyBorder="1" applyAlignment="1" applyProtection="1">
      <alignment horizontal="left"/>
      <protection hidden="1"/>
    </xf>
    <xf numFmtId="1" fontId="94" fillId="2" borderId="0" xfId="0" applyNumberFormat="1" applyFont="1" applyFill="1" applyBorder="1" applyProtection="1">
      <protection hidden="1"/>
    </xf>
    <xf numFmtId="1" fontId="94" fillId="2" borderId="0" xfId="0" applyNumberFormat="1" applyFont="1" applyFill="1" applyBorder="1" applyAlignment="1" applyProtection="1">
      <alignment horizontal="center"/>
      <protection hidden="1"/>
    </xf>
    <xf numFmtId="0" fontId="8" fillId="2" borderId="0" xfId="0" applyFont="1" applyFill="1" applyBorder="1" applyAlignment="1" applyProtection="1">
      <alignment horizontal="right"/>
      <protection hidden="1"/>
    </xf>
    <xf numFmtId="1" fontId="23" fillId="2" borderId="0" xfId="0" applyNumberFormat="1" applyFont="1" applyFill="1" applyBorder="1" applyAlignment="1" applyProtection="1">
      <alignment horizontal="center"/>
      <protection hidden="1"/>
    </xf>
    <xf numFmtId="37" fontId="7" fillId="2" borderId="0" xfId="0" applyNumberFormat="1" applyFont="1" applyFill="1" applyBorder="1" applyProtection="1">
      <protection hidden="1"/>
    </xf>
    <xf numFmtId="1" fontId="1" fillId="10" borderId="0" xfId="0" applyNumberFormat="1" applyFont="1" applyFill="1" applyBorder="1" applyProtection="1">
      <protection hidden="1"/>
    </xf>
    <xf numFmtId="0" fontId="1" fillId="10" borderId="15" xfId="0" applyFont="1" applyFill="1" applyBorder="1" applyAlignment="1" applyProtection="1">
      <alignment horizontal="right"/>
      <protection hidden="1"/>
    </xf>
    <xf numFmtId="0" fontId="1" fillId="10" borderId="25" xfId="0" applyFont="1" applyFill="1" applyBorder="1" applyAlignment="1" applyProtection="1">
      <alignment horizontal="right"/>
      <protection hidden="1"/>
    </xf>
    <xf numFmtId="0" fontId="13" fillId="2" borderId="0" xfId="0" applyFont="1" applyFill="1" applyBorder="1" applyAlignment="1" applyProtection="1">
      <alignment horizontal="left"/>
      <protection hidden="1"/>
    </xf>
    <xf numFmtId="0" fontId="19" fillId="0" borderId="0" xfId="0" applyFont="1" applyBorder="1" applyAlignment="1" applyProtection="1">
      <alignment horizontal="right"/>
      <protection hidden="1"/>
    </xf>
    <xf numFmtId="3" fontId="19" fillId="0" borderId="22" xfId="0" applyNumberFormat="1" applyFont="1" applyBorder="1" applyAlignment="1" applyProtection="1">
      <alignment horizontal="right"/>
      <protection hidden="1"/>
    </xf>
    <xf numFmtId="3" fontId="19" fillId="0" borderId="6" xfId="0" applyNumberFormat="1" applyFont="1" applyBorder="1" applyAlignment="1" applyProtection="1">
      <alignment horizontal="right"/>
      <protection hidden="1"/>
    </xf>
    <xf numFmtId="0" fontId="19" fillId="0" borderId="21" xfId="0" applyFont="1" applyBorder="1" applyAlignment="1" applyProtection="1">
      <alignment horizontal="right"/>
      <protection hidden="1"/>
    </xf>
    <xf numFmtId="0" fontId="0" fillId="0" borderId="0" xfId="0" applyAlignment="1" applyProtection="1">
      <alignment vertical="center" wrapText="1"/>
      <protection hidden="1"/>
    </xf>
    <xf numFmtId="0" fontId="4" fillId="2" borderId="24" xfId="0" applyFont="1" applyFill="1" applyBorder="1" applyAlignment="1" applyProtection="1">
      <alignment horizontal="right"/>
      <protection hidden="1"/>
    </xf>
    <xf numFmtId="0" fontId="4" fillId="2" borderId="6" xfId="0" applyFont="1" applyFill="1" applyBorder="1" applyAlignment="1" applyProtection="1">
      <alignment horizontal="right"/>
      <protection hidden="1"/>
    </xf>
    <xf numFmtId="0" fontId="4" fillId="2" borderId="22" xfId="0" applyFont="1" applyFill="1" applyBorder="1" applyAlignment="1" applyProtection="1">
      <alignment horizontal="right"/>
      <protection hidden="1"/>
    </xf>
    <xf numFmtId="0" fontId="19" fillId="2" borderId="41" xfId="0" applyFont="1" applyFill="1" applyBorder="1" applyProtection="1">
      <protection hidden="1"/>
    </xf>
    <xf numFmtId="0" fontId="19" fillId="2" borderId="42" xfId="0" applyFont="1" applyFill="1" applyBorder="1" applyProtection="1">
      <protection hidden="1"/>
    </xf>
    <xf numFmtId="0" fontId="0" fillId="2" borderId="43" xfId="0" applyFill="1" applyBorder="1" applyProtection="1">
      <protection hidden="1"/>
    </xf>
    <xf numFmtId="164" fontId="4" fillId="2" borderId="0" xfId="0" applyNumberFormat="1" applyFont="1" applyFill="1" applyBorder="1" applyAlignment="1" applyProtection="1">
      <alignment horizontal="left" vertical="center"/>
      <protection hidden="1"/>
    </xf>
    <xf numFmtId="40" fontId="23" fillId="2" borderId="0" xfId="0" applyNumberFormat="1" applyFont="1" applyFill="1" applyBorder="1" applyAlignment="1" applyProtection="1">
      <alignment horizontal="center"/>
      <protection hidden="1"/>
    </xf>
    <xf numFmtId="40" fontId="27" fillId="2" borderId="0" xfId="0" applyNumberFormat="1" applyFont="1" applyFill="1" applyBorder="1" applyAlignment="1" applyProtection="1">
      <alignment horizontal="center"/>
      <protection hidden="1"/>
    </xf>
    <xf numFmtId="4" fontId="4" fillId="2" borderId="6" xfId="0" applyNumberFormat="1" applyFont="1" applyFill="1" applyBorder="1" applyProtection="1">
      <protection hidden="1"/>
    </xf>
    <xf numFmtId="1" fontId="4" fillId="2" borderId="0" xfId="0" applyNumberFormat="1" applyFont="1" applyFill="1" applyBorder="1" applyProtection="1">
      <protection hidden="1"/>
    </xf>
    <xf numFmtId="4" fontId="0" fillId="2" borderId="6" xfId="0" applyNumberFormat="1" applyFill="1" applyBorder="1" applyProtection="1">
      <protection hidden="1"/>
    </xf>
    <xf numFmtId="1" fontId="0" fillId="2" borderId="0" xfId="0" applyNumberFormat="1" applyFill="1" applyBorder="1" applyProtection="1">
      <protection hidden="1"/>
    </xf>
    <xf numFmtId="1" fontId="23" fillId="2" borderId="0" xfId="0" applyNumberFormat="1" applyFont="1" applyFill="1" applyBorder="1" applyProtection="1">
      <protection hidden="1"/>
    </xf>
    <xf numFmtId="0" fontId="4" fillId="2" borderId="0" xfId="0" applyFont="1" applyFill="1" applyBorder="1" applyAlignment="1" applyProtection="1">
      <alignment horizontal="center" wrapText="1"/>
      <protection hidden="1"/>
    </xf>
    <xf numFmtId="4" fontId="67" fillId="2" borderId="6" xfId="0" applyNumberFormat="1" applyFont="1" applyFill="1" applyBorder="1" applyProtection="1">
      <protection hidden="1"/>
    </xf>
    <xf numFmtId="0" fontId="4" fillId="2" borderId="0" xfId="0" applyFont="1" applyFill="1" applyBorder="1" applyAlignment="1" applyProtection="1">
      <alignment horizontal="left" wrapText="1"/>
      <protection hidden="1"/>
    </xf>
    <xf numFmtId="0" fontId="22" fillId="2" borderId="45" xfId="0" applyFont="1" applyFill="1" applyBorder="1" applyAlignment="1" applyProtection="1">
      <alignment horizontal="left" vertical="center"/>
      <protection hidden="1"/>
    </xf>
    <xf numFmtId="0" fontId="4" fillId="2" borderId="46" xfId="0" applyFont="1" applyFill="1" applyBorder="1" applyAlignment="1" applyProtection="1">
      <alignment horizontal="left" vertical="center" wrapText="1"/>
      <protection hidden="1"/>
    </xf>
    <xf numFmtId="0" fontId="4" fillId="2" borderId="46" xfId="0" applyFont="1" applyFill="1" applyBorder="1" applyAlignment="1" applyProtection="1">
      <alignment horizontal="center" vertical="center" wrapText="1"/>
      <protection hidden="1"/>
    </xf>
    <xf numFmtId="40" fontId="85" fillId="2" borderId="0" xfId="0" applyNumberFormat="1" applyFont="1" applyFill="1" applyBorder="1" applyAlignment="1" applyProtection="1">
      <alignment horizontal="right" vertical="center"/>
      <protection hidden="1"/>
    </xf>
    <xf numFmtId="40" fontId="65" fillId="2" borderId="21" xfId="0" applyNumberFormat="1" applyFont="1" applyFill="1" applyBorder="1" applyAlignment="1" applyProtection="1">
      <alignment horizontal="right"/>
      <protection hidden="1"/>
    </xf>
    <xf numFmtId="38" fontId="19" fillId="2" borderId="21" xfId="0" applyNumberFormat="1" applyFont="1" applyFill="1" applyBorder="1" applyAlignment="1" applyProtection="1">
      <alignment horizontal="right"/>
      <protection hidden="1"/>
    </xf>
    <xf numFmtId="38" fontId="0" fillId="2" borderId="21" xfId="0" applyNumberFormat="1" applyFill="1" applyBorder="1" applyAlignment="1" applyProtection="1">
      <alignment horizontal="right"/>
      <protection hidden="1"/>
    </xf>
    <xf numFmtId="0" fontId="67" fillId="3" borderId="0" xfId="0" applyFont="1" applyFill="1" applyBorder="1" applyAlignment="1" applyProtection="1">
      <alignment horizontal="right"/>
      <protection hidden="1"/>
    </xf>
    <xf numFmtId="4" fontId="6" fillId="3" borderId="0" xfId="0" applyNumberFormat="1" applyFont="1" applyFill="1" applyBorder="1" applyAlignment="1" applyProtection="1">
      <alignment horizontal="right"/>
      <protection hidden="1"/>
    </xf>
    <xf numFmtId="0" fontId="9" fillId="2" borderId="0" xfId="0" applyFont="1" applyFill="1" applyBorder="1" applyProtection="1">
      <protection hidden="1"/>
    </xf>
    <xf numFmtId="0" fontId="5" fillId="2" borderId="0" xfId="0" applyFont="1" applyFill="1" applyAlignment="1" applyProtection="1">
      <alignment vertical="center"/>
      <protection hidden="1"/>
    </xf>
    <xf numFmtId="0" fontId="18" fillId="2" borderId="0" xfId="0" applyFont="1" applyFill="1" applyBorder="1" applyAlignment="1" applyProtection="1">
      <alignment horizontal="center"/>
      <protection hidden="1"/>
    </xf>
    <xf numFmtId="164" fontId="19" fillId="2" borderId="1" xfId="0" applyNumberFormat="1" applyFont="1" applyFill="1" applyBorder="1" applyProtection="1">
      <protection hidden="1"/>
    </xf>
    <xf numFmtId="0" fontId="19" fillId="2" borderId="20" xfId="0" applyFont="1" applyFill="1" applyBorder="1" applyProtection="1">
      <protection hidden="1"/>
    </xf>
    <xf numFmtId="38" fontId="5" fillId="2" borderId="21" xfId="0" applyNumberFormat="1" applyFont="1" applyFill="1" applyBorder="1" applyProtection="1">
      <protection hidden="1"/>
    </xf>
    <xf numFmtId="164" fontId="4" fillId="2" borderId="6" xfId="0" applyNumberFormat="1" applyFont="1" applyFill="1" applyBorder="1" applyAlignment="1" applyProtection="1">
      <alignment horizontal="center"/>
      <protection hidden="1"/>
    </xf>
    <xf numFmtId="164" fontId="4" fillId="2" borderId="24" xfId="0" applyNumberFormat="1" applyFont="1" applyFill="1" applyBorder="1" applyAlignment="1" applyProtection="1">
      <alignment vertical="top"/>
      <protection hidden="1"/>
    </xf>
    <xf numFmtId="164" fontId="39" fillId="2" borderId="6" xfId="0" applyNumberFormat="1" applyFont="1" applyFill="1" applyBorder="1" applyAlignment="1" applyProtection="1">
      <alignment vertical="top"/>
      <protection hidden="1"/>
    </xf>
    <xf numFmtId="164" fontId="39" fillId="2" borderId="22" xfId="0" applyNumberFormat="1" applyFont="1" applyFill="1" applyBorder="1" applyAlignment="1" applyProtection="1">
      <alignment vertical="top"/>
      <protection hidden="1"/>
    </xf>
    <xf numFmtId="0" fontId="29" fillId="2" borderId="24" xfId="0" applyFont="1" applyFill="1" applyBorder="1" applyAlignment="1" applyProtection="1">
      <alignment vertical="center"/>
      <protection hidden="1"/>
    </xf>
    <xf numFmtId="0" fontId="0" fillId="4" borderId="6" xfId="0" applyFill="1" applyBorder="1" applyProtection="1">
      <protection locked="0" hidden="1"/>
    </xf>
    <xf numFmtId="0" fontId="29" fillId="2" borderId="27" xfId="0" applyFont="1" applyFill="1" applyBorder="1" applyAlignment="1" applyProtection="1">
      <alignment vertical="center"/>
      <protection hidden="1"/>
    </xf>
    <xf numFmtId="171" fontId="19" fillId="2" borderId="13" xfId="0" applyNumberFormat="1" applyFont="1" applyFill="1" applyBorder="1" applyAlignment="1" applyProtection="1">
      <alignment horizontal="right"/>
      <protection locked="0"/>
    </xf>
    <xf numFmtId="4" fontId="19" fillId="2" borderId="49" xfId="0" applyNumberFormat="1" applyFont="1" applyFill="1" applyBorder="1" applyProtection="1">
      <protection hidden="1"/>
    </xf>
    <xf numFmtId="4" fontId="19" fillId="2" borderId="50" xfId="0" applyNumberFormat="1" applyFont="1" applyFill="1" applyBorder="1" applyProtection="1">
      <protection hidden="1"/>
    </xf>
    <xf numFmtId="4" fontId="19" fillId="2" borderId="50" xfId="0" applyNumberFormat="1" applyFont="1" applyFill="1" applyBorder="1" applyAlignment="1" applyProtection="1">
      <alignment horizontal="center"/>
      <protection hidden="1"/>
    </xf>
    <xf numFmtId="0" fontId="0" fillId="2" borderId="0" xfId="0" applyFill="1" applyAlignment="1" applyProtection="1">
      <alignment vertical="center" wrapText="1"/>
      <protection hidden="1"/>
    </xf>
    <xf numFmtId="0" fontId="4" fillId="0" borderId="13" xfId="0" applyFont="1" applyBorder="1" applyProtection="1">
      <protection hidden="1"/>
    </xf>
    <xf numFmtId="4" fontId="19" fillId="2" borderId="50" xfId="0" applyNumberFormat="1" applyFont="1" applyFill="1" applyBorder="1" applyAlignment="1" applyProtection="1">
      <alignment horizontal="right"/>
      <protection hidden="1"/>
    </xf>
    <xf numFmtId="171" fontId="19" fillId="2" borderId="50" xfId="0" applyNumberFormat="1" applyFont="1" applyFill="1" applyBorder="1" applyAlignment="1" applyProtection="1">
      <alignment horizontal="right"/>
      <protection hidden="1"/>
    </xf>
    <xf numFmtId="4" fontId="19" fillId="2" borderId="54" xfId="0" applyNumberFormat="1" applyFont="1" applyFill="1" applyBorder="1" applyAlignment="1" applyProtection="1">
      <alignment horizontal="right"/>
      <protection hidden="1"/>
    </xf>
    <xf numFmtId="0" fontId="4" fillId="2" borderId="8" xfId="0" applyFont="1" applyFill="1" applyBorder="1" applyProtection="1">
      <protection hidden="1"/>
    </xf>
    <xf numFmtId="49" fontId="7" fillId="2" borderId="8" xfId="0" applyNumberFormat="1" applyFont="1" applyFill="1" applyBorder="1" applyAlignment="1" applyProtection="1">
      <alignment horizontal="right"/>
      <protection hidden="1"/>
    </xf>
    <xf numFmtId="0" fontId="6" fillId="2" borderId="0" xfId="0" applyFont="1" applyFill="1" applyBorder="1" applyAlignment="1" applyProtection="1">
      <alignment horizontal="center"/>
      <protection hidden="1"/>
    </xf>
    <xf numFmtId="3" fontId="50" fillId="2" borderId="0" xfId="0" applyNumberFormat="1" applyFont="1" applyFill="1" applyBorder="1" applyProtection="1">
      <protection hidden="1"/>
    </xf>
    <xf numFmtId="0" fontId="60" fillId="2" borderId="0" xfId="0" applyFont="1" applyFill="1" applyBorder="1" applyProtection="1">
      <protection hidden="1"/>
    </xf>
    <xf numFmtId="3" fontId="50" fillId="2" borderId="5" xfId="0" applyNumberFormat="1" applyFont="1" applyFill="1" applyBorder="1" applyProtection="1">
      <protection hidden="1"/>
    </xf>
    <xf numFmtId="1" fontId="4" fillId="0" borderId="0" xfId="0" applyNumberFormat="1" applyFont="1" applyFill="1" applyBorder="1" applyAlignment="1" applyProtection="1">
      <alignment horizontal="center"/>
      <protection hidden="1"/>
    </xf>
    <xf numFmtId="0" fontId="67" fillId="2" borderId="0" xfId="0" applyFont="1" applyFill="1" applyProtection="1">
      <protection hidden="1"/>
    </xf>
    <xf numFmtId="4" fontId="23" fillId="2" borderId="0" xfId="0" applyNumberFormat="1" applyFont="1" applyFill="1" applyProtection="1">
      <protection hidden="1"/>
    </xf>
    <xf numFmtId="164" fontId="63" fillId="2" borderId="0" xfId="0" applyNumberFormat="1" applyFont="1" applyFill="1" applyBorder="1" applyProtection="1">
      <protection hidden="1"/>
    </xf>
    <xf numFmtId="164" fontId="63" fillId="2" borderId="0" xfId="0" applyNumberFormat="1" applyFont="1" applyFill="1" applyBorder="1" applyAlignment="1" applyProtection="1">
      <alignment horizontal="right"/>
      <protection hidden="1"/>
    </xf>
    <xf numFmtId="164" fontId="4" fillId="2" borderId="8" xfId="0" applyNumberFormat="1" applyFont="1" applyFill="1" applyBorder="1" applyAlignment="1" applyProtection="1">
      <alignment vertical="top"/>
      <protection hidden="1"/>
    </xf>
    <xf numFmtId="0" fontId="95" fillId="2" borderId="5" xfId="0" applyFont="1" applyFill="1" applyBorder="1" applyAlignment="1" applyProtection="1">
      <protection hidden="1"/>
    </xf>
    <xf numFmtId="0" fontId="2" fillId="2" borderId="8" xfId="0" applyFont="1" applyFill="1" applyBorder="1" applyAlignment="1" applyProtection="1">
      <alignment horizontal="left"/>
      <protection hidden="1"/>
    </xf>
    <xf numFmtId="0" fontId="0" fillId="0" borderId="0" xfId="0" applyBorder="1" applyAlignment="1" applyProtection="1">
      <alignment horizontal="center"/>
      <protection hidden="1"/>
    </xf>
    <xf numFmtId="38" fontId="0" fillId="2" borderId="21" xfId="0" applyNumberFormat="1" applyFill="1" applyBorder="1" applyProtection="1">
      <protection locked="0"/>
    </xf>
    <xf numFmtId="40" fontId="67" fillId="2" borderId="0" xfId="0" applyNumberFormat="1" applyFont="1" applyFill="1" applyBorder="1" applyAlignment="1" applyProtection="1">
      <alignment horizontal="center"/>
      <protection hidden="1"/>
    </xf>
    <xf numFmtId="40" fontId="80" fillId="2" borderId="0" xfId="0" applyNumberFormat="1" applyFont="1" applyFill="1" applyBorder="1" applyProtection="1">
      <protection hidden="1"/>
    </xf>
    <xf numFmtId="0" fontId="67" fillId="2" borderId="0" xfId="0" applyFont="1" applyFill="1" applyBorder="1" applyAlignment="1" applyProtection="1">
      <alignment horizontal="center"/>
      <protection hidden="1"/>
    </xf>
    <xf numFmtId="0" fontId="80" fillId="2" borderId="0" xfId="0" applyFont="1" applyFill="1" applyBorder="1" applyProtection="1">
      <protection hidden="1"/>
    </xf>
    <xf numFmtId="38" fontId="23" fillId="2" borderId="0" xfId="0" applyNumberFormat="1" applyFont="1" applyFill="1" applyBorder="1" applyProtection="1">
      <protection hidden="1"/>
    </xf>
    <xf numFmtId="0" fontId="16" fillId="2" borderId="9" xfId="0" applyFont="1" applyFill="1" applyBorder="1" applyAlignment="1" applyProtection="1">
      <alignment vertical="center"/>
      <protection hidden="1"/>
    </xf>
    <xf numFmtId="0" fontId="7" fillId="2" borderId="0" xfId="0" applyFont="1" applyFill="1" applyBorder="1" applyAlignment="1" applyProtection="1">
      <alignment horizontal="right"/>
      <protection hidden="1"/>
    </xf>
    <xf numFmtId="0" fontId="16" fillId="2" borderId="0" xfId="0" applyFont="1" applyFill="1" applyBorder="1" applyAlignment="1" applyProtection="1">
      <protection hidden="1"/>
    </xf>
    <xf numFmtId="0" fontId="17" fillId="2" borderId="1" xfId="0" applyFont="1" applyFill="1" applyBorder="1" applyAlignment="1" applyProtection="1">
      <alignment vertical="top" wrapText="1"/>
      <protection hidden="1"/>
    </xf>
    <xf numFmtId="0" fontId="17" fillId="2" borderId="0" xfId="0" applyFont="1" applyFill="1" applyBorder="1" applyAlignment="1" applyProtection="1">
      <alignment vertical="top"/>
      <protection hidden="1"/>
    </xf>
    <xf numFmtId="0" fontId="16" fillId="2" borderId="0" xfId="0" applyFont="1" applyFill="1" applyBorder="1" applyAlignment="1" applyProtection="1">
      <alignment vertical="top"/>
      <protection hidden="1"/>
    </xf>
    <xf numFmtId="1" fontId="102" fillId="3" borderId="0" xfId="0" applyNumberFormat="1" applyFont="1" applyFill="1" applyBorder="1" applyAlignment="1" applyProtection="1">
      <alignment horizontal="left" vertical="center"/>
      <protection hidden="1"/>
    </xf>
    <xf numFmtId="0" fontId="8" fillId="2" borderId="0" xfId="0" applyFont="1" applyFill="1" applyBorder="1" applyAlignment="1" applyProtection="1">
      <alignment vertical="top"/>
      <protection hidden="1"/>
    </xf>
    <xf numFmtId="0" fontId="12" fillId="3" borderId="1" xfId="0" applyFont="1" applyFill="1" applyBorder="1" applyAlignment="1" applyProtection="1">
      <alignment horizontal="left"/>
      <protection hidden="1"/>
    </xf>
    <xf numFmtId="0" fontId="7" fillId="3" borderId="0" xfId="0" applyFont="1" applyFill="1" applyBorder="1" applyAlignment="1" applyProtection="1">
      <alignment horizontal="right" vertical="center"/>
      <protection hidden="1"/>
    </xf>
    <xf numFmtId="0" fontId="7" fillId="3" borderId="13" xfId="0" applyFont="1" applyFill="1" applyBorder="1" applyAlignment="1" applyProtection="1">
      <alignment horizontal="center"/>
      <protection hidden="1"/>
    </xf>
    <xf numFmtId="0" fontId="11" fillId="3" borderId="0" xfId="0" applyFont="1" applyFill="1" applyBorder="1" applyAlignment="1" applyProtection="1">
      <alignment horizontal="center"/>
      <protection hidden="1"/>
    </xf>
    <xf numFmtId="0" fontId="4" fillId="3" borderId="8" xfId="0" applyFont="1" applyFill="1" applyBorder="1" applyAlignment="1" applyProtection="1">
      <alignment horizontal="left" vertical="top"/>
      <protection hidden="1"/>
    </xf>
    <xf numFmtId="0" fontId="9" fillId="3" borderId="8" xfId="0" applyFont="1" applyFill="1" applyBorder="1" applyAlignment="1" applyProtection="1">
      <alignment vertical="top"/>
      <protection hidden="1"/>
    </xf>
    <xf numFmtId="0" fontId="9" fillId="3" borderId="8" xfId="0" applyFont="1" applyFill="1" applyBorder="1" applyAlignment="1" applyProtection="1">
      <alignment horizontal="center" vertical="top"/>
      <protection hidden="1"/>
    </xf>
    <xf numFmtId="4" fontId="8" fillId="3" borderId="8" xfId="0" applyNumberFormat="1" applyFont="1" applyFill="1" applyBorder="1" applyAlignment="1" applyProtection="1">
      <alignment vertical="top"/>
      <protection hidden="1"/>
    </xf>
    <xf numFmtId="39" fontId="9" fillId="3" borderId="8" xfId="0" applyNumberFormat="1" applyFont="1" applyFill="1" applyBorder="1" applyAlignment="1" applyProtection="1">
      <alignment vertical="top"/>
      <protection hidden="1"/>
    </xf>
    <xf numFmtId="0" fontId="7" fillId="3" borderId="8" xfId="0" applyFont="1" applyFill="1" applyBorder="1" applyAlignment="1" applyProtection="1">
      <alignment horizontal="center" vertical="top"/>
      <protection hidden="1"/>
    </xf>
    <xf numFmtId="4" fontId="1" fillId="3" borderId="8" xfId="0" applyNumberFormat="1" applyFont="1" applyFill="1" applyBorder="1" applyAlignment="1" applyProtection="1">
      <alignment horizontal="right" vertical="top"/>
      <protection hidden="1"/>
    </xf>
    <xf numFmtId="0" fontId="9" fillId="3" borderId="1" xfId="0" quotePrefix="1" applyFont="1" applyFill="1" applyBorder="1" applyAlignment="1" applyProtection="1">
      <alignment horizontal="left"/>
      <protection hidden="1"/>
    </xf>
    <xf numFmtId="4" fontId="5" fillId="3" borderId="5" xfId="0" applyNumberFormat="1" applyFont="1" applyFill="1" applyBorder="1" applyAlignment="1" applyProtection="1">
      <alignment horizontal="right"/>
      <protection hidden="1"/>
    </xf>
    <xf numFmtId="0" fontId="57" fillId="11" borderId="26" xfId="0" applyFont="1" applyFill="1" applyBorder="1" applyProtection="1">
      <protection hidden="1"/>
    </xf>
    <xf numFmtId="4" fontId="8" fillId="3" borderId="25" xfId="0" applyNumberFormat="1" applyFont="1" applyFill="1" applyBorder="1" applyAlignment="1" applyProtection="1">
      <alignment horizontal="left"/>
      <protection hidden="1"/>
    </xf>
    <xf numFmtId="3" fontId="103" fillId="3" borderId="25" xfId="0" applyNumberFormat="1" applyFont="1" applyFill="1" applyBorder="1" applyAlignment="1" applyProtection="1">
      <alignment horizontal="right"/>
      <protection hidden="1"/>
    </xf>
    <xf numFmtId="37" fontId="5" fillId="3" borderId="31" xfId="0" applyNumberFormat="1" applyFont="1" applyFill="1" applyBorder="1" applyAlignment="1" applyProtection="1">
      <alignment horizontal="right"/>
      <protection hidden="1"/>
    </xf>
    <xf numFmtId="39" fontId="19" fillId="3" borderId="3" xfId="0" applyNumberFormat="1" applyFont="1" applyFill="1" applyBorder="1" applyAlignment="1" applyProtection="1">
      <alignment horizontal="right"/>
      <protection hidden="1"/>
    </xf>
    <xf numFmtId="37" fontId="50" fillId="3" borderId="3" xfId="0" applyNumberFormat="1" applyFont="1" applyFill="1" applyBorder="1" applyAlignment="1" applyProtection="1">
      <alignment horizontal="right"/>
      <protection hidden="1"/>
    </xf>
    <xf numFmtId="4" fontId="11" fillId="3" borderId="9" xfId="0" applyNumberFormat="1" applyFont="1" applyFill="1" applyBorder="1" applyAlignment="1" applyProtection="1">
      <alignment horizontal="right"/>
      <protection hidden="1"/>
    </xf>
    <xf numFmtId="0" fontId="0" fillId="6" borderId="0" xfId="0" applyFill="1" applyBorder="1" applyAlignment="1" applyProtection="1">
      <alignment horizontal="right"/>
      <protection hidden="1"/>
    </xf>
    <xf numFmtId="0" fontId="8" fillId="5" borderId="0" xfId="0" applyFont="1" applyFill="1" applyProtection="1">
      <protection hidden="1"/>
    </xf>
    <xf numFmtId="0" fontId="11" fillId="0" borderId="0" xfId="0" applyFont="1" applyProtection="1">
      <protection hidden="1"/>
    </xf>
    <xf numFmtId="4" fontId="0" fillId="2" borderId="0" xfId="0" applyNumberFormat="1" applyFill="1" applyAlignment="1" applyProtection="1">
      <alignment horizontal="right"/>
      <protection hidden="1"/>
    </xf>
    <xf numFmtId="0" fontId="4" fillId="3" borderId="1" xfId="0" applyFont="1" applyFill="1" applyBorder="1" applyAlignment="1" applyProtection="1">
      <alignment horizontal="right"/>
      <protection hidden="1"/>
    </xf>
    <xf numFmtId="49" fontId="49" fillId="3" borderId="1" xfId="0" applyNumberFormat="1" applyFont="1" applyFill="1" applyBorder="1" applyAlignment="1" applyProtection="1">
      <alignment horizontal="right"/>
      <protection hidden="1"/>
    </xf>
    <xf numFmtId="4" fontId="90" fillId="3" borderId="0" xfId="0" applyNumberFormat="1" applyFont="1" applyFill="1" applyBorder="1" applyAlignment="1" applyProtection="1">
      <alignment horizontal="left"/>
      <protection hidden="1"/>
    </xf>
    <xf numFmtId="0" fontId="4" fillId="3" borderId="1" xfId="0" applyFont="1" applyFill="1" applyBorder="1" applyAlignment="1" applyProtection="1">
      <alignment horizontal="left"/>
      <protection hidden="1"/>
    </xf>
    <xf numFmtId="0" fontId="66" fillId="3" borderId="1" xfId="0" applyFont="1" applyFill="1" applyBorder="1" applyAlignment="1" applyProtection="1">
      <alignment horizontal="right"/>
      <protection hidden="1"/>
    </xf>
    <xf numFmtId="0" fontId="16" fillId="3" borderId="1" xfId="0" applyFont="1" applyFill="1" applyBorder="1" applyAlignment="1" applyProtection="1">
      <alignment horizontal="right"/>
      <protection hidden="1"/>
    </xf>
    <xf numFmtId="0" fontId="90" fillId="5" borderId="0" xfId="0" applyFont="1" applyFill="1" applyAlignment="1" applyProtection="1">
      <alignment horizontal="center"/>
      <protection hidden="1"/>
    </xf>
    <xf numFmtId="0" fontId="8" fillId="5" borderId="0" xfId="0" applyFont="1" applyFill="1" applyAlignment="1" applyProtection="1">
      <protection hidden="1"/>
    </xf>
    <xf numFmtId="0" fontId="19" fillId="0" borderId="56" xfId="0" applyFont="1" applyBorder="1" applyAlignment="1" applyProtection="1">
      <alignment horizontal="right"/>
      <protection hidden="1"/>
    </xf>
    <xf numFmtId="0" fontId="19" fillId="0" borderId="8" xfId="0" applyFont="1" applyBorder="1" applyAlignment="1" applyProtection="1">
      <alignment horizontal="right"/>
      <protection hidden="1"/>
    </xf>
    <xf numFmtId="0" fontId="19" fillId="0" borderId="20" xfId="0" applyFont="1" applyBorder="1" applyAlignment="1" applyProtection="1">
      <alignment horizontal="right"/>
      <protection hidden="1"/>
    </xf>
    <xf numFmtId="0" fontId="19" fillId="0" borderId="57" xfId="0" applyFont="1" applyBorder="1" applyAlignment="1" applyProtection="1">
      <alignment horizontal="right"/>
      <protection hidden="1"/>
    </xf>
    <xf numFmtId="0" fontId="19" fillId="0" borderId="1" xfId="0" applyFont="1" applyBorder="1" applyAlignment="1" applyProtection="1">
      <alignment horizontal="right"/>
      <protection hidden="1"/>
    </xf>
    <xf numFmtId="3" fontId="19" fillId="0" borderId="58" xfId="0" applyNumberFormat="1" applyFont="1" applyBorder="1" applyAlignment="1" applyProtection="1">
      <alignment horizontal="right"/>
      <protection hidden="1"/>
    </xf>
    <xf numFmtId="0" fontId="19" fillId="0" borderId="5" xfId="0" applyFont="1" applyBorder="1" applyAlignment="1" applyProtection="1">
      <alignment horizontal="right"/>
      <protection hidden="1"/>
    </xf>
    <xf numFmtId="0" fontId="19" fillId="0" borderId="23" xfId="0" applyFont="1" applyBorder="1" applyAlignment="1" applyProtection="1">
      <alignment horizontal="right"/>
      <protection hidden="1"/>
    </xf>
    <xf numFmtId="0" fontId="4" fillId="2" borderId="0" xfId="0" applyFont="1" applyFill="1" applyAlignment="1" applyProtection="1">
      <alignment horizontal="right" vertical="center"/>
      <protection hidden="1"/>
    </xf>
    <xf numFmtId="0" fontId="4" fillId="2" borderId="13" xfId="0" applyFont="1" applyFill="1" applyBorder="1" applyAlignment="1" applyProtection="1">
      <alignment horizontal="center" vertical="center"/>
      <protection hidden="1"/>
    </xf>
    <xf numFmtId="0" fontId="8" fillId="14" borderId="0" xfId="0" applyFont="1" applyFill="1" applyAlignment="1" applyProtection="1">
      <alignment horizontal="center"/>
      <protection hidden="1"/>
    </xf>
    <xf numFmtId="3" fontId="0" fillId="2" borderId="13" xfId="0" applyNumberFormat="1" applyFill="1" applyBorder="1" applyAlignment="1" applyProtection="1">
      <alignment vertical="center"/>
      <protection locked="0"/>
    </xf>
    <xf numFmtId="0" fontId="4" fillId="2" borderId="12" xfId="0" applyFont="1" applyFill="1" applyBorder="1" applyAlignment="1" applyProtection="1">
      <alignment horizontal="right"/>
      <protection hidden="1"/>
    </xf>
    <xf numFmtId="0" fontId="4" fillId="2" borderId="25" xfId="0" applyFont="1" applyFill="1" applyBorder="1" applyAlignment="1" applyProtection="1">
      <alignment horizontal="right"/>
      <protection hidden="1"/>
    </xf>
    <xf numFmtId="0" fontId="4" fillId="2" borderId="0" xfId="0" applyFont="1" applyFill="1" applyAlignment="1" applyProtection="1">
      <protection hidden="1"/>
    </xf>
    <xf numFmtId="0" fontId="4" fillId="2" borderId="0" xfId="0" applyFont="1" applyFill="1" applyAlignment="1" applyProtection="1">
      <alignment horizontal="right" vertical="top"/>
      <protection hidden="1"/>
    </xf>
    <xf numFmtId="0" fontId="0" fillId="10" borderId="0" xfId="0" applyFill="1" applyAlignment="1" applyProtection="1">
      <alignment vertical="top"/>
      <protection hidden="1"/>
    </xf>
    <xf numFmtId="0" fontId="0" fillId="2" borderId="6" xfId="0" applyFill="1" applyBorder="1" applyAlignment="1" applyProtection="1">
      <alignment horizontal="center"/>
      <protection hidden="1"/>
    </xf>
    <xf numFmtId="0" fontId="0" fillId="2" borderId="22" xfId="0" applyFill="1" applyBorder="1" applyAlignment="1" applyProtection="1">
      <alignment horizontal="center"/>
      <protection hidden="1"/>
    </xf>
    <xf numFmtId="0" fontId="23" fillId="2" borderId="6" xfId="0" applyFont="1" applyFill="1" applyBorder="1" applyAlignment="1" applyProtection="1">
      <alignment horizontal="center"/>
      <protection hidden="1"/>
    </xf>
    <xf numFmtId="0" fontId="6" fillId="2" borderId="2" xfId="0" applyFont="1" applyFill="1" applyBorder="1" applyAlignment="1" applyProtection="1">
      <alignment horizontal="center" vertical="center"/>
      <protection locked="0"/>
    </xf>
    <xf numFmtId="0" fontId="0" fillId="2" borderId="24" xfId="0" applyFill="1" applyBorder="1" applyAlignment="1" applyProtection="1">
      <alignment horizontal="center"/>
      <protection hidden="1"/>
    </xf>
    <xf numFmtId="0" fontId="13" fillId="2" borderId="0" xfId="0" applyFont="1" applyFill="1" applyBorder="1" applyAlignment="1" applyProtection="1">
      <alignment horizontal="right"/>
      <protection hidden="1"/>
    </xf>
    <xf numFmtId="40" fontId="2" fillId="2" borderId="0" xfId="0" applyNumberFormat="1" applyFont="1" applyFill="1" applyBorder="1" applyAlignment="1" applyProtection="1">
      <alignment horizontal="left" vertical="top"/>
      <protection hidden="1"/>
    </xf>
    <xf numFmtId="0" fontId="25" fillId="2" borderId="0" xfId="0" applyFont="1" applyFill="1" applyBorder="1" applyProtection="1">
      <protection hidden="1"/>
    </xf>
    <xf numFmtId="0" fontId="47" fillId="2" borderId="0" xfId="0" applyFont="1" applyFill="1" applyBorder="1" applyProtection="1">
      <protection hidden="1"/>
    </xf>
    <xf numFmtId="40" fontId="0" fillId="2" borderId="0" xfId="0" applyNumberFormat="1" applyFill="1" applyBorder="1" applyAlignment="1" applyProtection="1">
      <alignment vertical="center"/>
      <protection hidden="1"/>
    </xf>
    <xf numFmtId="37" fontId="6" fillId="2" borderId="0" xfId="0" applyNumberFormat="1" applyFont="1" applyFill="1" applyBorder="1" applyProtection="1">
      <protection hidden="1"/>
    </xf>
    <xf numFmtId="37" fontId="6" fillId="2" borderId="9" xfId="0" applyNumberFormat="1" applyFont="1" applyFill="1" applyBorder="1" applyProtection="1">
      <protection hidden="1"/>
    </xf>
    <xf numFmtId="0" fontId="10" fillId="2" borderId="5" xfId="0" applyFont="1" applyFill="1" applyBorder="1" applyProtection="1">
      <protection hidden="1"/>
    </xf>
    <xf numFmtId="0" fontId="16" fillId="3" borderId="0" xfId="0" applyFont="1" applyFill="1" applyAlignment="1" applyProtection="1">
      <alignment horizontal="center"/>
      <protection hidden="1"/>
    </xf>
    <xf numFmtId="0" fontId="4" fillId="2" borderId="0" xfId="0" applyFont="1" applyFill="1" applyBorder="1" applyAlignment="1" applyProtection="1">
      <alignment horizontal="center" wrapText="1"/>
      <protection locked="0"/>
    </xf>
    <xf numFmtId="0" fontId="23" fillId="4" borderId="0" xfId="0" applyFont="1" applyFill="1" applyAlignment="1" applyProtection="1">
      <alignment horizontal="center"/>
      <protection locked="0"/>
    </xf>
    <xf numFmtId="0" fontId="17" fillId="3" borderId="8" xfId="0" applyFont="1" applyFill="1" applyBorder="1" applyProtection="1">
      <protection hidden="1"/>
    </xf>
    <xf numFmtId="0" fontId="7" fillId="3" borderId="8" xfId="0" applyFont="1" applyFill="1" applyBorder="1" applyAlignment="1" applyProtection="1">
      <alignment horizontal="left"/>
      <protection hidden="1"/>
    </xf>
    <xf numFmtId="0" fontId="7" fillId="3" borderId="37" xfId="0" applyFont="1" applyFill="1" applyBorder="1" applyAlignment="1" applyProtection="1">
      <alignment horizontal="left"/>
      <protection hidden="1"/>
    </xf>
    <xf numFmtId="4" fontId="0" fillId="3" borderId="12" xfId="0" applyNumberFormat="1" applyFill="1" applyBorder="1" applyProtection="1">
      <protection hidden="1"/>
    </xf>
    <xf numFmtId="4" fontId="4" fillId="3" borderId="25" xfId="0" applyNumberFormat="1" applyFont="1" applyFill="1" applyBorder="1" applyAlignment="1" applyProtection="1">
      <alignment horizontal="right"/>
      <protection hidden="1"/>
    </xf>
    <xf numFmtId="4" fontId="0" fillId="0" borderId="0" xfId="0" applyNumberFormat="1" applyFill="1" applyProtection="1"/>
    <xf numFmtId="0" fontId="1" fillId="0" borderId="0" xfId="0" applyFont="1" applyFill="1" applyProtection="1"/>
    <xf numFmtId="0" fontId="8" fillId="0" borderId="0" xfId="0" applyFont="1" applyFill="1" applyProtection="1"/>
    <xf numFmtId="0" fontId="6" fillId="0" borderId="0" xfId="0" applyFont="1" applyFill="1" applyBorder="1" applyAlignment="1" applyProtection="1">
      <alignment horizontal="right" vertical="center"/>
      <protection hidden="1"/>
    </xf>
    <xf numFmtId="0" fontId="5" fillId="0" borderId="0" xfId="0" applyFont="1" applyFill="1" applyBorder="1" applyAlignment="1" applyProtection="1">
      <alignment horizontal="left" vertical="center"/>
      <protection hidden="1"/>
    </xf>
    <xf numFmtId="4" fontId="5" fillId="0" borderId="0" xfId="0" applyNumberFormat="1" applyFont="1" applyFill="1" applyBorder="1" applyAlignment="1" applyProtection="1">
      <alignment horizontal="left" vertical="center"/>
      <protection hidden="1"/>
    </xf>
    <xf numFmtId="39" fontId="5" fillId="0" borderId="0" xfId="0" applyNumberFormat="1" applyFont="1" applyFill="1" applyBorder="1" applyAlignment="1" applyProtection="1">
      <alignment horizontal="center" vertical="center"/>
    </xf>
    <xf numFmtId="39" fontId="5" fillId="0" borderId="0" xfId="0" applyNumberFormat="1" applyFont="1" applyFill="1" applyBorder="1" applyAlignment="1" applyProtection="1">
      <alignment horizontal="right" vertical="center"/>
      <protection hidden="1"/>
    </xf>
    <xf numFmtId="39" fontId="5" fillId="0" borderId="0" xfId="0" applyNumberFormat="1" applyFont="1" applyFill="1" applyBorder="1" applyAlignment="1" applyProtection="1">
      <alignment horizontal="center" vertical="center"/>
      <protection hidden="1"/>
    </xf>
    <xf numFmtId="0" fontId="0" fillId="0" borderId="0" xfId="0" applyBorder="1" applyAlignment="1" applyProtection="1">
      <alignment wrapText="1"/>
      <protection hidden="1"/>
    </xf>
    <xf numFmtId="0" fontId="5" fillId="3" borderId="0" xfId="0" applyFont="1" applyFill="1" applyAlignment="1" applyProtection="1">
      <alignment horizontal="left" vertical="center"/>
      <protection hidden="1"/>
    </xf>
    <xf numFmtId="0" fontId="5" fillId="3" borderId="0" xfId="0" applyFont="1" applyFill="1" applyAlignment="1" applyProtection="1">
      <alignment vertical="center"/>
      <protection hidden="1"/>
    </xf>
    <xf numFmtId="0" fontId="67" fillId="2" borderId="0" xfId="0" applyFont="1" applyFill="1" applyAlignment="1" applyProtection="1">
      <alignment horizontal="center"/>
      <protection hidden="1"/>
    </xf>
    <xf numFmtId="0" fontId="11" fillId="5" borderId="0" xfId="0" applyFont="1" applyFill="1" applyAlignment="1" applyProtection="1">
      <alignment horizontal="center"/>
      <protection hidden="1"/>
    </xf>
    <xf numFmtId="4" fontId="4" fillId="3" borderId="1" xfId="0" applyNumberFormat="1" applyFont="1" applyFill="1" applyBorder="1" applyAlignment="1" applyProtection="1">
      <alignment horizontal="right"/>
      <protection hidden="1"/>
    </xf>
    <xf numFmtId="0" fontId="19" fillId="5" borderId="0" xfId="0" applyFont="1" applyFill="1" applyProtection="1">
      <protection hidden="1"/>
    </xf>
    <xf numFmtId="37" fontId="5" fillId="3" borderId="3" xfId="0" applyNumberFormat="1" applyFont="1" applyFill="1" applyBorder="1" applyAlignment="1" applyProtection="1">
      <alignment horizontal="right"/>
      <protection hidden="1"/>
    </xf>
    <xf numFmtId="4" fontId="11" fillId="3" borderId="8" xfId="0" applyNumberFormat="1" applyFont="1" applyFill="1" applyBorder="1" applyProtection="1">
      <protection hidden="1"/>
    </xf>
    <xf numFmtId="4" fontId="12" fillId="3" borderId="8" xfId="0" applyNumberFormat="1" applyFont="1" applyFill="1" applyBorder="1" applyProtection="1">
      <protection hidden="1"/>
    </xf>
    <xf numFmtId="4" fontId="5" fillId="3" borderId="8" xfId="0" applyNumberFormat="1" applyFont="1" applyFill="1" applyBorder="1" applyAlignment="1" applyProtection="1">
      <alignment horizontal="right"/>
      <protection hidden="1"/>
    </xf>
    <xf numFmtId="1" fontId="5" fillId="3" borderId="8" xfId="0" applyNumberFormat="1" applyFont="1" applyFill="1" applyBorder="1" applyAlignment="1" applyProtection="1">
      <alignment horizontal="center"/>
      <protection hidden="1"/>
    </xf>
    <xf numFmtId="0" fontId="1" fillId="3" borderId="13" xfId="0" applyFont="1" applyFill="1" applyBorder="1" applyAlignment="1" applyProtection="1">
      <alignment horizontal="right"/>
      <protection hidden="1"/>
    </xf>
    <xf numFmtId="0" fontId="4" fillId="3" borderId="11" xfId="0" applyFont="1" applyFill="1" applyBorder="1" applyAlignment="1" applyProtection="1">
      <alignment horizontal="right"/>
      <protection hidden="1"/>
    </xf>
    <xf numFmtId="0" fontId="1" fillId="0" borderId="0" xfId="0" applyFont="1" applyFill="1" applyProtection="1">
      <protection hidden="1"/>
    </xf>
    <xf numFmtId="4" fontId="0" fillId="0" borderId="0" xfId="0" applyNumberFormat="1" applyFill="1" applyAlignment="1" applyProtection="1">
      <alignment horizontal="right"/>
      <protection hidden="1"/>
    </xf>
    <xf numFmtId="4" fontId="0" fillId="0" borderId="0" xfId="0" applyNumberFormat="1" applyFill="1" applyAlignment="1" applyProtection="1">
      <alignment horizontal="left"/>
      <protection hidden="1"/>
    </xf>
    <xf numFmtId="0" fontId="5" fillId="5" borderId="0" xfId="0" applyFont="1" applyFill="1" applyProtection="1">
      <protection hidden="1"/>
    </xf>
    <xf numFmtId="0" fontId="6" fillId="3" borderId="0" xfId="0" applyFont="1" applyFill="1" applyBorder="1" applyAlignment="1" applyProtection="1">
      <alignment horizontal="right"/>
      <protection hidden="1"/>
    </xf>
    <xf numFmtId="4" fontId="5" fillId="3" borderId="0" xfId="0" applyNumberFormat="1" applyFont="1" applyFill="1" applyBorder="1" applyAlignment="1" applyProtection="1">
      <alignment horizontal="left"/>
      <protection hidden="1"/>
    </xf>
    <xf numFmtId="1" fontId="4" fillId="3" borderId="0" xfId="0" applyNumberFormat="1" applyFont="1" applyFill="1" applyBorder="1" applyAlignment="1" applyProtection="1">
      <alignment horizontal="center"/>
      <protection hidden="1"/>
    </xf>
    <xf numFmtId="0" fontId="42" fillId="3" borderId="0" xfId="0" applyFont="1" applyFill="1" applyBorder="1" applyAlignment="1" applyProtection="1">
      <alignment horizontal="left" vertical="top"/>
      <protection hidden="1"/>
    </xf>
    <xf numFmtId="0" fontId="59" fillId="11" borderId="26" xfId="0" applyFont="1" applyFill="1" applyBorder="1" applyAlignment="1" applyProtection="1">
      <alignment vertical="center"/>
      <protection hidden="1"/>
    </xf>
    <xf numFmtId="1" fontId="15" fillId="3" borderId="0" xfId="0" applyNumberFormat="1" applyFont="1" applyFill="1" applyBorder="1" applyAlignment="1" applyProtection="1">
      <alignment horizontal="center" vertical="center"/>
      <protection hidden="1"/>
    </xf>
    <xf numFmtId="0" fontId="19" fillId="5" borderId="0" xfId="0" applyFont="1" applyFill="1" applyAlignment="1" applyProtection="1">
      <alignment vertical="center"/>
      <protection hidden="1"/>
    </xf>
    <xf numFmtId="0" fontId="19" fillId="0" borderId="0" xfId="0" applyFont="1" applyAlignment="1" applyProtection="1">
      <alignment vertical="center"/>
      <protection hidden="1"/>
    </xf>
    <xf numFmtId="4" fontId="5" fillId="3" borderId="25" xfId="0" applyNumberFormat="1" applyFont="1" applyFill="1" applyBorder="1" applyAlignment="1" applyProtection="1">
      <alignment horizontal="left"/>
      <protection hidden="1"/>
    </xf>
    <xf numFmtId="0" fontId="75" fillId="0" borderId="0" xfId="0" applyFont="1" applyProtection="1">
      <protection hidden="1"/>
    </xf>
    <xf numFmtId="3" fontId="5" fillId="2" borderId="1" xfId="0" applyNumberFormat="1" applyFont="1" applyFill="1" applyBorder="1" applyProtection="1">
      <protection locked="0"/>
    </xf>
    <xf numFmtId="3" fontId="31" fillId="0" borderId="0" xfId="0" applyNumberFormat="1" applyFont="1" applyAlignment="1" applyProtection="1">
      <alignment horizontal="right"/>
      <protection hidden="1"/>
    </xf>
    <xf numFmtId="0" fontId="31" fillId="0" borderId="0" xfId="0" applyFont="1" applyAlignment="1" applyProtection="1">
      <alignment horizontal="center"/>
      <protection hidden="1"/>
    </xf>
    <xf numFmtId="0" fontId="31" fillId="0" borderId="0" xfId="0" applyFont="1" applyProtection="1">
      <protection hidden="1"/>
    </xf>
    <xf numFmtId="0" fontId="108" fillId="5" borderId="0" xfId="0" applyFont="1" applyFill="1" applyAlignment="1" applyProtection="1">
      <alignment horizontal="center"/>
      <protection hidden="1"/>
    </xf>
    <xf numFmtId="0" fontId="0" fillId="2" borderId="23" xfId="0" applyFill="1" applyBorder="1"/>
    <xf numFmtId="0" fontId="0" fillId="5" borderId="20" xfId="0" applyFill="1" applyBorder="1" applyProtection="1">
      <protection hidden="1"/>
    </xf>
    <xf numFmtId="0" fontId="8" fillId="5" borderId="21" xfId="0" applyFont="1" applyFill="1" applyBorder="1" applyAlignment="1" applyProtection="1">
      <alignment horizontal="center"/>
      <protection hidden="1"/>
    </xf>
    <xf numFmtId="0" fontId="8" fillId="5" borderId="23" xfId="0" applyFont="1" applyFill="1" applyBorder="1" applyAlignment="1" applyProtection="1">
      <alignment horizontal="center"/>
      <protection hidden="1"/>
    </xf>
    <xf numFmtId="0" fontId="0" fillId="0" borderId="0" xfId="0" applyAlignment="1">
      <alignment vertical="top"/>
    </xf>
    <xf numFmtId="3" fontId="31" fillId="3" borderId="0" xfId="0" applyNumberFormat="1" applyFont="1" applyFill="1" applyBorder="1" applyAlignment="1" applyProtection="1">
      <alignment horizontal="right" vertical="center"/>
      <protection hidden="1"/>
    </xf>
    <xf numFmtId="0" fontId="108" fillId="0" borderId="0" xfId="0" applyFont="1" applyProtection="1">
      <protection hidden="1"/>
    </xf>
    <xf numFmtId="0" fontId="0" fillId="5" borderId="0" xfId="0" applyFill="1"/>
    <xf numFmtId="0" fontId="8" fillId="2" borderId="0" xfId="0" applyFont="1" applyFill="1" applyBorder="1" applyAlignment="1" applyProtection="1">
      <protection hidden="1"/>
    </xf>
    <xf numFmtId="0" fontId="6" fillId="2" borderId="0" xfId="0" applyFont="1" applyFill="1" applyBorder="1" applyAlignment="1" applyProtection="1">
      <alignment horizontal="left"/>
      <protection hidden="1"/>
    </xf>
    <xf numFmtId="0" fontId="6" fillId="2" borderId="0" xfId="0" applyFont="1" applyFill="1" applyBorder="1" applyAlignment="1" applyProtection="1">
      <protection hidden="1"/>
    </xf>
    <xf numFmtId="0" fontId="6" fillId="2" borderId="0" xfId="0" applyFont="1" applyFill="1" applyBorder="1" applyAlignment="1" applyProtection="1">
      <alignment vertical="top"/>
      <protection hidden="1"/>
    </xf>
    <xf numFmtId="0" fontId="0" fillId="2" borderId="1" xfId="0" applyFill="1" applyBorder="1"/>
    <xf numFmtId="0" fontId="0" fillId="0" borderId="0" xfId="0" applyBorder="1" applyAlignment="1" applyProtection="1">
      <protection hidden="1"/>
    </xf>
    <xf numFmtId="0" fontId="5" fillId="2" borderId="3" xfId="0" applyFont="1" applyFill="1" applyBorder="1" applyProtection="1">
      <protection hidden="1"/>
    </xf>
    <xf numFmtId="0" fontId="0" fillId="0" borderId="0" xfId="0" applyAlignment="1"/>
    <xf numFmtId="0" fontId="8" fillId="2" borderId="0" xfId="0" applyFont="1" applyFill="1" applyAlignment="1" applyProtection="1">
      <protection hidden="1"/>
    </xf>
    <xf numFmtId="0" fontId="6" fillId="3" borderId="0" xfId="0" applyFont="1" applyFill="1" applyAlignment="1" applyProtection="1">
      <protection hidden="1"/>
    </xf>
    <xf numFmtId="0" fontId="5" fillId="3" borderId="0" xfId="0" applyFont="1" applyFill="1" applyAlignment="1" applyProtection="1">
      <protection hidden="1"/>
    </xf>
    <xf numFmtId="0" fontId="5" fillId="3" borderId="1" xfId="0" applyFont="1" applyFill="1" applyBorder="1" applyAlignment="1" applyProtection="1">
      <protection hidden="1"/>
    </xf>
    <xf numFmtId="0" fontId="5" fillId="3" borderId="0" xfId="0" applyFont="1" applyFill="1" applyBorder="1" applyAlignment="1" applyProtection="1">
      <protection hidden="1"/>
    </xf>
    <xf numFmtId="0" fontId="6" fillId="3" borderId="5" xfId="0" applyFont="1" applyFill="1" applyBorder="1" applyAlignment="1" applyProtection="1">
      <protection hidden="1"/>
    </xf>
    <xf numFmtId="0" fontId="8" fillId="0" borderId="0" xfId="0" applyFont="1" applyAlignment="1"/>
    <xf numFmtId="0" fontId="1" fillId="3" borderId="3" xfId="0" applyFont="1" applyFill="1" applyBorder="1" applyAlignment="1" applyProtection="1">
      <alignment horizontal="center"/>
      <protection hidden="1"/>
    </xf>
    <xf numFmtId="0" fontId="16" fillId="3" borderId="0" xfId="0" applyFont="1" applyFill="1" applyAlignment="1" applyProtection="1">
      <alignment vertical="center"/>
      <protection hidden="1"/>
    </xf>
    <xf numFmtId="0" fontId="4" fillId="3" borderId="0" xfId="0" applyFont="1" applyFill="1" applyBorder="1" applyAlignment="1" applyProtection="1">
      <alignment vertical="center"/>
      <protection hidden="1"/>
    </xf>
    <xf numFmtId="0" fontId="19" fillId="0" borderId="13" xfId="0" applyFont="1" applyBorder="1" applyAlignment="1" applyProtection="1">
      <alignment horizontal="right"/>
      <protection hidden="1"/>
    </xf>
    <xf numFmtId="0" fontId="19" fillId="0" borderId="61" xfId="0" applyFont="1" applyBorder="1" applyAlignment="1" applyProtection="1">
      <alignment horizontal="right"/>
      <protection hidden="1"/>
    </xf>
    <xf numFmtId="0" fontId="51" fillId="3" borderId="0" xfId="0" applyFont="1" applyFill="1" applyBorder="1" applyAlignment="1" applyProtection="1">
      <alignment horizontal="left"/>
      <protection hidden="1"/>
    </xf>
    <xf numFmtId="4" fontId="6" fillId="3" borderId="0" xfId="0" applyNumberFormat="1" applyFont="1" applyFill="1" applyBorder="1" applyProtection="1">
      <protection hidden="1"/>
    </xf>
    <xf numFmtId="37" fontId="41" fillId="3" borderId="0" xfId="0" applyNumberFormat="1" applyFont="1" applyFill="1" applyBorder="1" applyAlignment="1" applyProtection="1">
      <alignment horizontal="right"/>
      <protection hidden="1"/>
    </xf>
    <xf numFmtId="172" fontId="9" fillId="3" borderId="0" xfId="0" applyNumberFormat="1" applyFont="1" applyFill="1" applyBorder="1" applyProtection="1">
      <protection hidden="1"/>
    </xf>
    <xf numFmtId="39" fontId="6" fillId="3" borderId="0" xfId="0" applyNumberFormat="1" applyFont="1" applyFill="1" applyBorder="1" applyAlignment="1" applyProtection="1">
      <alignment horizontal="right"/>
      <protection hidden="1"/>
    </xf>
    <xf numFmtId="39" fontId="108" fillId="3" borderId="0" xfId="0" applyNumberFormat="1" applyFont="1" applyFill="1" applyBorder="1" applyProtection="1">
      <protection hidden="1"/>
    </xf>
    <xf numFmtId="39" fontId="76" fillId="3" borderId="0" xfId="0" applyNumberFormat="1" applyFont="1" applyFill="1" applyBorder="1" applyAlignment="1" applyProtection="1">
      <alignment horizontal="left"/>
      <protection hidden="1"/>
    </xf>
    <xf numFmtId="0" fontId="13" fillId="3" borderId="0" xfId="0" applyFont="1" applyFill="1" applyBorder="1" applyProtection="1">
      <protection hidden="1"/>
    </xf>
    <xf numFmtId="0" fontId="19" fillId="3" borderId="5" xfId="0" applyFont="1" applyFill="1" applyBorder="1" applyProtection="1">
      <protection hidden="1"/>
    </xf>
    <xf numFmtId="0" fontId="4" fillId="3" borderId="5" xfId="0" applyFont="1" applyFill="1" applyBorder="1" applyProtection="1">
      <protection hidden="1"/>
    </xf>
    <xf numFmtId="4" fontId="4" fillId="3" borderId="0" xfId="0" applyNumberFormat="1" applyFont="1" applyFill="1" applyBorder="1" applyAlignment="1" applyProtection="1">
      <alignment horizontal="right"/>
      <protection hidden="1"/>
    </xf>
    <xf numFmtId="4" fontId="12" fillId="3" borderId="1" xfId="0" applyNumberFormat="1" applyFont="1" applyFill="1" applyBorder="1" applyProtection="1">
      <protection hidden="1"/>
    </xf>
    <xf numFmtId="4" fontId="4" fillId="3" borderId="0" xfId="0" applyNumberFormat="1" applyFont="1" applyFill="1" applyBorder="1" applyAlignment="1" applyProtection="1">
      <protection hidden="1"/>
    </xf>
    <xf numFmtId="0" fontId="19" fillId="3" borderId="0" xfId="0" applyFont="1" applyFill="1" applyBorder="1" applyAlignment="1" applyProtection="1">
      <alignment vertical="center"/>
      <protection hidden="1"/>
    </xf>
    <xf numFmtId="4" fontId="4" fillId="3" borderId="0" xfId="0" applyNumberFormat="1" applyFont="1" applyFill="1" applyBorder="1" applyProtection="1">
      <protection hidden="1"/>
    </xf>
    <xf numFmtId="0" fontId="19" fillId="0" borderId="0" xfId="0" applyFont="1"/>
    <xf numFmtId="4" fontId="19" fillId="3" borderId="0" xfId="0" applyNumberFormat="1" applyFont="1" applyFill="1" applyBorder="1" applyAlignment="1" applyProtection="1">
      <protection hidden="1"/>
    </xf>
    <xf numFmtId="0" fontId="19" fillId="3" borderId="0" xfId="0" applyFont="1" applyFill="1" applyBorder="1" applyAlignment="1" applyProtection="1">
      <protection hidden="1"/>
    </xf>
    <xf numFmtId="4" fontId="19" fillId="3" borderId="0" xfId="0" applyNumberFormat="1" applyFont="1" applyFill="1" applyBorder="1" applyAlignment="1" applyProtection="1">
      <alignment vertical="center"/>
      <protection hidden="1"/>
    </xf>
    <xf numFmtId="4" fontId="4" fillId="3" borderId="0" xfId="0" applyNumberFormat="1" applyFont="1" applyFill="1" applyBorder="1" applyAlignment="1" applyProtection="1">
      <alignment vertical="center"/>
      <protection hidden="1"/>
    </xf>
    <xf numFmtId="0" fontId="4" fillId="0" borderId="0" xfId="0" applyFont="1" applyAlignment="1" applyProtection="1">
      <alignment vertical="center"/>
      <protection hidden="1"/>
    </xf>
    <xf numFmtId="0" fontId="19" fillId="0" borderId="0" xfId="0" applyFont="1" applyAlignment="1">
      <alignment vertical="center"/>
    </xf>
    <xf numFmtId="0" fontId="4" fillId="3" borderId="0" xfId="0" applyFont="1" applyFill="1" applyBorder="1" applyAlignment="1" applyProtection="1">
      <protection hidden="1"/>
    </xf>
    <xf numFmtId="0" fontId="19" fillId="0" borderId="0" xfId="0" applyFont="1" applyAlignment="1"/>
    <xf numFmtId="0" fontId="4" fillId="0" borderId="0" xfId="0" applyFont="1" applyAlignment="1" applyProtection="1">
      <protection hidden="1"/>
    </xf>
    <xf numFmtId="0" fontId="16" fillId="3" borderId="0" xfId="0" applyFont="1" applyFill="1" applyBorder="1" applyAlignment="1" applyProtection="1">
      <alignment vertical="center"/>
      <protection hidden="1"/>
    </xf>
    <xf numFmtId="0" fontId="55" fillId="3" borderId="0" xfId="0" applyFont="1" applyFill="1" applyBorder="1" applyAlignment="1" applyProtection="1">
      <alignment vertical="center"/>
      <protection hidden="1"/>
    </xf>
    <xf numFmtId="4" fontId="55" fillId="3" borderId="0" xfId="0" applyNumberFormat="1" applyFont="1" applyFill="1" applyBorder="1" applyAlignment="1" applyProtection="1">
      <alignment vertical="center"/>
      <protection hidden="1"/>
    </xf>
    <xf numFmtId="0" fontId="55" fillId="0" borderId="0" xfId="0" applyFont="1" applyAlignment="1" applyProtection="1">
      <alignment vertical="center"/>
      <protection hidden="1"/>
    </xf>
    <xf numFmtId="0" fontId="0" fillId="0" borderId="0" xfId="0" applyAlignment="1">
      <alignment vertical="center"/>
    </xf>
    <xf numFmtId="4" fontId="19" fillId="3" borderId="5" xfId="0" applyNumberFormat="1" applyFont="1" applyFill="1" applyBorder="1" applyProtection="1">
      <protection hidden="1"/>
    </xf>
    <xf numFmtId="0" fontId="57" fillId="11" borderId="1" xfId="0" applyFont="1" applyFill="1" applyBorder="1" applyProtection="1">
      <protection hidden="1"/>
    </xf>
    <xf numFmtId="0" fontId="4" fillId="3" borderId="0" xfId="0" applyFont="1" applyFill="1" applyBorder="1" applyAlignment="1" applyProtection="1">
      <alignment horizontal="center" vertical="center"/>
      <protection hidden="1"/>
    </xf>
    <xf numFmtId="0" fontId="19" fillId="3" borderId="5" xfId="0" applyFont="1" applyFill="1" applyBorder="1" applyAlignment="1" applyProtection="1">
      <alignment horizontal="center"/>
      <protection hidden="1"/>
    </xf>
    <xf numFmtId="0" fontId="4" fillId="3" borderId="3" xfId="0" applyFont="1" applyFill="1" applyBorder="1" applyAlignment="1" applyProtection="1">
      <alignment horizontal="center" vertical="center"/>
      <protection locked="0"/>
    </xf>
    <xf numFmtId="39" fontId="0" fillId="3" borderId="3" xfId="0" applyNumberFormat="1" applyFill="1" applyBorder="1" applyProtection="1">
      <protection hidden="1"/>
    </xf>
    <xf numFmtId="0" fontId="8" fillId="2" borderId="0" xfId="0" applyFont="1" applyFill="1" applyBorder="1" applyAlignment="1" applyProtection="1">
      <alignment horizontal="center"/>
      <protection hidden="1"/>
    </xf>
    <xf numFmtId="3" fontId="5" fillId="3" borderId="0" xfId="0" applyNumberFormat="1" applyFont="1" applyFill="1" applyBorder="1" applyAlignment="1" applyProtection="1">
      <alignment horizontal="center"/>
      <protection hidden="1"/>
    </xf>
    <xf numFmtId="0" fontId="78" fillId="5" borderId="0" xfId="2" applyFill="1" applyBorder="1" applyAlignment="1" applyProtection="1">
      <alignment horizontal="center"/>
      <protection hidden="1"/>
    </xf>
    <xf numFmtId="39" fontId="31" fillId="3" borderId="6" xfId="0" applyNumberFormat="1" applyFont="1" applyFill="1" applyBorder="1" applyAlignment="1" applyProtection="1">
      <alignment horizontal="right"/>
      <protection hidden="1"/>
    </xf>
    <xf numFmtId="0" fontId="4" fillId="3" borderId="3" xfId="0" applyFont="1" applyFill="1" applyBorder="1" applyAlignment="1" applyProtection="1">
      <alignment horizontal="left"/>
      <protection hidden="1"/>
    </xf>
    <xf numFmtId="0" fontId="23" fillId="3" borderId="0" xfId="0" applyFont="1" applyFill="1" applyBorder="1" applyAlignment="1" applyProtection="1">
      <alignment horizontal="center"/>
      <protection hidden="1"/>
    </xf>
    <xf numFmtId="0" fontId="50" fillId="3" borderId="0" xfId="0" applyFont="1" applyFill="1" applyBorder="1" applyAlignment="1" applyProtection="1">
      <alignment horizontal="center"/>
      <protection hidden="1"/>
    </xf>
    <xf numFmtId="0" fontId="5" fillId="3" borderId="3" xfId="0" applyFont="1" applyFill="1" applyBorder="1" applyAlignment="1" applyProtection="1">
      <alignment horizontal="left"/>
      <protection hidden="1"/>
    </xf>
    <xf numFmtId="0" fontId="5" fillId="3" borderId="10" xfId="0" applyFont="1" applyFill="1" applyBorder="1" applyAlignment="1" applyProtection="1">
      <alignment horizontal="left"/>
      <protection hidden="1"/>
    </xf>
    <xf numFmtId="0" fontId="5" fillId="3" borderId="1" xfId="0" applyFont="1" applyFill="1" applyBorder="1" applyAlignment="1" applyProtection="1">
      <alignment horizontal="left"/>
      <protection hidden="1"/>
    </xf>
    <xf numFmtId="0" fontId="50" fillId="3" borderId="1" xfId="0" applyFont="1" applyFill="1" applyBorder="1" applyAlignment="1" applyProtection="1">
      <alignment horizontal="center"/>
      <protection hidden="1"/>
    </xf>
    <xf numFmtId="4" fontId="5" fillId="3" borderId="30" xfId="0" applyNumberFormat="1" applyFont="1" applyFill="1" applyBorder="1" applyAlignment="1" applyProtection="1">
      <alignment horizontal="right"/>
      <protection hidden="1"/>
    </xf>
    <xf numFmtId="0" fontId="50" fillId="3" borderId="9" xfId="0" applyFont="1" applyFill="1" applyBorder="1" applyAlignment="1" applyProtection="1">
      <alignment horizontal="center"/>
      <protection hidden="1"/>
    </xf>
    <xf numFmtId="3" fontId="8" fillId="3" borderId="0" xfId="0" applyNumberFormat="1" applyFont="1" applyFill="1" applyBorder="1" applyAlignment="1" applyProtection="1">
      <alignment horizontal="center"/>
      <protection hidden="1"/>
    </xf>
    <xf numFmtId="37" fontId="50" fillId="3" borderId="0" xfId="0" applyNumberFormat="1" applyFont="1" applyFill="1" applyBorder="1" applyAlignment="1" applyProtection="1">
      <alignment horizontal="right"/>
      <protection hidden="1"/>
    </xf>
    <xf numFmtId="0" fontId="78" fillId="0" borderId="0" xfId="2" applyFill="1" applyBorder="1" applyAlignment="1" applyProtection="1">
      <alignment horizontal="center"/>
    </xf>
    <xf numFmtId="0" fontId="4" fillId="5" borderId="0" xfId="0" applyFont="1" applyFill="1" applyBorder="1" applyAlignment="1" applyProtection="1">
      <alignment horizontal="center" vertical="center"/>
      <protection hidden="1"/>
    </xf>
    <xf numFmtId="0" fontId="78" fillId="0" borderId="0" xfId="2" applyFill="1" applyBorder="1" applyAlignment="1" applyProtection="1">
      <alignment horizontal="center"/>
      <protection hidden="1"/>
    </xf>
    <xf numFmtId="0" fontId="5" fillId="5" borderId="0" xfId="0" applyFont="1" applyFill="1" applyBorder="1" applyProtection="1">
      <protection hidden="1"/>
    </xf>
    <xf numFmtId="0" fontId="0" fillId="5" borderId="0" xfId="0" applyFill="1" applyAlignment="1">
      <alignment vertical="center"/>
    </xf>
    <xf numFmtId="0" fontId="19" fillId="5" borderId="0" xfId="0" applyFont="1" applyFill="1" applyBorder="1" applyProtection="1">
      <protection hidden="1"/>
    </xf>
    <xf numFmtId="0" fontId="12" fillId="5" borderId="0" xfId="0" applyFont="1" applyFill="1" applyBorder="1" applyProtection="1">
      <protection hidden="1"/>
    </xf>
    <xf numFmtId="0" fontId="0" fillId="5" borderId="0" xfId="0" applyFill="1" applyBorder="1"/>
    <xf numFmtId="0" fontId="6" fillId="5" borderId="0" xfId="0" applyFont="1" applyFill="1" applyBorder="1" applyProtection="1">
      <protection hidden="1"/>
    </xf>
    <xf numFmtId="4" fontId="5" fillId="5" borderId="0" xfId="0" applyNumberFormat="1" applyFont="1" applyFill="1" applyBorder="1" applyProtection="1">
      <protection hidden="1"/>
    </xf>
    <xf numFmtId="39" fontId="5" fillId="5" borderId="0" xfId="0" applyNumberFormat="1" applyFont="1" applyFill="1" applyBorder="1" applyAlignment="1" applyProtection="1">
      <alignment horizontal="right"/>
      <protection hidden="1"/>
    </xf>
    <xf numFmtId="0" fontId="1" fillId="5" borderId="0" xfId="0" applyFont="1" applyFill="1" applyProtection="1"/>
    <xf numFmtId="0" fontId="52" fillId="5" borderId="0" xfId="0" applyFont="1" applyFill="1" applyProtection="1"/>
    <xf numFmtId="4" fontId="0" fillId="5" borderId="0" xfId="0" applyNumberFormat="1" applyFill="1" applyProtection="1"/>
    <xf numFmtId="0" fontId="0" fillId="5" borderId="0" xfId="0" applyFill="1" applyAlignment="1">
      <alignment horizontal="center"/>
    </xf>
    <xf numFmtId="0" fontId="0" fillId="5" borderId="0" xfId="0" applyFill="1" applyBorder="1" applyAlignment="1">
      <alignment horizontal="center"/>
    </xf>
    <xf numFmtId="0" fontId="0" fillId="5" borderId="0" xfId="0" applyFill="1" applyAlignment="1"/>
    <xf numFmtId="0" fontId="0" fillId="5" borderId="0" xfId="0" applyFill="1" applyAlignment="1">
      <alignment vertical="top"/>
    </xf>
    <xf numFmtId="0" fontId="8" fillId="5" borderId="0" xfId="0" applyFont="1" applyFill="1" applyBorder="1" applyAlignment="1" applyProtection="1">
      <alignment wrapText="1"/>
      <protection hidden="1"/>
    </xf>
    <xf numFmtId="0" fontId="22" fillId="5" borderId="0" xfId="0" applyFont="1" applyFill="1" applyBorder="1" applyAlignment="1" applyProtection="1">
      <alignment horizontal="center" vertical="center"/>
      <protection hidden="1"/>
    </xf>
    <xf numFmtId="0" fontId="8" fillId="5" borderId="0" xfId="0" applyFont="1" applyFill="1" applyBorder="1" applyAlignment="1" applyProtection="1">
      <alignment horizontal="left"/>
      <protection hidden="1"/>
    </xf>
    <xf numFmtId="0" fontId="17" fillId="5" borderId="0" xfId="0" applyFont="1" applyFill="1" applyBorder="1" applyAlignment="1" applyProtection="1">
      <alignment horizontal="right" wrapText="1"/>
      <protection hidden="1"/>
    </xf>
    <xf numFmtId="0" fontId="92" fillId="5" borderId="0" xfId="0" applyFont="1" applyFill="1" applyBorder="1" applyAlignment="1" applyProtection="1">
      <alignment horizontal="left"/>
      <protection hidden="1"/>
    </xf>
    <xf numFmtId="4" fontId="23" fillId="5" borderId="0" xfId="0" applyNumberFormat="1" applyFont="1" applyFill="1" applyBorder="1" applyProtection="1">
      <protection hidden="1"/>
    </xf>
    <xf numFmtId="0" fontId="23" fillId="5" borderId="0" xfId="0" applyFont="1" applyFill="1" applyBorder="1" applyProtection="1">
      <protection hidden="1"/>
    </xf>
    <xf numFmtId="4" fontId="23" fillId="5" borderId="0" xfId="0" applyNumberFormat="1" applyFont="1" applyFill="1" applyBorder="1" applyAlignment="1" applyProtection="1">
      <alignment horizontal="left" vertical="center" wrapText="1"/>
      <protection hidden="1"/>
    </xf>
    <xf numFmtId="4" fontId="80" fillId="5" borderId="0" xfId="0" applyNumberFormat="1" applyFont="1" applyFill="1" applyBorder="1" applyProtection="1">
      <protection hidden="1"/>
    </xf>
    <xf numFmtId="39" fontId="23" fillId="5" borderId="0" xfId="0" applyNumberFormat="1" applyFont="1" applyFill="1" applyBorder="1" applyAlignment="1" applyProtection="1">
      <alignment horizontal="right"/>
      <protection hidden="1"/>
    </xf>
    <xf numFmtId="1" fontId="23" fillId="5" borderId="0" xfId="0" applyNumberFormat="1" applyFont="1" applyFill="1" applyBorder="1" applyAlignment="1" applyProtection="1">
      <alignment horizontal="right" vertical="center"/>
      <protection hidden="1"/>
    </xf>
    <xf numFmtId="4" fontId="23" fillId="5" borderId="0" xfId="0" applyNumberFormat="1" applyFont="1" applyFill="1" applyBorder="1" applyAlignment="1" applyProtection="1">
      <alignment horizontal="right"/>
      <protection hidden="1"/>
    </xf>
    <xf numFmtId="1" fontId="97" fillId="5" borderId="0" xfId="0" applyNumberFormat="1" applyFont="1" applyFill="1" applyBorder="1" applyAlignment="1" applyProtection="1">
      <alignment horizontal="center"/>
      <protection hidden="1"/>
    </xf>
    <xf numFmtId="0" fontId="4" fillId="3" borderId="1" xfId="0" applyFont="1" applyFill="1" applyBorder="1" applyProtection="1">
      <protection hidden="1"/>
    </xf>
    <xf numFmtId="0" fontId="0" fillId="5" borderId="0" xfId="0" applyFill="1" applyAlignment="1" applyProtection="1">
      <protection hidden="1"/>
    </xf>
    <xf numFmtId="0" fontId="0" fillId="5" borderId="0" xfId="0" applyFill="1" applyAlignment="1" applyProtection="1">
      <alignment vertical="center"/>
      <protection hidden="1"/>
    </xf>
    <xf numFmtId="0" fontId="21" fillId="5" borderId="0" xfId="0" applyFont="1" applyFill="1" applyAlignment="1" applyProtection="1">
      <alignment vertical="center"/>
      <protection hidden="1"/>
    </xf>
    <xf numFmtId="0" fontId="67" fillId="5" borderId="0" xfId="0" applyFont="1" applyFill="1" applyProtection="1">
      <protection hidden="1"/>
    </xf>
    <xf numFmtId="0" fontId="0" fillId="5" borderId="0" xfId="0" applyFill="1" applyAlignment="1" applyProtection="1">
      <alignment vertical="top"/>
      <protection hidden="1"/>
    </xf>
    <xf numFmtId="0" fontId="8" fillId="3" borderId="0" xfId="0" applyFont="1" applyFill="1" applyBorder="1" applyAlignment="1" applyProtection="1">
      <alignment horizontal="left" vertical="center"/>
      <protection hidden="1"/>
    </xf>
    <xf numFmtId="0" fontId="4" fillId="2" borderId="11" xfId="0" applyFont="1" applyFill="1" applyBorder="1" applyAlignment="1" applyProtection="1">
      <alignment horizontal="center" vertical="top"/>
      <protection hidden="1"/>
    </xf>
    <xf numFmtId="0" fontId="91" fillId="2" borderId="0" xfId="0" applyFont="1" applyFill="1" applyAlignment="1" applyProtection="1">
      <alignment horizontal="right" vertical="top" wrapText="1"/>
      <protection hidden="1"/>
    </xf>
    <xf numFmtId="0" fontId="91" fillId="2" borderId="5" xfId="0" applyFont="1" applyFill="1" applyBorder="1" applyAlignment="1" applyProtection="1">
      <alignment horizontal="right" vertical="top" wrapText="1"/>
      <protection hidden="1"/>
    </xf>
    <xf numFmtId="0" fontId="0" fillId="7" borderId="0" xfId="0" applyFill="1" applyProtection="1">
      <protection hidden="1"/>
    </xf>
    <xf numFmtId="0" fontId="97" fillId="5" borderId="0" xfId="0" applyFont="1" applyFill="1" applyProtection="1">
      <protection hidden="1"/>
    </xf>
    <xf numFmtId="1" fontId="15" fillId="7" borderId="0" xfId="0" applyNumberFormat="1" applyFont="1" applyFill="1" applyBorder="1" applyAlignment="1" applyProtection="1">
      <alignment horizontal="center"/>
      <protection hidden="1"/>
    </xf>
    <xf numFmtId="1" fontId="21" fillId="7" borderId="0" xfId="0" applyNumberFormat="1" applyFont="1" applyFill="1" applyBorder="1" applyAlignment="1" applyProtection="1">
      <alignment horizontal="left"/>
      <protection hidden="1"/>
    </xf>
    <xf numFmtId="1" fontId="4" fillId="7" borderId="0" xfId="0" applyNumberFormat="1" applyFont="1" applyFill="1" applyBorder="1" applyAlignment="1" applyProtection="1">
      <alignment horizontal="center"/>
      <protection hidden="1"/>
    </xf>
    <xf numFmtId="39" fontId="8" fillId="7" borderId="0" xfId="0" applyNumberFormat="1" applyFont="1" applyFill="1" applyBorder="1" applyAlignment="1" applyProtection="1">
      <alignment horizontal="right"/>
      <protection hidden="1"/>
    </xf>
    <xf numFmtId="39" fontId="19" fillId="7" borderId="0" xfId="0" applyNumberFormat="1" applyFont="1" applyFill="1" applyBorder="1" applyAlignment="1" applyProtection="1">
      <alignment horizontal="right"/>
      <protection hidden="1"/>
    </xf>
    <xf numFmtId="1" fontId="15" fillId="7" borderId="0" xfId="0" applyNumberFormat="1" applyFont="1" applyFill="1" applyBorder="1" applyAlignment="1" applyProtection="1">
      <alignment horizontal="center" vertical="center"/>
      <protection hidden="1"/>
    </xf>
    <xf numFmtId="39" fontId="31" fillId="7" borderId="0" xfId="0" applyNumberFormat="1" applyFont="1" applyFill="1" applyBorder="1" applyAlignment="1" applyProtection="1">
      <alignment horizontal="right"/>
      <protection hidden="1"/>
    </xf>
    <xf numFmtId="4" fontId="11" fillId="7" borderId="0" xfId="0" applyNumberFormat="1" applyFont="1" applyFill="1" applyBorder="1" applyAlignment="1" applyProtection="1">
      <alignment horizontal="right"/>
      <protection hidden="1"/>
    </xf>
    <xf numFmtId="4" fontId="5" fillId="7" borderId="0" xfId="0" applyNumberFormat="1" applyFont="1" applyFill="1" applyBorder="1" applyAlignment="1" applyProtection="1">
      <alignment horizontal="right"/>
      <protection hidden="1"/>
    </xf>
    <xf numFmtId="39" fontId="64" fillId="7" borderId="0" xfId="0" applyNumberFormat="1" applyFont="1" applyFill="1" applyBorder="1" applyProtection="1">
      <protection hidden="1"/>
    </xf>
    <xf numFmtId="1" fontId="5" fillId="7" borderId="0" xfId="0" applyNumberFormat="1" applyFont="1" applyFill="1" applyBorder="1" applyAlignment="1" applyProtection="1">
      <alignment horizontal="center"/>
      <protection hidden="1"/>
    </xf>
    <xf numFmtId="4" fontId="0" fillId="5" borderId="0" xfId="0" applyNumberFormat="1" applyFill="1" applyBorder="1" applyAlignment="1" applyProtection="1">
      <alignment horizontal="right"/>
      <protection hidden="1"/>
    </xf>
    <xf numFmtId="1" fontId="5" fillId="3" borderId="0" xfId="0" applyNumberFormat="1" applyFont="1" applyFill="1" applyBorder="1" applyAlignment="1" applyProtection="1">
      <alignment horizontal="center"/>
      <protection hidden="1"/>
    </xf>
    <xf numFmtId="0" fontId="1" fillId="5" borderId="0" xfId="0" applyFont="1" applyFill="1" applyProtection="1">
      <protection hidden="1"/>
    </xf>
    <xf numFmtId="4" fontId="0" fillId="5" borderId="0" xfId="0" applyNumberFormat="1" applyFill="1" applyProtection="1">
      <protection hidden="1"/>
    </xf>
    <xf numFmtId="4" fontId="15" fillId="3" borderId="0" xfId="0" applyNumberFormat="1" applyFont="1" applyFill="1" applyBorder="1" applyAlignment="1" applyProtection="1">
      <alignment horizontal="center"/>
      <protection hidden="1"/>
    </xf>
    <xf numFmtId="1" fontId="4" fillId="3" borderId="7" xfId="0" applyNumberFormat="1" applyFont="1" applyFill="1" applyBorder="1" applyAlignment="1" applyProtection="1">
      <alignment horizontal="right"/>
      <protection hidden="1"/>
    </xf>
    <xf numFmtId="0" fontId="28" fillId="3" borderId="0" xfId="0"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17" fillId="3" borderId="0" xfId="0" applyFont="1" applyFill="1" applyBorder="1" applyAlignment="1" applyProtection="1">
      <alignment horizontal="left"/>
      <protection hidden="1"/>
    </xf>
    <xf numFmtId="4" fontId="8" fillId="3" borderId="7" xfId="0" applyNumberFormat="1" applyFont="1" applyFill="1" applyBorder="1" applyAlignment="1" applyProtection="1">
      <alignment horizontal="left"/>
      <protection hidden="1"/>
    </xf>
    <xf numFmtId="0" fontId="97" fillId="5" borderId="0" xfId="0" applyFont="1" applyFill="1" applyAlignment="1" applyProtection="1">
      <alignment horizontal="center"/>
      <protection hidden="1"/>
    </xf>
    <xf numFmtId="0" fontId="31" fillId="0" borderId="0" xfId="0" applyFont="1" applyFill="1" applyProtection="1">
      <protection hidden="1"/>
    </xf>
    <xf numFmtId="0" fontId="8" fillId="0" borderId="0" xfId="0" applyFont="1" applyAlignment="1" applyProtection="1">
      <alignment horizontal="left"/>
      <protection hidden="1"/>
    </xf>
    <xf numFmtId="4" fontId="8" fillId="7" borderId="16" xfId="0" applyNumberFormat="1" applyFont="1" applyFill="1" applyBorder="1" applyProtection="1">
      <protection hidden="1"/>
    </xf>
    <xf numFmtId="4" fontId="8" fillId="7" borderId="7" xfId="0" applyNumberFormat="1" applyFont="1" applyFill="1" applyBorder="1" applyProtection="1">
      <protection hidden="1"/>
    </xf>
    <xf numFmtId="0" fontId="5" fillId="3" borderId="0" xfId="0" applyFont="1" applyFill="1" applyBorder="1" applyAlignment="1" applyProtection="1">
      <alignment horizontal="left" vertical="center"/>
      <protection hidden="1"/>
    </xf>
    <xf numFmtId="4" fontId="55" fillId="3" borderId="0" xfId="0" applyNumberFormat="1" applyFont="1" applyFill="1" applyBorder="1" applyProtection="1">
      <protection hidden="1"/>
    </xf>
    <xf numFmtId="4" fontId="11" fillId="3" borderId="5" xfId="0" applyNumberFormat="1" applyFont="1" applyFill="1" applyBorder="1" applyProtection="1">
      <protection hidden="1"/>
    </xf>
    <xf numFmtId="4" fontId="8" fillId="3" borderId="5" xfId="0" applyNumberFormat="1" applyFont="1" applyFill="1" applyBorder="1" applyAlignment="1" applyProtection="1">
      <alignment horizontal="right"/>
      <protection hidden="1"/>
    </xf>
    <xf numFmtId="4" fontId="4" fillId="3" borderId="5" xfId="0" applyNumberFormat="1" applyFont="1" applyFill="1" applyBorder="1" applyProtection="1">
      <protection hidden="1"/>
    </xf>
    <xf numFmtId="4" fontId="55" fillId="3" borderId="1" xfId="0" applyNumberFormat="1" applyFont="1" applyFill="1" applyBorder="1" applyProtection="1">
      <protection hidden="1"/>
    </xf>
    <xf numFmtId="39" fontId="64" fillId="3" borderId="1" xfId="0" applyNumberFormat="1" applyFont="1" applyFill="1" applyBorder="1" applyProtection="1">
      <protection hidden="1"/>
    </xf>
    <xf numFmtId="4" fontId="8" fillId="3" borderId="8" xfId="0" applyNumberFormat="1" applyFont="1" applyFill="1" applyBorder="1" applyAlignment="1" applyProtection="1">
      <alignment horizontal="right"/>
      <protection hidden="1"/>
    </xf>
    <xf numFmtId="4" fontId="4" fillId="3" borderId="8" xfId="0" applyNumberFormat="1" applyFont="1" applyFill="1" applyBorder="1" applyProtection="1">
      <protection hidden="1"/>
    </xf>
    <xf numFmtId="0" fontId="13" fillId="3" borderId="0" xfId="0" applyFont="1" applyFill="1" applyBorder="1" applyAlignment="1" applyProtection="1">
      <alignment vertical="center"/>
      <protection hidden="1"/>
    </xf>
    <xf numFmtId="0" fontId="63" fillId="11" borderId="26" xfId="0" applyFont="1" applyFill="1" applyBorder="1" applyAlignment="1" applyProtection="1">
      <alignment horizontal="center"/>
      <protection hidden="1"/>
    </xf>
    <xf numFmtId="0" fontId="0" fillId="2" borderId="21" xfId="0" applyFill="1" applyBorder="1" applyAlignment="1" applyProtection="1">
      <alignment vertical="top"/>
      <protection hidden="1"/>
    </xf>
    <xf numFmtId="0" fontId="1" fillId="3" borderId="16" xfId="0" applyFont="1" applyFill="1" applyBorder="1" applyAlignment="1" applyProtection="1">
      <alignment horizontal="right"/>
      <protection hidden="1"/>
    </xf>
    <xf numFmtId="164" fontId="67" fillId="2" borderId="0" xfId="0" applyNumberFormat="1" applyFont="1" applyFill="1" applyBorder="1" applyAlignment="1" applyProtection="1">
      <alignment horizontal="left"/>
      <protection hidden="1"/>
    </xf>
    <xf numFmtId="40" fontId="82" fillId="2" borderId="21" xfId="0" applyNumberFormat="1" applyFont="1" applyFill="1" applyBorder="1" applyAlignment="1" applyProtection="1">
      <alignment horizontal="right"/>
      <protection hidden="1"/>
    </xf>
    <xf numFmtId="0" fontId="5" fillId="0" borderId="1" xfId="0" applyFont="1" applyBorder="1" applyProtection="1">
      <protection locked="0"/>
    </xf>
    <xf numFmtId="40" fontId="70" fillId="5" borderId="0" xfId="0" applyNumberFormat="1" applyFont="1" applyFill="1" applyAlignment="1" applyProtection="1">
      <alignment horizontal="right"/>
      <protection hidden="1"/>
    </xf>
    <xf numFmtId="40" fontId="19" fillId="5" borderId="0" xfId="0" applyNumberFormat="1" applyFont="1" applyFill="1" applyBorder="1" applyProtection="1">
      <protection hidden="1"/>
    </xf>
    <xf numFmtId="40" fontId="0" fillId="5" borderId="0" xfId="0" applyNumberFormat="1" applyFill="1" applyBorder="1" applyProtection="1">
      <protection hidden="1"/>
    </xf>
    <xf numFmtId="38" fontId="5" fillId="5" borderId="0" xfId="0" applyNumberFormat="1" applyFont="1" applyFill="1" applyBorder="1" applyProtection="1">
      <protection hidden="1"/>
    </xf>
    <xf numFmtId="164" fontId="4" fillId="5" borderId="0" xfId="0" applyNumberFormat="1" applyFont="1" applyFill="1" applyBorder="1" applyProtection="1">
      <protection hidden="1"/>
    </xf>
    <xf numFmtId="164" fontId="19" fillId="5" borderId="0" xfId="0" applyNumberFormat="1" applyFont="1" applyFill="1" applyBorder="1" applyProtection="1">
      <protection hidden="1"/>
    </xf>
    <xf numFmtId="38" fontId="0" fillId="5" borderId="0" xfId="0" applyNumberFormat="1" applyFill="1" applyBorder="1" applyAlignment="1" applyProtection="1">
      <alignment horizontal="center"/>
      <protection hidden="1"/>
    </xf>
    <xf numFmtId="0" fontId="115" fillId="2" borderId="0" xfId="0" applyFont="1" applyFill="1" applyBorder="1" applyProtection="1">
      <protection hidden="1"/>
    </xf>
    <xf numFmtId="40" fontId="4" fillId="2" borderId="0" xfId="0" applyNumberFormat="1" applyFont="1" applyFill="1" applyBorder="1" applyAlignment="1" applyProtection="1">
      <alignment horizontal="right"/>
      <protection hidden="1"/>
    </xf>
    <xf numFmtId="164" fontId="19" fillId="2" borderId="1" xfId="0" applyNumberFormat="1" applyFont="1" applyFill="1" applyBorder="1" applyAlignment="1" applyProtection="1">
      <alignment horizontal="left"/>
      <protection hidden="1"/>
    </xf>
    <xf numFmtId="164" fontId="19" fillId="2" borderId="1" xfId="0" applyNumberFormat="1" applyFont="1" applyFill="1" applyBorder="1" applyAlignment="1" applyProtection="1">
      <alignment horizontal="right"/>
      <protection hidden="1"/>
    </xf>
    <xf numFmtId="164" fontId="4" fillId="2" borderId="22" xfId="0" applyNumberFormat="1" applyFont="1" applyFill="1" applyBorder="1" applyAlignment="1" applyProtection="1">
      <protection hidden="1"/>
    </xf>
    <xf numFmtId="164" fontId="80" fillId="2" borderId="0" xfId="0" applyNumberFormat="1" applyFont="1" applyFill="1" applyBorder="1" applyAlignment="1" applyProtection="1">
      <alignment horizontal="right"/>
      <protection hidden="1"/>
    </xf>
    <xf numFmtId="38" fontId="23" fillId="2" borderId="0" xfId="0" applyNumberFormat="1" applyFont="1" applyFill="1" applyBorder="1" applyAlignment="1" applyProtection="1">
      <alignment horizontal="center"/>
      <protection hidden="1"/>
    </xf>
    <xf numFmtId="38" fontId="19" fillId="2" borderId="0" xfId="0" applyNumberFormat="1" applyFont="1" applyFill="1" applyBorder="1" applyAlignment="1" applyProtection="1">
      <alignment horizontal="center"/>
      <protection hidden="1"/>
    </xf>
    <xf numFmtId="38" fontId="23" fillId="2" borderId="5" xfId="0" applyNumberFormat="1" applyFont="1" applyFill="1" applyBorder="1" applyAlignment="1" applyProtection="1">
      <alignment horizontal="center"/>
      <protection hidden="1"/>
    </xf>
    <xf numFmtId="14" fontId="23" fillId="2" borderId="5" xfId="0" applyNumberFormat="1" applyFont="1" applyFill="1" applyBorder="1" applyAlignment="1" applyProtection="1">
      <alignment horizontal="center"/>
      <protection hidden="1"/>
    </xf>
    <xf numFmtId="1" fontId="116" fillId="2" borderId="0" xfId="0" applyNumberFormat="1" applyFont="1" applyFill="1" applyBorder="1" applyProtection="1">
      <protection hidden="1"/>
    </xf>
    <xf numFmtId="0" fontId="8" fillId="5" borderId="20" xfId="0" applyFont="1" applyFill="1" applyBorder="1" applyAlignment="1" applyProtection="1">
      <alignment horizontal="center"/>
      <protection hidden="1"/>
    </xf>
    <xf numFmtId="164" fontId="19" fillId="2" borderId="0" xfId="0" applyNumberFormat="1" applyFont="1" applyFill="1" applyBorder="1" applyAlignment="1" applyProtection="1">
      <alignment horizontal="right"/>
      <protection hidden="1"/>
    </xf>
    <xf numFmtId="14" fontId="23" fillId="2" borderId="0" xfId="0" applyNumberFormat="1" applyFont="1" applyFill="1" applyBorder="1" applyAlignment="1" applyProtection="1">
      <alignment horizontal="center"/>
      <protection hidden="1"/>
    </xf>
    <xf numFmtId="40" fontId="80" fillId="2" borderId="0" xfId="0" applyNumberFormat="1" applyFont="1" applyFill="1" applyBorder="1" applyAlignment="1" applyProtection="1">
      <alignment horizontal="right"/>
      <protection hidden="1"/>
    </xf>
    <xf numFmtId="0" fontId="8" fillId="5" borderId="6"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164" fontId="80" fillId="2" borderId="0" xfId="0" applyNumberFormat="1" applyFont="1" applyFill="1" applyBorder="1" applyAlignment="1" applyProtection="1">
      <alignment horizontal="center"/>
      <protection hidden="1"/>
    </xf>
    <xf numFmtId="40" fontId="67" fillId="2" borderId="0" xfId="0" applyNumberFormat="1" applyFont="1" applyFill="1" applyBorder="1" applyAlignment="1" applyProtection="1">
      <alignment horizontal="right"/>
      <protection hidden="1"/>
    </xf>
    <xf numFmtId="40" fontId="82" fillId="2" borderId="21" xfId="0" applyNumberFormat="1" applyFont="1" applyFill="1" applyBorder="1" applyAlignment="1" applyProtection="1">
      <alignment horizontal="center"/>
      <protection hidden="1"/>
    </xf>
    <xf numFmtId="1" fontId="5" fillId="0" borderId="63" xfId="0" applyNumberFormat="1" applyFont="1" applyBorder="1" applyAlignment="1" applyProtection="1">
      <alignment horizontal="center"/>
      <protection locked="0"/>
    </xf>
    <xf numFmtId="1" fontId="50" fillId="2" borderId="0" xfId="0" applyNumberFormat="1" applyFont="1" applyFill="1" applyBorder="1" applyProtection="1">
      <protection hidden="1"/>
    </xf>
    <xf numFmtId="0" fontId="26" fillId="2" borderId="0" xfId="0" applyFont="1" applyFill="1" applyProtection="1">
      <protection hidden="1"/>
    </xf>
    <xf numFmtId="38" fontId="7" fillId="2" borderId="0" xfId="0" applyNumberFormat="1" applyFont="1" applyFill="1" applyBorder="1" applyProtection="1">
      <protection hidden="1"/>
    </xf>
    <xf numFmtId="0" fontId="5" fillId="2" borderId="21" xfId="0" applyFont="1" applyFill="1" applyBorder="1" applyAlignment="1" applyProtection="1">
      <alignment horizontal="center"/>
      <protection hidden="1"/>
    </xf>
    <xf numFmtId="0" fontId="71" fillId="5" borderId="0" xfId="0" applyFont="1" applyFill="1" applyAlignment="1" applyProtection="1">
      <alignment horizontal="left"/>
      <protection hidden="1"/>
    </xf>
    <xf numFmtId="164" fontId="4" fillId="5" borderId="0" xfId="0" applyNumberFormat="1" applyFont="1" applyFill="1" applyAlignment="1" applyProtection="1">
      <alignment vertical="top"/>
      <protection hidden="1"/>
    </xf>
    <xf numFmtId="0" fontId="0" fillId="5" borderId="0" xfId="0" applyFill="1" applyAlignment="1" applyProtection="1">
      <alignment wrapText="1"/>
      <protection hidden="1"/>
    </xf>
    <xf numFmtId="164" fontId="13" fillId="5" borderId="0" xfId="0" applyNumberFormat="1" applyFont="1" applyFill="1" applyProtection="1">
      <protection hidden="1"/>
    </xf>
    <xf numFmtId="40" fontId="0" fillId="5" borderId="0" xfId="0" applyNumberFormat="1" applyFill="1" applyProtection="1">
      <protection hidden="1"/>
    </xf>
    <xf numFmtId="164" fontId="13" fillId="5" borderId="0" xfId="0" applyNumberFormat="1" applyFont="1" applyFill="1" applyAlignment="1" applyProtection="1">
      <alignment horizontal="center"/>
      <protection hidden="1"/>
    </xf>
    <xf numFmtId="40" fontId="0" fillId="2" borderId="30" xfId="0" applyNumberFormat="1" applyFill="1" applyBorder="1" applyProtection="1">
      <protection hidden="1"/>
    </xf>
    <xf numFmtId="38" fontId="19" fillId="2" borderId="9" xfId="0" applyNumberFormat="1" applyFont="1" applyFill="1" applyBorder="1" applyAlignment="1" applyProtection="1">
      <alignment horizontal="right"/>
      <protection hidden="1"/>
    </xf>
    <xf numFmtId="164" fontId="4" fillId="2" borderId="5" xfId="0" applyNumberFormat="1" applyFont="1" applyFill="1" applyBorder="1" applyAlignment="1" applyProtection="1">
      <protection hidden="1"/>
    </xf>
    <xf numFmtId="40" fontId="46" fillId="2" borderId="5" xfId="0" applyNumberFormat="1" applyFont="1" applyFill="1" applyBorder="1" applyAlignment="1" applyProtection="1">
      <alignment horizontal="right"/>
      <protection hidden="1"/>
    </xf>
    <xf numFmtId="40" fontId="79" fillId="2" borderId="5" xfId="0" applyNumberFormat="1" applyFont="1" applyFill="1" applyBorder="1" applyAlignment="1" applyProtection="1">
      <alignment horizontal="left"/>
      <protection hidden="1"/>
    </xf>
    <xf numFmtId="40" fontId="79" fillId="2" borderId="5" xfId="0" applyNumberFormat="1" applyFont="1" applyFill="1" applyBorder="1" applyAlignment="1" applyProtection="1">
      <alignment horizontal="right"/>
      <protection hidden="1"/>
    </xf>
    <xf numFmtId="40" fontId="32" fillId="2" borderId="0" xfId="0" applyNumberFormat="1" applyFont="1" applyFill="1" applyBorder="1" applyAlignment="1" applyProtection="1">
      <alignment horizontal="right"/>
      <protection hidden="1"/>
    </xf>
    <xf numFmtId="170" fontId="0" fillId="2" borderId="0" xfId="0" applyNumberFormat="1" applyFill="1" applyBorder="1" applyAlignment="1" applyProtection="1">
      <alignment horizontal="left"/>
      <protection hidden="1"/>
    </xf>
    <xf numFmtId="3" fontId="23" fillId="2" borderId="0" xfId="0" applyNumberFormat="1" applyFont="1" applyFill="1" applyBorder="1" applyAlignment="1" applyProtection="1">
      <protection hidden="1"/>
    </xf>
    <xf numFmtId="0" fontId="76" fillId="2" borderId="0" xfId="0" applyFont="1" applyFill="1" applyBorder="1" applyProtection="1">
      <protection hidden="1"/>
    </xf>
    <xf numFmtId="40" fontId="32" fillId="5" borderId="0" xfId="0" applyNumberFormat="1" applyFont="1" applyFill="1" applyBorder="1" applyAlignment="1" applyProtection="1">
      <alignment horizontal="right"/>
      <protection hidden="1"/>
    </xf>
    <xf numFmtId="40" fontId="65" fillId="5" borderId="0" xfId="0" applyNumberFormat="1" applyFont="1" applyFill="1" applyBorder="1" applyAlignment="1" applyProtection="1">
      <alignment horizontal="right"/>
      <protection hidden="1"/>
    </xf>
    <xf numFmtId="40" fontId="19" fillId="5" borderId="0" xfId="0" applyNumberFormat="1" applyFont="1" applyFill="1" applyBorder="1" applyAlignment="1" applyProtection="1">
      <alignment horizontal="right"/>
      <protection hidden="1"/>
    </xf>
    <xf numFmtId="38" fontId="19" fillId="5" borderId="0" xfId="0" applyNumberFormat="1" applyFont="1" applyFill="1" applyBorder="1" applyAlignment="1" applyProtection="1">
      <alignment horizontal="right"/>
      <protection hidden="1"/>
    </xf>
    <xf numFmtId="38" fontId="0" fillId="5" borderId="0" xfId="0" applyNumberFormat="1" applyFill="1" applyBorder="1" applyAlignment="1" applyProtection="1">
      <alignment horizontal="right"/>
      <protection hidden="1"/>
    </xf>
    <xf numFmtId="0" fontId="14" fillId="5" borderId="0" xfId="0" applyFont="1" applyFill="1" applyAlignment="1" applyProtection="1">
      <protection hidden="1"/>
    </xf>
    <xf numFmtId="0" fontId="14" fillId="2" borderId="24" xfId="0" applyFont="1" applyFill="1" applyBorder="1" applyAlignment="1" applyProtection="1">
      <protection hidden="1"/>
    </xf>
    <xf numFmtId="0" fontId="0" fillId="2" borderId="27" xfId="0" applyFill="1" applyBorder="1" applyProtection="1">
      <protection hidden="1"/>
    </xf>
    <xf numFmtId="164" fontId="4" fillId="15" borderId="0" xfId="0" applyNumberFormat="1" applyFont="1" applyFill="1" applyAlignment="1" applyProtection="1">
      <protection locked="0" hidden="1"/>
    </xf>
    <xf numFmtId="164" fontId="4" fillId="15" borderId="0" xfId="0" applyNumberFormat="1" applyFont="1" applyFill="1" applyBorder="1" applyAlignment="1" applyProtection="1">
      <protection locked="0" hidden="1"/>
    </xf>
    <xf numFmtId="0" fontId="0" fillId="15" borderId="0" xfId="0" applyFill="1" applyBorder="1" applyAlignment="1" applyProtection="1">
      <alignment wrapText="1"/>
      <protection locked="0" hidden="1"/>
    </xf>
    <xf numFmtId="40" fontId="13" fillId="15" borderId="0" xfId="0" applyNumberFormat="1" applyFont="1" applyFill="1" applyAlignment="1" applyProtection="1">
      <alignment horizontal="right"/>
      <protection locked="0" hidden="1"/>
    </xf>
    <xf numFmtId="40" fontId="21" fillId="15" borderId="0" xfId="0" applyNumberFormat="1" applyFont="1" applyFill="1" applyAlignment="1" applyProtection="1">
      <alignment horizontal="right"/>
      <protection locked="0" hidden="1"/>
    </xf>
    <xf numFmtId="40" fontId="79" fillId="5" borderId="0" xfId="0" applyNumberFormat="1" applyFont="1" applyFill="1" applyAlignment="1" applyProtection="1">
      <alignment horizontal="right"/>
      <protection hidden="1"/>
    </xf>
    <xf numFmtId="0" fontId="14" fillId="5" borderId="0" xfId="0" applyFont="1" applyFill="1" applyBorder="1" applyAlignment="1" applyProtection="1">
      <alignment vertical="center"/>
      <protection hidden="1"/>
    </xf>
    <xf numFmtId="0" fontId="0" fillId="15" borderId="0" xfId="0" applyFill="1" applyBorder="1" applyProtection="1">
      <protection locked="0" hidden="1"/>
    </xf>
    <xf numFmtId="40" fontId="1" fillId="5" borderId="0" xfId="0" applyNumberFormat="1" applyFont="1" applyFill="1" applyBorder="1" applyProtection="1">
      <protection hidden="1"/>
    </xf>
    <xf numFmtId="38" fontId="0" fillId="5" borderId="0" xfId="0" applyNumberFormat="1" applyFill="1" applyBorder="1" applyProtection="1">
      <protection hidden="1"/>
    </xf>
    <xf numFmtId="38" fontId="0" fillId="5" borderId="0" xfId="0" applyNumberFormat="1" applyFill="1" applyBorder="1" applyProtection="1">
      <protection locked="0"/>
    </xf>
    <xf numFmtId="40" fontId="1" fillId="2" borderId="0" xfId="0" applyNumberFormat="1" applyFont="1" applyFill="1" applyBorder="1" applyAlignment="1" applyProtection="1">
      <alignment horizontal="left"/>
      <protection hidden="1"/>
    </xf>
    <xf numFmtId="0" fontId="29" fillId="2" borderId="6" xfId="0" applyFont="1" applyFill="1" applyBorder="1" applyAlignment="1" applyProtection="1">
      <alignment vertical="center"/>
      <protection hidden="1"/>
    </xf>
    <xf numFmtId="0" fontId="14" fillId="2" borderId="0" xfId="0" applyFont="1" applyFill="1" applyBorder="1" applyAlignment="1" applyProtection="1">
      <alignment horizontal="centerContinuous" vertical="center"/>
      <protection hidden="1"/>
    </xf>
    <xf numFmtId="164" fontId="4" fillId="2" borderId="0" xfId="0" applyNumberFormat="1" applyFont="1" applyFill="1" applyBorder="1" applyAlignment="1" applyProtection="1">
      <alignment horizontal="center"/>
      <protection locked="0"/>
    </xf>
    <xf numFmtId="164" fontId="4" fillId="2" borderId="0" xfId="0" applyNumberFormat="1" applyFont="1" applyFill="1" applyBorder="1" applyAlignment="1" applyProtection="1">
      <alignment horizontal="centerContinuous" vertical="center"/>
      <protection hidden="1"/>
    </xf>
    <xf numFmtId="164" fontId="4" fillId="2" borderId="0" xfId="0" applyNumberFormat="1" applyFont="1" applyFill="1" applyBorder="1" applyAlignment="1" applyProtection="1">
      <alignment horizontal="center" vertical="center"/>
      <protection hidden="1"/>
    </xf>
    <xf numFmtId="40" fontId="1" fillId="2" borderId="0" xfId="0" applyNumberFormat="1" applyFont="1" applyFill="1" applyBorder="1" applyAlignment="1" applyProtection="1">
      <alignment horizontal="centerContinuous" vertical="center"/>
      <protection hidden="1"/>
    </xf>
    <xf numFmtId="0" fontId="0" fillId="4" borderId="0" xfId="0" applyFill="1" applyAlignment="1" applyProtection="1">
      <alignment vertical="center"/>
      <protection locked="0"/>
    </xf>
    <xf numFmtId="0" fontId="0" fillId="2" borderId="0" xfId="0" applyFill="1" applyAlignment="1">
      <alignment vertical="center"/>
    </xf>
    <xf numFmtId="0" fontId="32" fillId="2" borderId="0" xfId="0" applyFont="1" applyFill="1" applyBorder="1" applyAlignment="1" applyProtection="1">
      <protection hidden="1"/>
    </xf>
    <xf numFmtId="40" fontId="66" fillId="2" borderId="0" xfId="0" applyNumberFormat="1" applyFont="1" applyFill="1" applyBorder="1" applyAlignment="1" applyProtection="1">
      <alignment horizontal="left"/>
      <protection hidden="1"/>
    </xf>
    <xf numFmtId="0" fontId="23" fillId="2" borderId="0" xfId="0" applyFont="1" applyFill="1" applyBorder="1" applyAlignment="1" applyProtection="1">
      <protection hidden="1"/>
    </xf>
    <xf numFmtId="49" fontId="7" fillId="2" borderId="24" xfId="0" applyNumberFormat="1" applyFont="1" applyFill="1" applyBorder="1" applyAlignment="1" applyProtection="1">
      <alignment horizontal="right"/>
      <protection hidden="1"/>
    </xf>
    <xf numFmtId="0" fontId="47" fillId="2" borderId="8" xfId="0" applyFont="1" applyFill="1" applyBorder="1" applyProtection="1">
      <protection hidden="1"/>
    </xf>
    <xf numFmtId="0" fontId="98" fillId="2" borderId="0" xfId="0" applyFont="1" applyFill="1" applyBorder="1" applyAlignment="1" applyProtection="1">
      <alignment horizontal="center"/>
      <protection hidden="1"/>
    </xf>
    <xf numFmtId="49" fontId="25" fillId="2" borderId="8" xfId="0" applyNumberFormat="1" applyFont="1" applyFill="1" applyBorder="1" applyAlignment="1" applyProtection="1">
      <alignment horizontal="right"/>
      <protection hidden="1"/>
    </xf>
    <xf numFmtId="40" fontId="21" fillId="2" borderId="8" xfId="0" applyNumberFormat="1" applyFont="1" applyFill="1" applyBorder="1" applyAlignment="1" applyProtection="1">
      <alignment horizontal="right"/>
      <protection hidden="1"/>
    </xf>
    <xf numFmtId="40" fontId="21" fillId="2" borderId="20" xfId="0" applyNumberFormat="1" applyFont="1" applyFill="1" applyBorder="1" applyAlignment="1" applyProtection="1">
      <alignment horizontal="right"/>
      <protection hidden="1"/>
    </xf>
    <xf numFmtId="49" fontId="7" fillId="2" borderId="6" xfId="0" applyNumberFormat="1" applyFont="1" applyFill="1" applyBorder="1" applyAlignment="1" applyProtection="1">
      <alignment horizontal="right"/>
      <protection hidden="1"/>
    </xf>
    <xf numFmtId="49" fontId="25" fillId="2" borderId="0" xfId="0" applyNumberFormat="1" applyFont="1" applyFill="1" applyBorder="1" applyAlignment="1" applyProtection="1">
      <alignment horizontal="right"/>
      <protection hidden="1"/>
    </xf>
    <xf numFmtId="40" fontId="21" fillId="2" borderId="0" xfId="0" applyNumberFormat="1" applyFont="1" applyFill="1" applyBorder="1" applyAlignment="1" applyProtection="1">
      <alignment horizontal="right"/>
      <protection hidden="1"/>
    </xf>
    <xf numFmtId="40" fontId="21" fillId="2" borderId="21" xfId="0" applyNumberFormat="1" applyFont="1" applyFill="1" applyBorder="1" applyAlignment="1" applyProtection="1">
      <alignment horizontal="right"/>
      <protection hidden="1"/>
    </xf>
    <xf numFmtId="40" fontId="72" fillId="2" borderId="0" xfId="0" applyNumberFormat="1" applyFont="1" applyFill="1" applyBorder="1" applyAlignment="1" applyProtection="1">
      <alignment horizontal="right"/>
      <protection hidden="1"/>
    </xf>
    <xf numFmtId="0" fontId="5" fillId="2" borderId="21" xfId="0" applyFont="1" applyFill="1" applyBorder="1" applyProtection="1">
      <protection hidden="1"/>
    </xf>
    <xf numFmtId="37" fontId="5" fillId="2" borderId="0" xfId="0" applyNumberFormat="1" applyFont="1" applyFill="1" applyBorder="1" applyProtection="1">
      <protection hidden="1"/>
    </xf>
    <xf numFmtId="0" fontId="31" fillId="2" borderId="0" xfId="0" applyFont="1" applyFill="1" applyBorder="1" applyProtection="1">
      <protection hidden="1"/>
    </xf>
    <xf numFmtId="49" fontId="45" fillId="2" borderId="0" xfId="0" applyNumberFormat="1" applyFont="1" applyFill="1" applyBorder="1" applyAlignment="1" applyProtection="1">
      <alignment horizontal="center"/>
      <protection hidden="1"/>
    </xf>
    <xf numFmtId="3" fontId="5" fillId="2" borderId="21" xfId="0" applyNumberFormat="1" applyFont="1" applyFill="1" applyBorder="1" applyProtection="1">
      <protection hidden="1"/>
    </xf>
    <xf numFmtId="4" fontId="5" fillId="2" borderId="21" xfId="0" applyNumberFormat="1" applyFont="1" applyFill="1" applyBorder="1" applyProtection="1">
      <protection hidden="1"/>
    </xf>
    <xf numFmtId="0" fontId="5" fillId="2" borderId="6" xfId="0" applyFont="1" applyFill="1" applyBorder="1" applyProtection="1">
      <protection hidden="1"/>
    </xf>
    <xf numFmtId="49" fontId="7" fillId="2" borderId="0" xfId="0" quotePrefix="1" applyNumberFormat="1" applyFont="1" applyFill="1" applyBorder="1" applyAlignment="1" applyProtection="1">
      <alignment horizontal="right"/>
      <protection hidden="1"/>
    </xf>
    <xf numFmtId="0" fontId="7" fillId="2" borderId="21" xfId="0" applyFont="1" applyFill="1" applyBorder="1" applyAlignment="1" applyProtection="1">
      <alignment horizontal="center"/>
      <protection hidden="1"/>
    </xf>
    <xf numFmtId="49" fontId="7" fillId="2" borderId="22" xfId="0" applyNumberFormat="1" applyFont="1" applyFill="1" applyBorder="1" applyAlignment="1" applyProtection="1">
      <alignment horizontal="right"/>
      <protection hidden="1"/>
    </xf>
    <xf numFmtId="4" fontId="50" fillId="2" borderId="23" xfId="0" applyNumberFormat="1" applyFont="1" applyFill="1" applyBorder="1" applyProtection="1">
      <protection hidden="1"/>
    </xf>
    <xf numFmtId="0" fontId="0" fillId="5" borderId="0" xfId="0" applyFill="1" applyAlignment="1" applyProtection="1">
      <alignment horizontal="left" vertical="center"/>
      <protection hidden="1"/>
    </xf>
    <xf numFmtId="0" fontId="84" fillId="7" borderId="0" xfId="0" applyFont="1" applyFill="1" applyAlignment="1" applyProtection="1">
      <alignment horizontal="left"/>
      <protection hidden="1"/>
    </xf>
    <xf numFmtId="0" fontId="71" fillId="7" borderId="0" xfId="0" applyFont="1" applyFill="1" applyAlignment="1" applyProtection="1">
      <alignment horizontal="left"/>
      <protection hidden="1"/>
    </xf>
    <xf numFmtId="0" fontId="0" fillId="7" borderId="0" xfId="0" applyFill="1" applyAlignment="1" applyProtection="1">
      <alignment wrapText="1"/>
      <protection hidden="1"/>
    </xf>
    <xf numFmtId="164" fontId="13" fillId="7" borderId="0" xfId="0" applyNumberFormat="1" applyFont="1" applyFill="1" applyProtection="1">
      <protection hidden="1"/>
    </xf>
    <xf numFmtId="40" fontId="0" fillId="7" borderId="0" xfId="0" applyNumberFormat="1" applyFill="1" applyProtection="1">
      <protection hidden="1"/>
    </xf>
    <xf numFmtId="0" fontId="13" fillId="7" borderId="0" xfId="0" applyFont="1" applyFill="1" applyAlignment="1" applyProtection="1">
      <alignment horizontal="right"/>
      <protection hidden="1"/>
    </xf>
    <xf numFmtId="0" fontId="16" fillId="7" borderId="0" xfId="0" applyFont="1" applyFill="1" applyAlignment="1" applyProtection="1">
      <alignment horizontal="center"/>
      <protection hidden="1"/>
    </xf>
    <xf numFmtId="0" fontId="13" fillId="7" borderId="0" xfId="0" applyFont="1" applyFill="1" applyProtection="1">
      <protection hidden="1"/>
    </xf>
    <xf numFmtId="0" fontId="84" fillId="7" borderId="0" xfId="0" applyFont="1" applyFill="1" applyAlignment="1" applyProtection="1">
      <alignment horizontal="right"/>
      <protection hidden="1"/>
    </xf>
    <xf numFmtId="49" fontId="7" fillId="5" borderId="0" xfId="0" applyNumberFormat="1" applyFont="1" applyFill="1" applyAlignment="1" applyProtection="1">
      <alignment horizontal="right"/>
      <protection hidden="1"/>
    </xf>
    <xf numFmtId="37" fontId="5" fillId="2" borderId="9" xfId="0" applyNumberFormat="1" applyFont="1" applyFill="1" applyBorder="1" applyProtection="1">
      <protection hidden="1"/>
    </xf>
    <xf numFmtId="40" fontId="79" fillId="2" borderId="0" xfId="0" applyNumberFormat="1" applyFont="1" applyFill="1" applyAlignment="1" applyProtection="1">
      <alignment horizontal="center"/>
      <protection hidden="1"/>
    </xf>
    <xf numFmtId="0" fontId="0" fillId="2" borderId="6" xfId="0" applyFill="1" applyBorder="1" applyAlignment="1" applyProtection="1">
      <alignment horizontal="left" vertical="center"/>
      <protection hidden="1"/>
    </xf>
    <xf numFmtId="0" fontId="0" fillId="2" borderId="5" xfId="0" applyFill="1" applyBorder="1" applyAlignment="1" applyProtection="1">
      <alignment vertical="top"/>
      <protection hidden="1"/>
    </xf>
    <xf numFmtId="3" fontId="19" fillId="3" borderId="0" xfId="0" applyNumberFormat="1" applyFont="1" applyFill="1" applyBorder="1" applyProtection="1">
      <protection hidden="1"/>
    </xf>
    <xf numFmtId="7" fontId="19" fillId="3" borderId="0" xfId="0" applyNumberFormat="1" applyFont="1" applyFill="1" applyBorder="1" applyAlignment="1" applyProtection="1">
      <alignment horizontal="left"/>
      <protection hidden="1"/>
    </xf>
    <xf numFmtId="0" fontId="36" fillId="6" borderId="24" xfId="0" applyFont="1" applyFill="1" applyBorder="1" applyAlignment="1" applyProtection="1">
      <alignment horizontal="centerContinuous"/>
      <protection hidden="1"/>
    </xf>
    <xf numFmtId="0" fontId="36" fillId="6" borderId="8" xfId="0" applyFont="1" applyFill="1" applyBorder="1" applyAlignment="1" applyProtection="1">
      <alignment horizontal="centerContinuous"/>
      <protection hidden="1"/>
    </xf>
    <xf numFmtId="0" fontId="36" fillId="6" borderId="0" xfId="0" applyFont="1" applyFill="1" applyBorder="1" applyAlignment="1" applyProtection="1">
      <alignment horizontal="centerContinuous"/>
      <protection hidden="1"/>
    </xf>
    <xf numFmtId="0" fontId="0" fillId="6" borderId="0" xfId="0" applyFill="1" applyBorder="1" applyAlignment="1" applyProtection="1">
      <alignment horizontal="centerContinuous"/>
      <protection hidden="1"/>
    </xf>
    <xf numFmtId="0" fontId="78" fillId="0" borderId="0" xfId="2" applyAlignment="1" applyProtection="1"/>
    <xf numFmtId="0" fontId="4" fillId="2" borderId="0" xfId="0" applyFont="1" applyFill="1" applyBorder="1" applyAlignment="1" applyProtection="1">
      <alignment horizontal="center" vertical="center"/>
      <protection locked="0"/>
    </xf>
    <xf numFmtId="0" fontId="0" fillId="14" borderId="40" xfId="0" applyFill="1" applyBorder="1" applyProtection="1">
      <protection hidden="1"/>
    </xf>
    <xf numFmtId="0" fontId="0" fillId="14" borderId="55" xfId="0" applyFill="1" applyBorder="1" applyProtection="1">
      <protection hidden="1"/>
    </xf>
    <xf numFmtId="0" fontId="90" fillId="2" borderId="0" xfId="0" applyFont="1" applyFill="1" applyProtection="1">
      <protection hidden="1"/>
    </xf>
    <xf numFmtId="37" fontId="8" fillId="3" borderId="0" xfId="0" applyNumberFormat="1" applyFont="1" applyFill="1" applyBorder="1" applyAlignment="1" applyProtection="1">
      <alignment horizontal="right"/>
      <protection hidden="1"/>
    </xf>
    <xf numFmtId="4" fontId="23" fillId="2" borderId="8" xfId="0" applyNumberFormat="1" applyFont="1" applyFill="1" applyBorder="1" applyProtection="1">
      <protection hidden="1"/>
    </xf>
    <xf numFmtId="4" fontId="23" fillId="2" borderId="20" xfId="0" applyNumberFormat="1" applyFont="1" applyFill="1" applyBorder="1" applyProtection="1">
      <protection hidden="1"/>
    </xf>
    <xf numFmtId="4" fontId="23" fillId="2" borderId="21" xfId="0" applyNumberFormat="1" applyFont="1" applyFill="1" applyBorder="1" applyProtection="1">
      <protection hidden="1"/>
    </xf>
    <xf numFmtId="4" fontId="23" fillId="2" borderId="5" xfId="0" applyNumberFormat="1" applyFont="1" applyFill="1" applyBorder="1" applyProtection="1">
      <protection hidden="1"/>
    </xf>
    <xf numFmtId="4" fontId="23" fillId="2" borderId="23" xfId="0" applyNumberFormat="1" applyFont="1" applyFill="1" applyBorder="1" applyProtection="1">
      <protection hidden="1"/>
    </xf>
    <xf numFmtId="0" fontId="23" fillId="10" borderId="0" xfId="0" applyFont="1" applyFill="1" applyProtection="1">
      <protection hidden="1"/>
    </xf>
    <xf numFmtId="0" fontId="23" fillId="0" borderId="0" xfId="0" applyFont="1"/>
    <xf numFmtId="0" fontId="8" fillId="2" borderId="1" xfId="0" applyFont="1" applyFill="1" applyBorder="1" applyAlignment="1" applyProtection="1">
      <protection locked="0"/>
    </xf>
    <xf numFmtId="4" fontId="19" fillId="2" borderId="54" xfId="0" applyNumberFormat="1" applyFont="1" applyFill="1" applyBorder="1" applyProtection="1">
      <protection hidden="1"/>
    </xf>
    <xf numFmtId="1" fontId="12" fillId="3" borderId="3" xfId="0" applyNumberFormat="1" applyFont="1" applyFill="1" applyBorder="1" applyAlignment="1" applyProtection="1">
      <alignment horizontal="center" vertical="center"/>
      <protection hidden="1"/>
    </xf>
    <xf numFmtId="4" fontId="8" fillId="3" borderId="10" xfId="0" applyNumberFormat="1" applyFont="1" applyFill="1" applyBorder="1" applyAlignment="1" applyProtection="1">
      <alignment horizontal="center"/>
      <protection hidden="1"/>
    </xf>
    <xf numFmtId="0" fontId="1" fillId="9" borderId="7" xfId="0" applyFont="1" applyFill="1" applyBorder="1" applyAlignment="1" applyProtection="1">
      <alignment horizontal="center"/>
      <protection hidden="1"/>
    </xf>
    <xf numFmtId="0" fontId="1" fillId="9" borderId="11" xfId="0" applyFont="1" applyFill="1" applyBorder="1" applyAlignment="1" applyProtection="1">
      <alignment horizontal="center"/>
      <protection hidden="1"/>
    </xf>
    <xf numFmtId="0" fontId="1" fillId="9" borderId="3" xfId="0" applyFont="1" applyFill="1" applyBorder="1" applyAlignment="1" applyProtection="1">
      <alignment horizontal="center"/>
      <protection hidden="1"/>
    </xf>
    <xf numFmtId="0" fontId="1" fillId="0" borderId="0" xfId="0" applyFont="1" applyAlignment="1">
      <alignment horizontal="center"/>
    </xf>
    <xf numFmtId="0" fontId="1" fillId="3" borderId="5" xfId="0" applyFont="1" applyFill="1" applyBorder="1" applyAlignment="1" applyProtection="1">
      <alignment vertical="center"/>
      <protection hidden="1"/>
    </xf>
    <xf numFmtId="0" fontId="15" fillId="3" borderId="0" xfId="0" applyFont="1" applyFill="1" applyBorder="1" applyAlignment="1" applyProtection="1">
      <alignment horizontal="center" vertical="center"/>
      <protection locked="0"/>
    </xf>
    <xf numFmtId="4" fontId="15" fillId="3" borderId="0" xfId="0" applyNumberFormat="1" applyFont="1" applyFill="1" applyBorder="1" applyAlignment="1" applyProtection="1">
      <alignment horizontal="center" vertical="center"/>
      <protection locked="0"/>
    </xf>
    <xf numFmtId="4" fontId="15" fillId="3" borderId="0" xfId="0" applyNumberFormat="1" applyFont="1" applyFill="1" applyBorder="1" applyAlignment="1" applyProtection="1">
      <protection locked="0"/>
    </xf>
    <xf numFmtId="0" fontId="7" fillId="3" borderId="6" xfId="0" applyFont="1" applyFill="1" applyBorder="1" applyAlignment="1" applyProtection="1">
      <alignment horizontal="right"/>
      <protection hidden="1"/>
    </xf>
    <xf numFmtId="0" fontId="19" fillId="3" borderId="25" xfId="0" applyFont="1" applyFill="1" applyBorder="1" applyAlignment="1" applyProtection="1">
      <alignment horizontal="left"/>
      <protection hidden="1"/>
    </xf>
    <xf numFmtId="164" fontId="4" fillId="3" borderId="3" xfId="0" applyNumberFormat="1" applyFont="1" applyFill="1" applyBorder="1" applyAlignment="1" applyProtection="1">
      <alignment horizontal="right"/>
      <protection hidden="1"/>
    </xf>
    <xf numFmtId="164" fontId="4" fillId="3" borderId="0" xfId="0" applyNumberFormat="1" applyFont="1" applyFill="1" applyBorder="1" applyAlignment="1" applyProtection="1">
      <alignment horizontal="right"/>
      <protection hidden="1"/>
    </xf>
    <xf numFmtId="164" fontId="4" fillId="3" borderId="3" xfId="0" quotePrefix="1" applyNumberFormat="1" applyFont="1" applyFill="1" applyBorder="1" applyAlignment="1" applyProtection="1">
      <alignment horizontal="right"/>
      <protection hidden="1"/>
    </xf>
    <xf numFmtId="0" fontId="4" fillId="3" borderId="3" xfId="0" quotePrefix="1" applyFont="1" applyFill="1" applyBorder="1" applyAlignment="1" applyProtection="1">
      <alignment horizontal="right"/>
      <protection hidden="1"/>
    </xf>
    <xf numFmtId="0" fontId="1" fillId="3" borderId="3" xfId="0" quotePrefix="1" applyFont="1" applyFill="1" applyBorder="1" applyAlignment="1" applyProtection="1">
      <alignment horizontal="right"/>
      <protection hidden="1"/>
    </xf>
    <xf numFmtId="164" fontId="4" fillId="2" borderId="0" xfId="0" quotePrefix="1" applyNumberFormat="1" applyFont="1" applyFill="1" applyBorder="1" applyAlignment="1" applyProtection="1">
      <protection hidden="1"/>
    </xf>
    <xf numFmtId="0" fontId="0" fillId="2" borderId="8" xfId="0" applyFill="1" applyBorder="1" applyAlignment="1" applyProtection="1">
      <alignment wrapText="1"/>
      <protection hidden="1"/>
    </xf>
    <xf numFmtId="164" fontId="25" fillId="2" borderId="8" xfId="0" applyNumberFormat="1" applyFont="1" applyFill="1" applyBorder="1" applyAlignment="1" applyProtection="1">
      <alignment horizontal="center"/>
      <protection hidden="1"/>
    </xf>
    <xf numFmtId="164" fontId="25" fillId="2" borderId="8" xfId="0" applyNumberFormat="1" applyFont="1" applyFill="1" applyBorder="1" applyAlignment="1" applyProtection="1">
      <alignment horizontal="right"/>
      <protection hidden="1"/>
    </xf>
    <xf numFmtId="0" fontId="115" fillId="2" borderId="8" xfId="0" applyFont="1" applyFill="1" applyBorder="1" applyProtection="1">
      <protection hidden="1"/>
    </xf>
    <xf numFmtId="164" fontId="4" fillId="2" borderId="27" xfId="0" applyNumberFormat="1" applyFont="1" applyFill="1" applyBorder="1" applyAlignment="1" applyProtection="1">
      <protection hidden="1"/>
    </xf>
    <xf numFmtId="164" fontId="4" fillId="2" borderId="1" xfId="0" applyNumberFormat="1" applyFont="1" applyFill="1" applyBorder="1" applyAlignment="1" applyProtection="1">
      <alignment vertical="top"/>
      <protection hidden="1"/>
    </xf>
    <xf numFmtId="0" fontId="0" fillId="2" borderId="1" xfId="0" applyFill="1" applyBorder="1" applyAlignment="1" applyProtection="1">
      <alignment wrapText="1"/>
      <protection hidden="1"/>
    </xf>
    <xf numFmtId="0" fontId="115" fillId="2" borderId="1" xfId="0" applyFont="1" applyFill="1" applyBorder="1" applyProtection="1">
      <protection hidden="1"/>
    </xf>
    <xf numFmtId="164" fontId="25" fillId="2" borderId="1" xfId="0" applyNumberFormat="1" applyFont="1" applyFill="1" applyBorder="1" applyAlignment="1" applyProtection="1">
      <alignment horizontal="center"/>
      <protection hidden="1"/>
    </xf>
    <xf numFmtId="164" fontId="25" fillId="2" borderId="1" xfId="0" applyNumberFormat="1" applyFont="1" applyFill="1" applyBorder="1" applyAlignment="1" applyProtection="1">
      <alignment horizontal="right"/>
      <protection hidden="1"/>
    </xf>
    <xf numFmtId="40" fontId="21" fillId="2" borderId="1" xfId="0" applyNumberFormat="1" applyFont="1" applyFill="1" applyBorder="1" applyAlignment="1" applyProtection="1">
      <alignment horizontal="right"/>
      <protection hidden="1"/>
    </xf>
    <xf numFmtId="40" fontId="21" fillId="2" borderId="30" xfId="0" applyNumberFormat="1" applyFont="1" applyFill="1" applyBorder="1" applyAlignment="1" applyProtection="1">
      <alignment horizontal="right"/>
      <protection hidden="1"/>
    </xf>
    <xf numFmtId="0" fontId="0" fillId="2" borderId="1" xfId="0" applyFill="1" applyBorder="1" applyAlignment="1" applyProtection="1">
      <alignment vertical="top"/>
      <protection hidden="1"/>
    </xf>
    <xf numFmtId="3" fontId="23" fillId="2" borderId="0" xfId="0" applyNumberFormat="1" applyFont="1" applyFill="1" applyBorder="1" applyAlignment="1" applyProtection="1">
      <alignment horizontal="right"/>
      <protection hidden="1"/>
    </xf>
    <xf numFmtId="0" fontId="80" fillId="2" borderId="0" xfId="0" applyFont="1" applyFill="1" applyBorder="1" applyAlignment="1" applyProtection="1">
      <protection hidden="1"/>
    </xf>
    <xf numFmtId="0" fontId="23" fillId="4" borderId="0" xfId="0" applyFont="1" applyFill="1" applyProtection="1">
      <protection locked="0"/>
    </xf>
    <xf numFmtId="3" fontId="0" fillId="2" borderId="1" xfId="0" applyNumberFormat="1" applyFill="1" applyBorder="1" applyProtection="1">
      <protection locked="0"/>
    </xf>
    <xf numFmtId="38" fontId="0" fillId="2" borderId="0" xfId="0" applyNumberFormat="1" applyFill="1" applyBorder="1" applyAlignment="1" applyProtection="1">
      <protection hidden="1"/>
    </xf>
    <xf numFmtId="0" fontId="80" fillId="2" borderId="0" xfId="0" applyFont="1" applyFill="1" applyProtection="1">
      <protection hidden="1"/>
    </xf>
    <xf numFmtId="0" fontId="19" fillId="0" borderId="0" xfId="0" quotePrefix="1" applyFont="1" applyAlignment="1" applyProtection="1">
      <alignment horizontal="right"/>
      <protection hidden="1"/>
    </xf>
    <xf numFmtId="0" fontId="26" fillId="0" borderId="0" xfId="0" applyFont="1"/>
    <xf numFmtId="0" fontId="19" fillId="0" borderId="9" xfId="0" applyFont="1" applyBorder="1" applyAlignment="1" applyProtection="1">
      <alignment horizontal="right"/>
      <protection hidden="1"/>
    </xf>
    <xf numFmtId="0" fontId="67" fillId="2" borderId="2" xfId="0" applyFont="1" applyFill="1" applyBorder="1" applyAlignment="1" applyProtection="1">
      <alignment horizontal="center"/>
      <protection locked="0" hidden="1"/>
    </xf>
    <xf numFmtId="0" fontId="31" fillId="3" borderId="0" xfId="0" applyFont="1" applyFill="1" applyBorder="1" applyAlignment="1" applyProtection="1">
      <alignment horizontal="center"/>
      <protection hidden="1"/>
    </xf>
    <xf numFmtId="0" fontId="31" fillId="3" borderId="0" xfId="0" applyFont="1" applyFill="1" applyBorder="1" applyAlignment="1" applyProtection="1">
      <alignment horizontal="left"/>
      <protection hidden="1"/>
    </xf>
    <xf numFmtId="0" fontId="13" fillId="2" borderId="0" xfId="0" applyFont="1" applyFill="1" applyBorder="1" applyAlignment="1" applyProtection="1">
      <alignment horizontal="center" wrapText="1"/>
      <protection locked="0"/>
    </xf>
    <xf numFmtId="0" fontId="6" fillId="3" borderId="25" xfId="0" applyFont="1" applyFill="1" applyBorder="1" applyProtection="1">
      <protection hidden="1"/>
    </xf>
    <xf numFmtId="39" fontId="8" fillId="3" borderId="0" xfId="0" applyNumberFormat="1" applyFont="1" applyFill="1" applyBorder="1" applyAlignment="1" applyProtection="1">
      <alignment horizontal="left"/>
      <protection hidden="1"/>
    </xf>
    <xf numFmtId="0" fontId="15" fillId="3" borderId="5" xfId="0" applyFont="1" applyFill="1" applyBorder="1" applyAlignment="1" applyProtection="1">
      <alignment horizontal="centerContinuous"/>
      <protection hidden="1"/>
    </xf>
    <xf numFmtId="0" fontId="0" fillId="3" borderId="5" xfId="0" applyFill="1" applyBorder="1" applyAlignment="1" applyProtection="1">
      <alignment horizontal="centerContinuous"/>
      <protection hidden="1"/>
    </xf>
    <xf numFmtId="4" fontId="0" fillId="3" borderId="5" xfId="0" applyNumberFormat="1" applyFill="1" applyBorder="1" applyAlignment="1" applyProtection="1">
      <alignment horizontal="centerContinuous"/>
      <protection hidden="1"/>
    </xf>
    <xf numFmtId="0" fontId="1" fillId="3" borderId="5" xfId="0" applyFont="1" applyFill="1" applyBorder="1" applyAlignment="1" applyProtection="1">
      <alignment horizontal="centerContinuous"/>
      <protection hidden="1"/>
    </xf>
    <xf numFmtId="0" fontId="87" fillId="2" borderId="0" xfId="0" applyFont="1" applyFill="1" applyAlignment="1" applyProtection="1">
      <alignment horizontal="left" vertical="top"/>
      <protection hidden="1"/>
    </xf>
    <xf numFmtId="0" fontId="1" fillId="3" borderId="31" xfId="0" applyFont="1" applyFill="1" applyBorder="1" applyAlignment="1" applyProtection="1">
      <alignment horizontal="right"/>
      <protection hidden="1"/>
    </xf>
    <xf numFmtId="38" fontId="5" fillId="2" borderId="0" xfId="0" applyNumberFormat="1" applyFont="1" applyFill="1" applyBorder="1" applyProtection="1">
      <protection locked="0"/>
    </xf>
    <xf numFmtId="1" fontId="34" fillId="2" borderId="0" xfId="0" applyNumberFormat="1" applyFont="1" applyFill="1" applyBorder="1" applyProtection="1">
      <protection locked="0"/>
    </xf>
    <xf numFmtId="164" fontId="4" fillId="2" borderId="6" xfId="0" quotePrefix="1" applyNumberFormat="1" applyFont="1" applyFill="1" applyBorder="1" applyAlignment="1" applyProtection="1">
      <alignment horizontal="right"/>
      <protection hidden="1"/>
    </xf>
    <xf numFmtId="40" fontId="6" fillId="2" borderId="0" xfId="0" applyNumberFormat="1" applyFont="1" applyFill="1" applyBorder="1" applyProtection="1">
      <protection hidden="1"/>
    </xf>
    <xf numFmtId="164" fontId="19" fillId="2" borderId="0" xfId="0" applyNumberFormat="1" applyFont="1" applyFill="1" applyBorder="1" applyAlignment="1" applyProtection="1">
      <alignment horizontal="left" vertical="top"/>
      <protection locked="0" hidden="1"/>
    </xf>
    <xf numFmtId="164" fontId="19" fillId="2" borderId="1" xfId="0" applyNumberFormat="1" applyFont="1" applyFill="1" applyBorder="1" applyAlignment="1" applyProtection="1">
      <alignment horizontal="left" vertical="top"/>
      <protection locked="0" hidden="1"/>
    </xf>
    <xf numFmtId="0" fontId="0" fillId="4" borderId="8" xfId="0" applyFill="1" applyBorder="1" applyProtection="1">
      <protection locked="0" hidden="1"/>
    </xf>
    <xf numFmtId="40" fontId="0" fillId="5" borderId="0" xfId="0" applyNumberFormat="1" applyFill="1" applyBorder="1" applyAlignment="1" applyProtection="1">
      <protection hidden="1"/>
    </xf>
    <xf numFmtId="38" fontId="99" fillId="2" borderId="0" xfId="0" applyNumberFormat="1" applyFont="1" applyFill="1" applyBorder="1" applyAlignment="1" applyProtection="1">
      <alignment horizontal="right"/>
      <protection hidden="1"/>
    </xf>
    <xf numFmtId="40" fontId="63" fillId="2" borderId="0" xfId="0" applyNumberFormat="1" applyFont="1" applyFill="1" applyBorder="1" applyAlignment="1" applyProtection="1">
      <protection hidden="1"/>
    </xf>
    <xf numFmtId="40" fontId="63" fillId="2" borderId="21" xfId="0" applyNumberFormat="1" applyFont="1" applyFill="1" applyBorder="1" applyAlignment="1" applyProtection="1">
      <protection hidden="1"/>
    </xf>
    <xf numFmtId="40" fontId="63" fillId="5" borderId="0" xfId="0" applyNumberFormat="1" applyFont="1" applyFill="1" applyBorder="1" applyAlignment="1" applyProtection="1">
      <protection hidden="1"/>
    </xf>
    <xf numFmtId="0" fontId="0" fillId="0" borderId="0" xfId="0" applyFill="1" applyAlignment="1" applyProtection="1">
      <protection hidden="1"/>
    </xf>
    <xf numFmtId="4" fontId="5" fillId="5" borderId="0" xfId="0" applyNumberFormat="1" applyFont="1" applyFill="1" applyAlignment="1" applyProtection="1">
      <alignment horizontal="center"/>
      <protection hidden="1"/>
    </xf>
    <xf numFmtId="0" fontId="4" fillId="0" borderId="0" xfId="0" quotePrefix="1" applyFont="1" applyAlignment="1" applyProtection="1">
      <alignment horizontal="center"/>
      <protection hidden="1"/>
    </xf>
    <xf numFmtId="4" fontId="0" fillId="5" borderId="0" xfId="0" applyNumberFormat="1" applyFill="1" applyAlignment="1" applyProtection="1">
      <alignment horizontal="center"/>
      <protection hidden="1"/>
    </xf>
    <xf numFmtId="0" fontId="4" fillId="5" borderId="0" xfId="0" quotePrefix="1" applyFont="1" applyFill="1" applyAlignment="1" applyProtection="1">
      <alignment horizontal="center"/>
      <protection hidden="1"/>
    </xf>
    <xf numFmtId="0" fontId="4" fillId="5" borderId="0" xfId="0" applyFont="1" applyFill="1" applyAlignment="1">
      <alignment horizontal="center"/>
    </xf>
    <xf numFmtId="0" fontId="8" fillId="5" borderId="0" xfId="0" applyFont="1" applyFill="1" applyAlignment="1">
      <alignment horizontal="center"/>
    </xf>
    <xf numFmtId="4" fontId="0" fillId="2" borderId="1" xfId="0" applyNumberFormat="1" applyFill="1" applyBorder="1" applyAlignment="1" applyProtection="1">
      <alignment horizontal="center"/>
      <protection locked="0"/>
    </xf>
    <xf numFmtId="1" fontId="0" fillId="5" borderId="0" xfId="0" applyNumberFormat="1" applyFill="1" applyAlignment="1" applyProtection="1">
      <protection hidden="1"/>
    </xf>
    <xf numFmtId="1" fontId="0" fillId="2" borderId="0" xfId="0" applyNumberFormat="1" applyFill="1" applyBorder="1" applyAlignment="1" applyProtection="1">
      <protection hidden="1"/>
    </xf>
    <xf numFmtId="1" fontId="4" fillId="2" borderId="0" xfId="0" applyNumberFormat="1" applyFont="1" applyFill="1" applyBorder="1" applyAlignment="1" applyProtection="1">
      <protection hidden="1"/>
    </xf>
    <xf numFmtId="1" fontId="4" fillId="2" borderId="0" xfId="0" applyNumberFormat="1" applyFont="1" applyFill="1" applyBorder="1" applyAlignment="1" applyProtection="1">
      <alignment horizontal="right"/>
      <protection hidden="1"/>
    </xf>
    <xf numFmtId="1" fontId="99" fillId="2" borderId="0" xfId="0" applyNumberFormat="1" applyFont="1" applyFill="1" applyBorder="1" applyAlignment="1" applyProtection="1">
      <alignment horizontal="right"/>
      <protection hidden="1"/>
    </xf>
    <xf numFmtId="1" fontId="0" fillId="2" borderId="0" xfId="0" applyNumberFormat="1" applyFill="1" applyBorder="1" applyAlignment="1" applyProtection="1">
      <alignment horizontal="right"/>
      <protection hidden="1"/>
    </xf>
    <xf numFmtId="1" fontId="0" fillId="2" borderId="21" xfId="0" applyNumberFormat="1" applyFill="1" applyBorder="1" applyAlignment="1" applyProtection="1">
      <alignment horizontal="right"/>
      <protection hidden="1"/>
    </xf>
    <xf numFmtId="1" fontId="0" fillId="5" borderId="0" xfId="0" applyNumberFormat="1" applyFill="1" applyBorder="1" applyAlignment="1" applyProtection="1">
      <alignment horizontal="right"/>
      <protection hidden="1"/>
    </xf>
    <xf numFmtId="1" fontId="0" fillId="2" borderId="0" xfId="0" applyNumberFormat="1" applyFill="1" applyAlignment="1" applyProtection="1">
      <protection hidden="1"/>
    </xf>
    <xf numFmtId="1" fontId="0" fillId="0" borderId="0" xfId="0" applyNumberFormat="1" applyAlignment="1" applyProtection="1">
      <protection hidden="1"/>
    </xf>
    <xf numFmtId="0" fontId="23" fillId="2" borderId="0" xfId="0" applyNumberFormat="1" applyFont="1" applyFill="1" applyProtection="1">
      <protection hidden="1"/>
    </xf>
    <xf numFmtId="0" fontId="23" fillId="4" borderId="0" xfId="0" applyFont="1" applyFill="1" applyAlignment="1" applyProtection="1">
      <protection locked="0"/>
    </xf>
    <xf numFmtId="0" fontId="5" fillId="2" borderId="0" xfId="0" applyFont="1" applyFill="1" applyBorder="1" applyAlignment="1" applyProtection="1">
      <alignment horizontal="left" vertical="center"/>
      <protection hidden="1"/>
    </xf>
    <xf numFmtId="0" fontId="32" fillId="2" borderId="1" xfId="0" applyFont="1" applyFill="1" applyBorder="1" applyProtection="1">
      <protection hidden="1"/>
    </xf>
    <xf numFmtId="0" fontId="1" fillId="3" borderId="0" xfId="0" applyFont="1" applyFill="1" applyBorder="1" applyProtection="1">
      <protection locked="0"/>
    </xf>
    <xf numFmtId="39" fontId="31" fillId="3" borderId="0" xfId="0" applyNumberFormat="1" applyFont="1" applyFill="1" applyBorder="1" applyAlignment="1" applyProtection="1">
      <alignment horizontal="center"/>
      <protection hidden="1"/>
    </xf>
    <xf numFmtId="0" fontId="31" fillId="2" borderId="0" xfId="0" applyFont="1" applyFill="1" applyAlignment="1" applyProtection="1">
      <alignment horizontal="center"/>
      <protection hidden="1"/>
    </xf>
    <xf numFmtId="4" fontId="33" fillId="3" borderId="0" xfId="0" applyNumberFormat="1" applyFont="1" applyFill="1" applyBorder="1" applyAlignment="1" applyProtection="1">
      <alignment horizontal="center"/>
      <protection hidden="1"/>
    </xf>
    <xf numFmtId="3" fontId="50" fillId="3" borderId="0" xfId="0" applyNumberFormat="1" applyFont="1" applyFill="1" applyBorder="1" applyAlignment="1" applyProtection="1">
      <alignment horizontal="center"/>
      <protection hidden="1"/>
    </xf>
    <xf numFmtId="4" fontId="23" fillId="2" borderId="0" xfId="0" applyNumberFormat="1" applyFont="1" applyFill="1" applyAlignment="1" applyProtection="1">
      <alignment horizontal="center"/>
      <protection hidden="1"/>
    </xf>
    <xf numFmtId="4" fontId="74" fillId="3" borderId="0" xfId="0" applyNumberFormat="1" applyFont="1" applyFill="1" applyBorder="1" applyAlignment="1" applyProtection="1">
      <alignment horizontal="right"/>
      <protection hidden="1"/>
    </xf>
    <xf numFmtId="39" fontId="31" fillId="3" borderId="6" xfId="0" applyNumberFormat="1" applyFont="1" applyFill="1" applyBorder="1" applyAlignment="1" applyProtection="1">
      <alignment horizontal="right" vertical="center"/>
      <protection hidden="1"/>
    </xf>
    <xf numFmtId="39" fontId="23" fillId="3" borderId="6" xfId="0" applyNumberFormat="1" applyFont="1" applyFill="1" applyBorder="1" applyAlignment="1" applyProtection="1">
      <alignment horizontal="right"/>
      <protection hidden="1"/>
    </xf>
    <xf numFmtId="40" fontId="23" fillId="2" borderId="0" xfId="0" applyNumberFormat="1" applyFont="1" applyFill="1" applyBorder="1" applyAlignment="1" applyProtection="1">
      <protection hidden="1"/>
    </xf>
    <xf numFmtId="0" fontId="0" fillId="0" borderId="0" xfId="0" applyBorder="1" applyAlignment="1">
      <alignment horizontal="right"/>
    </xf>
    <xf numFmtId="0" fontId="0" fillId="0" borderId="0" xfId="0" applyBorder="1" applyAlignment="1" applyProtection="1">
      <protection locked="0"/>
    </xf>
    <xf numFmtId="0" fontId="76" fillId="2" borderId="0" xfId="0" applyFont="1" applyFill="1" applyBorder="1" applyAlignment="1" applyProtection="1">
      <alignment horizontal="center"/>
      <protection hidden="1"/>
    </xf>
    <xf numFmtId="0" fontId="0" fillId="0" borderId="1" xfId="0" applyBorder="1" applyAlignment="1" applyProtection="1">
      <alignment horizontal="center"/>
      <protection hidden="1"/>
    </xf>
    <xf numFmtId="0" fontId="4" fillId="2" borderId="29" xfId="0" applyFont="1" applyFill="1" applyBorder="1" applyAlignment="1" applyProtection="1">
      <alignment horizontal="center"/>
      <protection hidden="1"/>
    </xf>
    <xf numFmtId="0" fontId="67" fillId="2" borderId="1" xfId="0" applyFont="1" applyFill="1" applyBorder="1" applyAlignment="1" applyProtection="1">
      <alignment horizontal="center"/>
      <protection hidden="1"/>
    </xf>
    <xf numFmtId="0" fontId="67" fillId="2" borderId="1" xfId="0" applyFont="1" applyFill="1" applyBorder="1" applyAlignment="1" applyProtection="1">
      <alignment horizontal="left"/>
      <protection hidden="1"/>
    </xf>
    <xf numFmtId="0" fontId="23" fillId="0" borderId="0" xfId="0" applyFont="1" applyAlignment="1" applyProtection="1">
      <alignment vertical="center" wrapText="1"/>
      <protection hidden="1"/>
    </xf>
    <xf numFmtId="0" fontId="23" fillId="0" borderId="0" xfId="0" applyFont="1" applyAlignment="1" applyProtection="1">
      <alignment wrapText="1"/>
      <protection hidden="1"/>
    </xf>
    <xf numFmtId="0" fontId="63" fillId="0" borderId="0" xfId="0" applyFont="1" applyProtection="1">
      <protection hidden="1"/>
    </xf>
    <xf numFmtId="0" fontId="63" fillId="0" borderId="0" xfId="0" applyFont="1" applyFill="1" applyBorder="1" applyAlignment="1" applyProtection="1">
      <alignment horizontal="center" wrapText="1"/>
      <protection hidden="1"/>
    </xf>
    <xf numFmtId="1" fontId="63" fillId="0" borderId="0" xfId="0" applyNumberFormat="1" applyFont="1" applyFill="1" applyBorder="1" applyProtection="1">
      <protection hidden="1"/>
    </xf>
    <xf numFmtId="0" fontId="23" fillId="2" borderId="0" xfId="0" applyFont="1" applyFill="1" applyAlignment="1" applyProtection="1">
      <alignment vertical="center" wrapText="1"/>
      <protection hidden="1"/>
    </xf>
    <xf numFmtId="4" fontId="23" fillId="0" borderId="0" xfId="0" applyNumberFormat="1" applyFont="1" applyFill="1" applyBorder="1" applyProtection="1">
      <protection hidden="1"/>
    </xf>
    <xf numFmtId="0" fontId="23" fillId="0" borderId="0" xfId="0" applyFont="1" applyFill="1" applyBorder="1" applyProtection="1">
      <protection hidden="1"/>
    </xf>
    <xf numFmtId="4" fontId="63" fillId="0" borderId="0" xfId="0" applyNumberFormat="1" applyFont="1" applyFill="1" applyBorder="1" applyProtection="1">
      <protection hidden="1"/>
    </xf>
    <xf numFmtId="4" fontId="19" fillId="0" borderId="2" xfId="0" applyNumberFormat="1" applyFont="1" applyBorder="1" applyProtection="1">
      <protection hidden="1"/>
    </xf>
    <xf numFmtId="0" fontId="4" fillId="2" borderId="1" xfId="0" applyFont="1" applyFill="1" applyBorder="1" applyAlignment="1" applyProtection="1">
      <alignment horizontal="center" wrapText="1"/>
      <protection hidden="1"/>
    </xf>
    <xf numFmtId="0" fontId="4" fillId="2" borderId="9" xfId="0" applyFont="1" applyFill="1" applyBorder="1" applyAlignment="1" applyProtection="1">
      <alignment horizontal="center" wrapText="1"/>
      <protection hidden="1"/>
    </xf>
    <xf numFmtId="0" fontId="23" fillId="0" borderId="0" xfId="0" applyFont="1" applyBorder="1" applyAlignment="1" applyProtection="1">
      <alignment wrapText="1"/>
      <protection hidden="1"/>
    </xf>
    <xf numFmtId="0" fontId="4" fillId="2" borderId="1" xfId="0" applyFont="1" applyFill="1" applyBorder="1" applyAlignment="1" applyProtection="1">
      <alignment horizontal="left" wrapText="1"/>
      <protection hidden="1"/>
    </xf>
    <xf numFmtId="3" fontId="0" fillId="2" borderId="1" xfId="0" applyNumberFormat="1" applyFill="1" applyBorder="1" applyProtection="1">
      <protection hidden="1"/>
    </xf>
    <xf numFmtId="3" fontId="0" fillId="2" borderId="0" xfId="0" applyNumberFormat="1" applyFill="1" applyBorder="1" applyProtection="1">
      <protection hidden="1"/>
    </xf>
    <xf numFmtId="0" fontId="119" fillId="3" borderId="3" xfId="0" applyFont="1" applyFill="1" applyBorder="1" applyAlignment="1" applyProtection="1">
      <alignment horizontal="right"/>
      <protection hidden="1"/>
    </xf>
    <xf numFmtId="0" fontId="0" fillId="0" borderId="0" xfId="0" applyAlignment="1" applyProtection="1">
      <alignment horizontal="left"/>
      <protection hidden="1"/>
    </xf>
    <xf numFmtId="40" fontId="80" fillId="2" borderId="0" xfId="0" applyNumberFormat="1" applyFont="1" applyFill="1" applyBorder="1" applyAlignment="1" applyProtection="1">
      <protection hidden="1"/>
    </xf>
    <xf numFmtId="0" fontId="78" fillId="14" borderId="64" xfId="2" applyFill="1" applyBorder="1" applyAlignment="1" applyProtection="1">
      <alignment horizontal="centerContinuous"/>
    </xf>
    <xf numFmtId="0" fontId="78" fillId="14" borderId="65" xfId="2" applyFill="1" applyBorder="1" applyAlignment="1" applyProtection="1">
      <alignment horizontal="centerContinuous"/>
    </xf>
    <xf numFmtId="0" fontId="78" fillId="14" borderId="66" xfId="2" applyFill="1" applyBorder="1" applyAlignment="1" applyProtection="1">
      <alignment horizontal="centerContinuous"/>
    </xf>
    <xf numFmtId="3" fontId="7" fillId="3" borderId="16" xfId="0" applyNumberFormat="1" applyFont="1" applyFill="1" applyBorder="1" applyProtection="1">
      <protection hidden="1"/>
    </xf>
    <xf numFmtId="0" fontId="63" fillId="3" borderId="0" xfId="0" applyFont="1" applyFill="1" applyBorder="1" applyAlignment="1" applyProtection="1">
      <alignment horizontal="center"/>
      <protection hidden="1"/>
    </xf>
    <xf numFmtId="0" fontId="4" fillId="0" borderId="0" xfId="0" applyFont="1" applyAlignment="1">
      <alignment horizontal="left"/>
    </xf>
    <xf numFmtId="0" fontId="107" fillId="0" borderId="0" xfId="0" applyFont="1" applyProtection="1">
      <protection hidden="1"/>
    </xf>
    <xf numFmtId="0" fontId="13" fillId="0" borderId="0" xfId="0" applyFont="1" applyProtection="1">
      <protection hidden="1"/>
    </xf>
    <xf numFmtId="0" fontId="8" fillId="2" borderId="23" xfId="0" applyFont="1" applyFill="1" applyBorder="1" applyProtection="1">
      <protection hidden="1"/>
    </xf>
    <xf numFmtId="0" fontId="67" fillId="5" borderId="0" xfId="0" applyFont="1" applyFill="1" applyAlignment="1">
      <alignment horizontal="center"/>
    </xf>
    <xf numFmtId="0" fontId="6" fillId="2" borderId="6" xfId="0" applyFont="1" applyFill="1" applyBorder="1" applyAlignment="1" applyProtection="1">
      <protection hidden="1"/>
    </xf>
    <xf numFmtId="38" fontId="5" fillId="2" borderId="9" xfId="0" applyNumberFormat="1" applyFont="1" applyFill="1" applyBorder="1" applyProtection="1">
      <protection hidden="1"/>
    </xf>
    <xf numFmtId="164" fontId="4" fillId="4" borderId="0" xfId="0" applyNumberFormat="1" applyFont="1" applyFill="1" applyAlignment="1" applyProtection="1">
      <protection locked="0" hidden="1"/>
    </xf>
    <xf numFmtId="164" fontId="4" fillId="4" borderId="0" xfId="0" applyNumberFormat="1" applyFont="1" applyFill="1" applyBorder="1" applyAlignment="1" applyProtection="1">
      <protection locked="0" hidden="1"/>
    </xf>
    <xf numFmtId="40" fontId="13" fillId="4" borderId="0" xfId="0" applyNumberFormat="1" applyFont="1" applyFill="1" applyAlignment="1" applyProtection="1">
      <alignment horizontal="right"/>
      <protection locked="0" hidden="1"/>
    </xf>
    <xf numFmtId="40" fontId="21" fillId="4" borderId="0" xfId="0" applyNumberFormat="1" applyFont="1" applyFill="1" applyAlignment="1" applyProtection="1">
      <alignment horizontal="right"/>
      <protection locked="0" hidden="1"/>
    </xf>
    <xf numFmtId="0" fontId="0" fillId="4" borderId="0" xfId="0" applyFill="1" applyBorder="1" applyAlignment="1" applyProtection="1">
      <protection locked="0" hidden="1"/>
    </xf>
    <xf numFmtId="40" fontId="79" fillId="2" borderId="0" xfId="0" applyNumberFormat="1" applyFont="1" applyFill="1" applyBorder="1" applyAlignment="1" applyProtection="1">
      <alignment horizontal="right"/>
      <protection hidden="1"/>
    </xf>
    <xf numFmtId="40" fontId="79" fillId="5" borderId="0" xfId="0" applyNumberFormat="1" applyFont="1" applyFill="1" applyBorder="1" applyAlignment="1" applyProtection="1">
      <alignment horizontal="right"/>
      <protection hidden="1"/>
    </xf>
    <xf numFmtId="0" fontId="0" fillId="4" borderId="0" xfId="0" applyFill="1" applyBorder="1" applyProtection="1">
      <protection locked="0"/>
    </xf>
    <xf numFmtId="0" fontId="32" fillId="4" borderId="0" xfId="0" applyFont="1" applyFill="1" applyBorder="1" applyProtection="1">
      <protection locked="0" hidden="1"/>
    </xf>
    <xf numFmtId="0" fontId="23" fillId="4" borderId="0" xfId="0" applyFont="1" applyFill="1" applyAlignment="1" applyProtection="1">
      <alignment vertical="center"/>
      <protection locked="0"/>
    </xf>
    <xf numFmtId="0" fontId="69" fillId="2" borderId="0" xfId="0" applyFont="1" applyFill="1" applyBorder="1" applyAlignment="1" applyProtection="1">
      <alignment horizontal="right"/>
      <protection hidden="1"/>
    </xf>
    <xf numFmtId="0" fontId="4" fillId="2" borderId="0" xfId="0" applyFont="1" applyFill="1"/>
    <xf numFmtId="164" fontId="19" fillId="2" borderId="6" xfId="0" applyNumberFormat="1" applyFont="1" applyFill="1" applyBorder="1" applyAlignment="1" applyProtection="1">
      <alignment horizontal="center"/>
      <protection hidden="1"/>
    </xf>
    <xf numFmtId="0" fontId="107" fillId="2" borderId="0" xfId="0" applyFont="1" applyFill="1" applyBorder="1" applyProtection="1">
      <protection hidden="1"/>
    </xf>
    <xf numFmtId="40" fontId="67" fillId="2" borderId="0" xfId="0" applyNumberFormat="1" applyFont="1" applyFill="1" applyBorder="1" applyProtection="1">
      <protection hidden="1"/>
    </xf>
    <xf numFmtId="0" fontId="23" fillId="2" borderId="0" xfId="0" applyFont="1" applyFill="1" applyBorder="1" applyAlignment="1">
      <alignment horizontal="right"/>
    </xf>
    <xf numFmtId="4" fontId="31" fillId="2" borderId="0" xfId="0" applyNumberFormat="1" applyFont="1" applyFill="1" applyBorder="1" applyAlignment="1" applyProtection="1">
      <alignment horizontal="center"/>
      <protection hidden="1"/>
    </xf>
    <xf numFmtId="164" fontId="13" fillId="4" borderId="6" xfId="0" applyNumberFormat="1" applyFont="1" applyFill="1" applyBorder="1" applyAlignment="1" applyProtection="1">
      <protection locked="0" hidden="1"/>
    </xf>
    <xf numFmtId="40" fontId="79" fillId="2" borderId="21" xfId="0" applyNumberFormat="1" applyFont="1" applyFill="1" applyBorder="1" applyAlignment="1" applyProtection="1">
      <alignment horizontal="right"/>
      <protection hidden="1"/>
    </xf>
    <xf numFmtId="164" fontId="4" fillId="2" borderId="22" xfId="0" applyNumberFormat="1" applyFont="1" applyFill="1" applyBorder="1" applyAlignment="1" applyProtection="1">
      <alignment horizontal="center"/>
      <protection hidden="1"/>
    </xf>
    <xf numFmtId="0" fontId="1" fillId="2" borderId="5" xfId="0" applyFont="1" applyFill="1" applyBorder="1" applyAlignment="1" applyProtection="1">
      <alignment horizontal="center"/>
      <protection hidden="1"/>
    </xf>
    <xf numFmtId="0" fontId="19" fillId="2" borderId="5" xfId="0" applyFont="1" applyFill="1" applyBorder="1" applyAlignment="1" applyProtection="1">
      <protection hidden="1"/>
    </xf>
    <xf numFmtId="164" fontId="63" fillId="2" borderId="5" xfId="0" applyNumberFormat="1" applyFont="1" applyFill="1" applyBorder="1" applyAlignment="1" applyProtection="1">
      <alignment horizontal="right"/>
      <protection hidden="1"/>
    </xf>
    <xf numFmtId="3" fontId="63" fillId="2" borderId="5" xfId="0" applyNumberFormat="1" applyFont="1" applyFill="1" applyBorder="1" applyAlignment="1" applyProtection="1">
      <protection hidden="1"/>
    </xf>
    <xf numFmtId="3" fontId="23" fillId="2" borderId="5" xfId="0" applyNumberFormat="1" applyFont="1" applyFill="1" applyBorder="1" applyAlignment="1"/>
    <xf numFmtId="38" fontId="0" fillId="2" borderId="23" xfId="0" applyNumberFormat="1" applyFill="1" applyBorder="1" applyAlignment="1" applyProtection="1">
      <alignment horizontal="right"/>
      <protection hidden="1"/>
    </xf>
    <xf numFmtId="164" fontId="4" fillId="16" borderId="6" xfId="0" applyNumberFormat="1" applyFont="1" applyFill="1" applyBorder="1" applyAlignment="1" applyProtection="1">
      <alignment horizontal="center"/>
      <protection hidden="1"/>
    </xf>
    <xf numFmtId="0" fontId="1" fillId="16" borderId="0" xfId="0" applyFont="1" applyFill="1" applyBorder="1" applyAlignment="1" applyProtection="1">
      <alignment horizontal="center"/>
      <protection hidden="1"/>
    </xf>
    <xf numFmtId="0" fontId="19" fillId="16" borderId="0" xfId="0" applyFont="1" applyFill="1" applyBorder="1" applyAlignment="1" applyProtection="1">
      <protection hidden="1"/>
    </xf>
    <xf numFmtId="0" fontId="0" fillId="16" borderId="0" xfId="0" applyFill="1" applyBorder="1" applyAlignment="1" applyProtection="1">
      <protection hidden="1"/>
    </xf>
    <xf numFmtId="164" fontId="63" fillId="16" borderId="0" xfId="0" applyNumberFormat="1" applyFont="1" applyFill="1" applyBorder="1" applyProtection="1">
      <protection hidden="1"/>
    </xf>
    <xf numFmtId="164" fontId="63" fillId="16" borderId="0" xfId="0" applyNumberFormat="1" applyFont="1" applyFill="1" applyBorder="1" applyAlignment="1" applyProtection="1">
      <alignment horizontal="right"/>
      <protection hidden="1"/>
    </xf>
    <xf numFmtId="3" fontId="63" fillId="16" borderId="0" xfId="0" applyNumberFormat="1" applyFont="1" applyFill="1" applyBorder="1" applyAlignment="1" applyProtection="1">
      <protection hidden="1"/>
    </xf>
    <xf numFmtId="3" fontId="23" fillId="16" borderId="0" xfId="0" applyNumberFormat="1" applyFont="1" applyFill="1" applyBorder="1" applyAlignment="1"/>
    <xf numFmtId="38" fontId="0" fillId="16" borderId="21" xfId="0" applyNumberFormat="1" applyFill="1" applyBorder="1" applyAlignment="1" applyProtection="1">
      <alignment horizontal="right"/>
      <protection hidden="1"/>
    </xf>
    <xf numFmtId="40" fontId="76" fillId="2" borderId="0" xfId="0" applyNumberFormat="1" applyFont="1" applyFill="1" applyBorder="1" applyAlignment="1" applyProtection="1">
      <alignment horizontal="right"/>
      <protection hidden="1"/>
    </xf>
    <xf numFmtId="40" fontId="26" fillId="2" borderId="0" xfId="0" applyNumberFormat="1" applyFont="1" applyFill="1" applyBorder="1" applyAlignment="1" applyProtection="1">
      <alignment horizontal="right" vertical="center"/>
      <protection hidden="1"/>
    </xf>
    <xf numFmtId="0" fontId="67" fillId="2" borderId="9" xfId="0" applyFont="1" applyFill="1" applyBorder="1" applyAlignment="1" applyProtection="1">
      <alignment horizontal="left"/>
      <protection hidden="1"/>
    </xf>
    <xf numFmtId="49" fontId="61" fillId="3" borderId="18" xfId="0" applyNumberFormat="1" applyFont="1" applyFill="1" applyBorder="1" applyAlignment="1" applyProtection="1">
      <alignment horizontal="right" vertical="center"/>
      <protection hidden="1"/>
    </xf>
    <xf numFmtId="49" fontId="1" fillId="3" borderId="14" xfId="0" applyNumberFormat="1" applyFont="1" applyFill="1" applyBorder="1" applyAlignment="1" applyProtection="1">
      <alignment horizontal="center"/>
      <protection hidden="1"/>
    </xf>
    <xf numFmtId="4" fontId="50" fillId="3" borderId="3" xfId="0" applyNumberFormat="1" applyFont="1" applyFill="1" applyBorder="1" applyProtection="1">
      <protection hidden="1"/>
    </xf>
    <xf numFmtId="4" fontId="5" fillId="3" borderId="1" xfId="0" applyNumberFormat="1" applyFont="1" applyFill="1" applyBorder="1" applyAlignment="1" applyProtection="1">
      <alignment horizontal="right"/>
      <protection hidden="1"/>
    </xf>
    <xf numFmtId="4" fontId="6" fillId="3" borderId="15" xfId="0" applyNumberFormat="1" applyFont="1" applyFill="1" applyBorder="1" applyAlignment="1" applyProtection="1">
      <alignment horizontal="right" vertical="center"/>
      <protection hidden="1"/>
    </xf>
    <xf numFmtId="164" fontId="96" fillId="2" borderId="0" xfId="0" applyNumberFormat="1" applyFont="1" applyFill="1" applyBorder="1" applyProtection="1">
      <protection hidden="1"/>
    </xf>
    <xf numFmtId="38" fontId="120" fillId="2" borderId="21" xfId="0" applyNumberFormat="1" applyFont="1" applyFill="1" applyBorder="1" applyAlignment="1" applyProtection="1">
      <alignment horizontal="right"/>
      <protection hidden="1"/>
    </xf>
    <xf numFmtId="40" fontId="120" fillId="5" borderId="0" xfId="0" applyNumberFormat="1" applyFont="1" applyFill="1" applyBorder="1" applyProtection="1">
      <protection hidden="1"/>
    </xf>
    <xf numFmtId="0" fontId="120" fillId="2" borderId="0" xfId="0" applyFont="1" applyFill="1" applyProtection="1">
      <protection hidden="1"/>
    </xf>
    <xf numFmtId="40" fontId="120" fillId="2" borderId="21" xfId="0" applyNumberFormat="1" applyFont="1" applyFill="1" applyBorder="1" applyProtection="1">
      <protection hidden="1"/>
    </xf>
    <xf numFmtId="40" fontId="120" fillId="2" borderId="0" xfId="0" applyNumberFormat="1" applyFont="1" applyFill="1" applyBorder="1" applyProtection="1">
      <protection hidden="1"/>
    </xf>
    <xf numFmtId="40" fontId="120" fillId="2" borderId="0" xfId="0" applyNumberFormat="1" applyFont="1" applyFill="1" applyBorder="1" applyAlignment="1" applyProtection="1">
      <protection hidden="1"/>
    </xf>
    <xf numFmtId="4" fontId="6" fillId="3" borderId="1" xfId="0" applyNumberFormat="1" applyFont="1" applyFill="1" applyBorder="1" applyAlignment="1" applyProtection="1">
      <alignment horizontal="right"/>
      <protection hidden="1"/>
    </xf>
    <xf numFmtId="0" fontId="5" fillId="3" borderId="67" xfId="0" applyFont="1" applyFill="1" applyBorder="1" applyAlignment="1" applyProtection="1">
      <protection hidden="1"/>
    </xf>
    <xf numFmtId="0" fontId="120" fillId="4" borderId="0" xfId="0" applyFont="1" applyFill="1" applyAlignment="1" applyProtection="1">
      <protection locked="0"/>
    </xf>
    <xf numFmtId="0" fontId="120" fillId="4" borderId="0" xfId="0" applyFont="1" applyFill="1" applyBorder="1" applyProtection="1">
      <protection locked="0"/>
    </xf>
    <xf numFmtId="0" fontId="120" fillId="4" borderId="0" xfId="0" applyFont="1" applyFill="1" applyProtection="1">
      <protection locked="0"/>
    </xf>
    <xf numFmtId="0" fontId="120" fillId="4" borderId="0" xfId="0" applyFont="1" applyFill="1" applyAlignment="1" applyProtection="1">
      <alignment vertical="center"/>
      <protection locked="0"/>
    </xf>
    <xf numFmtId="0" fontId="67" fillId="5" borderId="0" xfId="0" applyFont="1" applyFill="1"/>
    <xf numFmtId="4" fontId="34" fillId="0" borderId="0" xfId="0" applyNumberFormat="1" applyFont="1" applyFill="1" applyBorder="1" applyProtection="1">
      <protection hidden="1"/>
    </xf>
    <xf numFmtId="4" fontId="118" fillId="2" borderId="0" xfId="0" applyNumberFormat="1" applyFont="1" applyFill="1" applyBorder="1" applyAlignment="1" applyProtection="1">
      <alignment horizontal="center"/>
      <protection hidden="1"/>
    </xf>
    <xf numFmtId="2" fontId="0" fillId="0" borderId="0" xfId="0" applyNumberFormat="1" applyProtection="1">
      <protection hidden="1"/>
    </xf>
    <xf numFmtId="4" fontId="23" fillId="2" borderId="3" xfId="0" applyNumberFormat="1" applyFont="1" applyFill="1" applyBorder="1" applyProtection="1">
      <protection hidden="1"/>
    </xf>
    <xf numFmtId="4" fontId="23" fillId="2" borderId="3" xfId="0" applyNumberFormat="1" applyFont="1" applyFill="1" applyBorder="1" applyAlignment="1" applyProtection="1">
      <alignment horizontal="left" vertical="center" wrapText="1"/>
      <protection hidden="1"/>
    </xf>
    <xf numFmtId="4" fontId="23" fillId="2" borderId="25" xfId="0" applyNumberFormat="1" applyFont="1" applyFill="1" applyBorder="1" applyProtection="1">
      <protection hidden="1"/>
    </xf>
    <xf numFmtId="0" fontId="107" fillId="2" borderId="3" xfId="0" applyFont="1" applyFill="1" applyBorder="1" applyAlignment="1" applyProtection="1">
      <alignment horizontal="left"/>
      <protection hidden="1"/>
    </xf>
    <xf numFmtId="0" fontId="107" fillId="2" borderId="0" xfId="0" applyFont="1" applyFill="1" applyAlignment="1" applyProtection="1">
      <alignment horizontal="left"/>
      <protection hidden="1"/>
    </xf>
    <xf numFmtId="0" fontId="19" fillId="2" borderId="8" xfId="0" applyFont="1" applyFill="1" applyBorder="1" applyProtection="1">
      <protection hidden="1"/>
    </xf>
    <xf numFmtId="37" fontId="19" fillId="2" borderId="0" xfId="0" applyNumberFormat="1" applyFont="1" applyFill="1" applyBorder="1" applyProtection="1">
      <protection hidden="1"/>
    </xf>
    <xf numFmtId="0" fontId="0" fillId="2" borderId="0" xfId="0" quotePrefix="1" applyFill="1" applyBorder="1" applyProtection="1">
      <protection hidden="1"/>
    </xf>
    <xf numFmtId="37" fontId="23" fillId="2" borderId="0" xfId="0" applyNumberFormat="1" applyFont="1" applyFill="1" applyBorder="1" applyProtection="1">
      <protection hidden="1"/>
    </xf>
    <xf numFmtId="0" fontId="13" fillId="2" borderId="24" xfId="0" applyFont="1" applyFill="1" applyBorder="1" applyProtection="1">
      <protection hidden="1"/>
    </xf>
    <xf numFmtId="0" fontId="26" fillId="2" borderId="8" xfId="0" applyFont="1" applyFill="1" applyBorder="1" applyProtection="1">
      <protection hidden="1"/>
    </xf>
    <xf numFmtId="0" fontId="26" fillId="2" borderId="0" xfId="0" applyFont="1" applyFill="1" applyBorder="1" applyProtection="1">
      <protection hidden="1"/>
    </xf>
    <xf numFmtId="0" fontId="23" fillId="2" borderId="0" xfId="0" applyFont="1" applyFill="1" applyBorder="1" applyAlignment="1" applyProtection="1">
      <alignment horizontal="center"/>
      <protection hidden="1"/>
    </xf>
    <xf numFmtId="3" fontId="9" fillId="3" borderId="9" xfId="0" applyNumberFormat="1" applyFont="1" applyFill="1" applyBorder="1" applyAlignment="1" applyProtection="1">
      <alignment horizontal="center"/>
      <protection hidden="1"/>
    </xf>
    <xf numFmtId="0" fontId="9" fillId="3" borderId="16" xfId="0" applyFont="1" applyFill="1" applyBorder="1" applyAlignment="1" applyProtection="1">
      <alignment horizontal="center"/>
      <protection hidden="1"/>
    </xf>
    <xf numFmtId="4" fontId="15" fillId="3" borderId="0" xfId="0" applyNumberFormat="1" applyFont="1" applyFill="1" applyBorder="1" applyAlignment="1" applyProtection="1">
      <alignment horizontal="left" vertical="center"/>
      <protection hidden="1"/>
    </xf>
    <xf numFmtId="39" fontId="8" fillId="3" borderId="6" xfId="0" applyNumberFormat="1" applyFont="1" applyFill="1" applyBorder="1" applyAlignment="1" applyProtection="1">
      <alignment horizontal="right"/>
      <protection hidden="1"/>
    </xf>
    <xf numFmtId="0" fontId="121" fillId="0" borderId="0" xfId="0" applyFont="1" applyProtection="1">
      <protection hidden="1"/>
    </xf>
    <xf numFmtId="0" fontId="121" fillId="0" borderId="0" xfId="0" applyFont="1"/>
    <xf numFmtId="0" fontId="0" fillId="2" borderId="9" xfId="0" applyFill="1" applyBorder="1" applyAlignment="1" applyProtection="1">
      <alignment vertical="center"/>
      <protection hidden="1"/>
    </xf>
    <xf numFmtId="0" fontId="4" fillId="2" borderId="16" xfId="0" applyFont="1" applyFill="1" applyBorder="1" applyAlignment="1" applyProtection="1">
      <alignment horizontal="center" vertical="center"/>
      <protection hidden="1"/>
    </xf>
    <xf numFmtId="3" fontId="0" fillId="2" borderId="31" xfId="0" applyNumberFormat="1" applyFill="1" applyBorder="1" applyAlignment="1" applyProtection="1">
      <alignment vertical="center"/>
      <protection hidden="1"/>
    </xf>
    <xf numFmtId="0" fontId="0" fillId="2" borderId="5" xfId="0" applyFill="1" applyBorder="1" applyAlignment="1" applyProtection="1">
      <alignment vertical="center"/>
      <protection hidden="1"/>
    </xf>
    <xf numFmtId="0" fontId="0" fillId="5" borderId="68" xfId="0" applyFill="1" applyBorder="1"/>
    <xf numFmtId="0" fontId="0" fillId="2" borderId="68" xfId="0" applyFill="1" applyBorder="1" applyProtection="1">
      <protection hidden="1"/>
    </xf>
    <xf numFmtId="0" fontId="4" fillId="2" borderId="68" xfId="0" applyFont="1" applyFill="1" applyBorder="1" applyAlignment="1" applyProtection="1">
      <alignment horizontal="center"/>
      <protection hidden="1"/>
    </xf>
    <xf numFmtId="0" fontId="8" fillId="2" borderId="68" xfId="0" applyFont="1" applyFill="1" applyBorder="1" applyAlignment="1" applyProtection="1">
      <alignment horizontal="center"/>
      <protection hidden="1"/>
    </xf>
    <xf numFmtId="0" fontId="0" fillId="5" borderId="68" xfId="0" applyFill="1" applyBorder="1" applyProtection="1">
      <protection hidden="1"/>
    </xf>
    <xf numFmtId="0" fontId="0" fillId="10" borderId="68" xfId="0" applyFill="1" applyBorder="1" applyProtection="1">
      <protection hidden="1"/>
    </xf>
    <xf numFmtId="0" fontId="0" fillId="0" borderId="68" xfId="0" applyBorder="1"/>
    <xf numFmtId="173" fontId="50" fillId="3" borderId="31" xfId="0" applyNumberFormat="1" applyFont="1" applyFill="1" applyBorder="1" applyAlignment="1" applyProtection="1">
      <alignment horizontal="right"/>
      <protection hidden="1"/>
    </xf>
    <xf numFmtId="0" fontId="23" fillId="2" borderId="0" xfId="0" applyFont="1" applyFill="1"/>
    <xf numFmtId="0" fontId="76" fillId="2" borderId="0" xfId="0" applyFont="1" applyFill="1" applyBorder="1" applyAlignment="1" applyProtection="1">
      <alignment horizontal="center" vertical="center"/>
      <protection hidden="1"/>
    </xf>
    <xf numFmtId="0" fontId="69" fillId="4" borderId="8" xfId="0" applyFont="1" applyFill="1" applyBorder="1" applyAlignment="1" applyProtection="1">
      <alignment horizontal="right"/>
      <protection locked="0" hidden="1"/>
    </xf>
    <xf numFmtId="164" fontId="19" fillId="2" borderId="0" xfId="0" applyNumberFormat="1" applyFont="1" applyFill="1" applyBorder="1" applyAlignment="1" applyProtection="1">
      <alignment horizontal="left" vertical="center"/>
      <protection hidden="1"/>
    </xf>
    <xf numFmtId="0" fontId="69" fillId="4" borderId="0" xfId="0" applyFont="1" applyFill="1" applyBorder="1" applyAlignment="1" applyProtection="1">
      <alignment horizontal="right"/>
      <protection locked="0" hidden="1"/>
    </xf>
    <xf numFmtId="0" fontId="99" fillId="2" borderId="0" xfId="0" applyFont="1" applyFill="1" applyBorder="1" applyProtection="1">
      <protection hidden="1"/>
    </xf>
    <xf numFmtId="49" fontId="7" fillId="2" borderId="6" xfId="0" applyNumberFormat="1" applyFont="1" applyFill="1" applyBorder="1" applyAlignment="1" applyProtection="1">
      <alignment horizontal="left" vertical="center"/>
      <protection hidden="1"/>
    </xf>
    <xf numFmtId="0" fontId="0" fillId="2" borderId="21" xfId="0" applyFill="1" applyBorder="1" applyAlignment="1" applyProtection="1">
      <alignment horizontal="left" vertical="center"/>
      <protection hidden="1"/>
    </xf>
    <xf numFmtId="49" fontId="42" fillId="2" borderId="0" xfId="0" quotePrefix="1" applyNumberFormat="1" applyFont="1" applyFill="1" applyBorder="1" applyAlignment="1" applyProtection="1">
      <alignment horizontal="left"/>
      <protection hidden="1"/>
    </xf>
    <xf numFmtId="40" fontId="76" fillId="2" borderId="0" xfId="0" applyNumberFormat="1" applyFont="1" applyFill="1" applyBorder="1" applyAlignment="1" applyProtection="1">
      <alignment horizontal="center"/>
      <protection hidden="1"/>
    </xf>
    <xf numFmtId="0" fontId="22" fillId="2" borderId="5" xfId="0" applyFont="1" applyFill="1" applyBorder="1" applyAlignment="1" applyProtection="1">
      <alignment horizontal="left" vertical="center"/>
      <protection hidden="1"/>
    </xf>
    <xf numFmtId="0" fontId="4" fillId="2" borderId="5" xfId="0" applyFont="1" applyFill="1" applyBorder="1" applyAlignment="1" applyProtection="1">
      <alignment horizontal="right" wrapText="1"/>
      <protection hidden="1"/>
    </xf>
    <xf numFmtId="0" fontId="4" fillId="2" borderId="0" xfId="0" applyFont="1" applyFill="1" applyBorder="1" applyAlignment="1" applyProtection="1">
      <alignment horizontal="right" wrapText="1"/>
      <protection hidden="1"/>
    </xf>
    <xf numFmtId="0" fontId="0" fillId="0" borderId="0" xfId="0" applyAlignment="1" applyProtection="1">
      <alignment vertical="top"/>
      <protection hidden="1"/>
    </xf>
    <xf numFmtId="0" fontId="0" fillId="0" borderId="0" xfId="0" applyAlignment="1" applyProtection="1">
      <alignment vertical="top" wrapText="1"/>
      <protection hidden="1"/>
    </xf>
    <xf numFmtId="0" fontId="14" fillId="2" borderId="8" xfId="0" applyFont="1" applyFill="1" applyBorder="1" applyProtection="1">
      <protection hidden="1"/>
    </xf>
    <xf numFmtId="0" fontId="14" fillId="2" borderId="8" xfId="0" applyFont="1" applyFill="1" applyBorder="1" applyAlignment="1" applyProtection="1">
      <alignment horizontal="right"/>
      <protection hidden="1"/>
    </xf>
    <xf numFmtId="0" fontId="13" fillId="2" borderId="5" xfId="0" applyFont="1" applyFill="1" applyBorder="1" applyProtection="1">
      <protection hidden="1"/>
    </xf>
    <xf numFmtId="0" fontId="13" fillId="2" borderId="5" xfId="0" applyFont="1" applyFill="1" applyBorder="1" applyAlignment="1" applyProtection="1">
      <alignment horizontal="right"/>
      <protection hidden="1"/>
    </xf>
    <xf numFmtId="0" fontId="4" fillId="2" borderId="6" xfId="0" applyFont="1" applyFill="1" applyBorder="1" applyAlignment="1" applyProtection="1">
      <alignment horizontal="right" vertical="top"/>
      <protection hidden="1"/>
    </xf>
    <xf numFmtId="0" fontId="0" fillId="2" borderId="1" xfId="0" applyFill="1" applyBorder="1" applyAlignment="1" applyProtection="1">
      <alignment vertical="top" wrapText="1"/>
      <protection hidden="1"/>
    </xf>
    <xf numFmtId="0" fontId="0" fillId="2" borderId="0" xfId="0" applyFill="1" applyBorder="1" applyAlignment="1" applyProtection="1">
      <alignment vertical="top" wrapText="1"/>
      <protection hidden="1"/>
    </xf>
    <xf numFmtId="0" fontId="51" fillId="2" borderId="5" xfId="0" applyFont="1" applyFill="1" applyBorder="1" applyAlignment="1" applyProtection="1">
      <alignment horizontal="left" vertical="center"/>
      <protection hidden="1"/>
    </xf>
    <xf numFmtId="3" fontId="0" fillId="2" borderId="13" xfId="0" applyNumberFormat="1" applyFill="1" applyBorder="1" applyProtection="1">
      <protection locked="0"/>
    </xf>
    <xf numFmtId="0" fontId="0" fillId="2" borderId="21" xfId="0" applyFill="1" applyBorder="1" applyAlignment="1" applyProtection="1">
      <alignment vertical="top" wrapText="1"/>
      <protection hidden="1"/>
    </xf>
    <xf numFmtId="0" fontId="0" fillId="2" borderId="0" xfId="0" applyFill="1" applyAlignment="1" applyProtection="1">
      <alignment vertical="top" wrapText="1"/>
      <protection hidden="1"/>
    </xf>
    <xf numFmtId="164" fontId="67" fillId="2" borderId="0" xfId="0" applyNumberFormat="1" applyFont="1" applyFill="1" applyBorder="1" applyProtection="1">
      <protection hidden="1"/>
    </xf>
    <xf numFmtId="40" fontId="120" fillId="2" borderId="0" xfId="0" applyNumberFormat="1" applyFont="1" applyFill="1" applyBorder="1" applyAlignment="1" applyProtection="1">
      <alignment horizontal="right"/>
      <protection hidden="1"/>
    </xf>
    <xf numFmtId="4" fontId="5" fillId="9" borderId="0" xfId="0" applyNumberFormat="1" applyFont="1" applyFill="1" applyBorder="1" applyProtection="1">
      <protection hidden="1"/>
    </xf>
    <xf numFmtId="0" fontId="0" fillId="5" borderId="0" xfId="0" applyFill="1" applyAlignment="1">
      <alignment horizontal="centerContinuous"/>
    </xf>
    <xf numFmtId="0" fontId="67" fillId="5" borderId="0" xfId="0" applyFont="1" applyFill="1" applyAlignment="1">
      <alignment horizontal="centerContinuous"/>
    </xf>
    <xf numFmtId="0" fontId="77" fillId="5" borderId="0" xfId="0" applyFont="1" applyFill="1" applyAlignment="1" applyProtection="1">
      <alignment horizontal="centerContinuous"/>
      <protection hidden="1"/>
    </xf>
    <xf numFmtId="0" fontId="67" fillId="5" borderId="0" xfId="0" applyFont="1" applyFill="1" applyAlignment="1" applyProtection="1">
      <alignment vertical="center"/>
      <protection hidden="1"/>
    </xf>
    <xf numFmtId="4" fontId="6" fillId="2" borderId="2" xfId="0" applyNumberFormat="1" applyFont="1" applyFill="1" applyBorder="1" applyAlignment="1" applyProtection="1">
      <alignment horizontal="center"/>
      <protection locked="0"/>
    </xf>
    <xf numFmtId="0" fontId="4" fillId="2" borderId="22" xfId="0" applyFont="1" applyFill="1" applyBorder="1" applyAlignment="1" applyProtection="1">
      <alignment horizontal="right" vertical="top"/>
      <protection hidden="1"/>
    </xf>
    <xf numFmtId="0" fontId="0" fillId="2" borderId="5" xfId="0" applyFill="1" applyBorder="1" applyAlignment="1" applyProtection="1">
      <alignment vertical="top" wrapText="1"/>
      <protection hidden="1"/>
    </xf>
    <xf numFmtId="0" fontId="0" fillId="2" borderId="23" xfId="0" applyFill="1" applyBorder="1" applyAlignment="1" applyProtection="1">
      <alignment vertical="top"/>
      <protection hidden="1"/>
    </xf>
    <xf numFmtId="0" fontId="4" fillId="2" borderId="5" xfId="0" applyFont="1" applyFill="1" applyBorder="1" applyAlignment="1" applyProtection="1">
      <alignment horizontal="center" wrapText="1"/>
      <protection hidden="1"/>
    </xf>
    <xf numFmtId="3" fontId="0" fillId="2" borderId="26" xfId="0" applyNumberFormat="1" applyFill="1" applyBorder="1" applyAlignment="1" applyProtection="1">
      <alignment wrapText="1"/>
      <protection hidden="1"/>
    </xf>
    <xf numFmtId="3" fontId="0" fillId="2" borderId="26" xfId="0" applyNumberFormat="1" applyFill="1" applyBorder="1" applyAlignment="1" applyProtection="1">
      <alignment vertical="top" wrapText="1"/>
      <protection hidden="1"/>
    </xf>
    <xf numFmtId="4" fontId="90" fillId="2" borderId="0" xfId="0" applyNumberFormat="1" applyFont="1" applyFill="1" applyBorder="1" applyProtection="1">
      <protection hidden="1"/>
    </xf>
    <xf numFmtId="0" fontId="19" fillId="5" borderId="0" xfId="0" applyFont="1" applyFill="1" applyAlignment="1" applyProtection="1">
      <alignment horizontal="left"/>
      <protection hidden="1"/>
    </xf>
    <xf numFmtId="0" fontId="4" fillId="2" borderId="2" xfId="0" applyFont="1" applyFill="1" applyBorder="1" applyAlignment="1" applyProtection="1">
      <alignment horizontal="center"/>
      <protection locked="0"/>
    </xf>
    <xf numFmtId="0" fontId="67" fillId="10" borderId="0" xfId="0" applyFont="1" applyFill="1" applyAlignment="1" applyProtection="1">
      <alignment horizontal="center"/>
      <protection hidden="1"/>
    </xf>
    <xf numFmtId="0" fontId="0" fillId="0" borderId="0" xfId="0" applyFill="1" applyAlignment="1" applyProtection="1">
      <alignment horizontal="right"/>
      <protection hidden="1"/>
    </xf>
    <xf numFmtId="0" fontId="0" fillId="0" borderId="0" xfId="0" applyFill="1" applyAlignment="1" applyProtection="1">
      <alignment horizontal="center"/>
      <protection hidden="1"/>
    </xf>
    <xf numFmtId="4" fontId="0" fillId="0" borderId="0" xfId="0" applyNumberFormat="1" applyAlignment="1" applyProtection="1">
      <alignment horizontal="center"/>
      <protection hidden="1"/>
    </xf>
    <xf numFmtId="4" fontId="34" fillId="0" borderId="0" xfId="0" applyNumberFormat="1" applyFont="1" applyFill="1" applyBorder="1" applyAlignment="1" applyProtection="1">
      <alignment horizontal="center"/>
      <protection hidden="1"/>
    </xf>
    <xf numFmtId="0" fontId="23" fillId="0" borderId="0" xfId="0" applyFont="1" applyAlignment="1" applyProtection="1">
      <alignment horizontal="center"/>
      <protection hidden="1"/>
    </xf>
    <xf numFmtId="0" fontId="122" fillId="2" borderId="0" xfId="0" applyFont="1" applyFill="1" applyBorder="1" applyAlignment="1" applyProtection="1">
      <alignment wrapText="1"/>
      <protection hidden="1"/>
    </xf>
    <xf numFmtId="0" fontId="13" fillId="2" borderId="8" xfId="0" applyFont="1" applyFill="1" applyBorder="1" applyProtection="1">
      <protection hidden="1"/>
    </xf>
    <xf numFmtId="0" fontId="19" fillId="2" borderId="0" xfId="0" quotePrefix="1" applyFont="1" applyFill="1" applyBorder="1" applyAlignment="1" applyProtection="1">
      <alignment horizontal="right"/>
      <protection hidden="1"/>
    </xf>
    <xf numFmtId="0" fontId="4" fillId="2" borderId="6" xfId="0" applyFont="1" applyFill="1" applyBorder="1" applyProtection="1">
      <protection hidden="1"/>
    </xf>
    <xf numFmtId="0" fontId="4" fillId="2" borderId="6" xfId="0" quotePrefix="1" applyFont="1" applyFill="1" applyBorder="1" applyAlignment="1" applyProtection="1">
      <alignment horizontal="right"/>
      <protection hidden="1"/>
    </xf>
    <xf numFmtId="0" fontId="63" fillId="2" borderId="6" xfId="0" applyFont="1" applyFill="1" applyBorder="1" applyProtection="1">
      <protection hidden="1"/>
    </xf>
    <xf numFmtId="0" fontId="0" fillId="0" borderId="8" xfId="0" applyBorder="1" applyProtection="1">
      <protection hidden="1"/>
    </xf>
    <xf numFmtId="0" fontId="8" fillId="2" borderId="0" xfId="0" applyFont="1" applyFill="1" applyAlignment="1" applyProtection="1">
      <alignment vertical="top"/>
      <protection hidden="1"/>
    </xf>
    <xf numFmtId="0" fontId="21" fillId="3" borderId="0" xfId="0" applyFont="1" applyFill="1" applyAlignment="1" applyProtection="1">
      <alignment horizontal="center"/>
      <protection hidden="1"/>
    </xf>
    <xf numFmtId="0" fontId="16" fillId="3" borderId="0" xfId="0" applyFont="1" applyFill="1" applyBorder="1" applyProtection="1">
      <protection hidden="1"/>
    </xf>
    <xf numFmtId="0" fontId="17" fillId="3" borderId="1" xfId="0" applyFont="1" applyFill="1" applyBorder="1" applyAlignment="1" applyProtection="1">
      <alignment vertical="top"/>
      <protection hidden="1"/>
    </xf>
    <xf numFmtId="3" fontId="0" fillId="0" borderId="0" xfId="0" applyNumberFormat="1"/>
    <xf numFmtId="3" fontId="0" fillId="0" borderId="0" xfId="0" applyNumberFormat="1" applyAlignment="1" applyProtection="1">
      <alignment horizontal="center"/>
      <protection hidden="1"/>
    </xf>
    <xf numFmtId="3" fontId="1" fillId="2" borderId="0" xfId="0" applyNumberFormat="1" applyFont="1" applyFill="1" applyProtection="1">
      <protection hidden="1"/>
    </xf>
    <xf numFmtId="3" fontId="0" fillId="10" borderId="0" xfId="0" applyNumberFormat="1" applyFill="1" applyAlignment="1" applyProtection="1">
      <alignment horizontal="center"/>
      <protection hidden="1"/>
    </xf>
    <xf numFmtId="3" fontId="5" fillId="2" borderId="2" xfId="0" applyNumberFormat="1" applyFont="1" applyFill="1" applyBorder="1" applyAlignment="1" applyProtection="1">
      <alignment horizontal="center"/>
      <protection locked="0"/>
    </xf>
    <xf numFmtId="3" fontId="76" fillId="0" borderId="0" xfId="0" applyNumberFormat="1" applyFont="1" applyFill="1" applyBorder="1" applyAlignment="1">
      <alignment horizontal="right"/>
    </xf>
    <xf numFmtId="3" fontId="5" fillId="0" borderId="0" xfId="0" applyNumberFormat="1" applyFont="1" applyBorder="1"/>
    <xf numFmtId="3" fontId="5" fillId="0" borderId="0" xfId="0" applyNumberFormat="1" applyFont="1" applyBorder="1" applyAlignment="1"/>
    <xf numFmtId="0" fontId="54" fillId="2" borderId="0" xfId="0" applyFont="1" applyFill="1" applyBorder="1" applyProtection="1">
      <protection hidden="1"/>
    </xf>
    <xf numFmtId="0" fontId="54" fillId="2" borderId="5" xfId="0" applyFont="1" applyFill="1" applyBorder="1" applyProtection="1">
      <protection hidden="1"/>
    </xf>
    <xf numFmtId="3" fontId="6" fillId="3" borderId="9" xfId="0" applyNumberFormat="1" applyFont="1" applyFill="1" applyBorder="1" applyAlignment="1" applyProtection="1">
      <alignment horizontal="right"/>
      <protection locked="0"/>
    </xf>
    <xf numFmtId="3" fontId="6" fillId="0" borderId="15" xfId="0" applyNumberFormat="1" applyFont="1" applyBorder="1" applyAlignment="1" applyProtection="1">
      <alignment horizontal="right"/>
      <protection locked="0"/>
    </xf>
    <xf numFmtId="0" fontId="15" fillId="3" borderId="0" xfId="0" applyFont="1" applyFill="1" applyAlignment="1" applyProtection="1">
      <alignment horizontal="right"/>
      <protection hidden="1"/>
    </xf>
    <xf numFmtId="0" fontId="8"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vertical="top"/>
      <protection hidden="1"/>
    </xf>
    <xf numFmtId="0" fontId="15" fillId="0" borderId="0" xfId="0" applyFont="1" applyAlignment="1" applyProtection="1">
      <alignment horizontal="center"/>
      <protection hidden="1"/>
    </xf>
    <xf numFmtId="0" fontId="55" fillId="0" borderId="0" xfId="0" applyFont="1" applyAlignment="1" applyProtection="1">
      <alignment horizontal="center"/>
      <protection hidden="1"/>
    </xf>
    <xf numFmtId="0" fontId="31" fillId="0" borderId="0" xfId="0" applyFont="1"/>
    <xf numFmtId="38" fontId="107" fillId="2" borderId="0" xfId="0" applyNumberFormat="1" applyFont="1" applyFill="1" applyBorder="1" applyProtection="1">
      <protection hidden="1"/>
    </xf>
    <xf numFmtId="3" fontId="23" fillId="0" borderId="0" xfId="0" applyNumberFormat="1" applyFont="1" applyAlignment="1" applyProtection="1">
      <alignment horizontal="center"/>
      <protection hidden="1"/>
    </xf>
    <xf numFmtId="0" fontId="4" fillId="2" borderId="0" xfId="0" applyFont="1" applyFill="1" applyBorder="1" applyAlignment="1" applyProtection="1">
      <alignment horizontal="right" vertical="center"/>
      <protection locked="0"/>
    </xf>
    <xf numFmtId="0" fontId="21" fillId="2" borderId="0" xfId="0" applyFont="1" applyFill="1" applyBorder="1" applyAlignment="1" applyProtection="1">
      <alignment horizontal="center" vertical="center"/>
      <protection hidden="1"/>
    </xf>
    <xf numFmtId="4" fontId="97" fillId="5" borderId="0" xfId="0" applyNumberFormat="1" applyFont="1" applyFill="1" applyBorder="1" applyProtection="1">
      <protection hidden="1"/>
    </xf>
    <xf numFmtId="0" fontId="5" fillId="3" borderId="26" xfId="0" applyFont="1" applyFill="1" applyBorder="1" applyProtection="1">
      <protection hidden="1"/>
    </xf>
    <xf numFmtId="0" fontId="6" fillId="3" borderId="13" xfId="0" applyFont="1" applyFill="1" applyBorder="1" applyAlignment="1" applyProtection="1">
      <alignment horizontal="center"/>
      <protection hidden="1"/>
    </xf>
    <xf numFmtId="4" fontId="74" fillId="2" borderId="0" xfId="0" applyNumberFormat="1" applyFont="1" applyFill="1" applyBorder="1" applyAlignment="1" applyProtection="1">
      <alignment horizontal="center"/>
      <protection locked="0"/>
    </xf>
    <xf numFmtId="0" fontId="105" fillId="12" borderId="25" xfId="0" applyFont="1" applyFill="1" applyBorder="1" applyAlignment="1">
      <alignment horizontal="center"/>
    </xf>
    <xf numFmtId="0" fontId="0" fillId="2" borderId="1" xfId="0" applyFill="1" applyBorder="1" applyAlignment="1"/>
    <xf numFmtId="0" fontId="3" fillId="2" borderId="0" xfId="0" applyFont="1" applyFill="1" applyProtection="1">
      <protection hidden="1"/>
    </xf>
    <xf numFmtId="0" fontId="0" fillId="2" borderId="5" xfId="0" applyFill="1" applyBorder="1" applyAlignment="1"/>
    <xf numFmtId="0" fontId="122" fillId="2" borderId="0" xfId="0" applyFont="1" applyFill="1" applyBorder="1" applyAlignment="1" applyProtection="1">
      <alignment vertical="top" wrapText="1"/>
      <protection hidden="1"/>
    </xf>
    <xf numFmtId="0" fontId="4" fillId="10" borderId="0" xfId="0" applyFont="1" applyFill="1" applyBorder="1" applyAlignment="1" applyProtection="1">
      <alignment horizontal="right"/>
      <protection hidden="1"/>
    </xf>
    <xf numFmtId="0" fontId="8" fillId="2" borderId="9" xfId="0" applyFont="1" applyFill="1" applyBorder="1" applyAlignment="1" applyProtection="1">
      <alignment horizontal="right" vertical="center"/>
      <protection hidden="1"/>
    </xf>
    <xf numFmtId="0" fontId="17" fillId="2" borderId="1" xfId="0" applyFont="1" applyFill="1" applyBorder="1" applyAlignment="1" applyProtection="1">
      <alignment horizontal="left"/>
      <protection locked="0"/>
    </xf>
    <xf numFmtId="0" fontId="5" fillId="3" borderId="0" xfId="0" applyFont="1" applyFill="1" applyBorder="1" applyAlignment="1" applyProtection="1">
      <protection locked="0"/>
    </xf>
    <xf numFmtId="0" fontId="5" fillId="3" borderId="5" xfId="0" applyFont="1" applyFill="1" applyBorder="1" applyAlignment="1" applyProtection="1">
      <alignment vertical="top"/>
      <protection hidden="1"/>
    </xf>
    <xf numFmtId="0" fontId="10" fillId="2" borderId="6" xfId="0" applyFont="1" applyFill="1" applyBorder="1" applyProtection="1">
      <protection hidden="1"/>
    </xf>
    <xf numFmtId="0" fontId="3" fillId="0" borderId="0" xfId="0" applyFont="1" applyProtection="1">
      <protection hidden="1"/>
    </xf>
    <xf numFmtId="2" fontId="3" fillId="0" borderId="0" xfId="0" applyNumberFormat="1" applyFont="1" applyProtection="1">
      <protection hidden="1"/>
    </xf>
    <xf numFmtId="4" fontId="0" fillId="0" borderId="0" xfId="0" applyNumberFormat="1" applyBorder="1" applyProtection="1">
      <protection hidden="1"/>
    </xf>
    <xf numFmtId="3" fontId="0" fillId="0" borderId="3" xfId="0" applyNumberFormat="1" applyBorder="1" applyProtection="1">
      <protection hidden="1"/>
    </xf>
    <xf numFmtId="3" fontId="0" fillId="0" borderId="10" xfId="0" applyNumberFormat="1" applyBorder="1" applyProtection="1">
      <protection hidden="1"/>
    </xf>
    <xf numFmtId="4" fontId="0" fillId="0" borderId="0" xfId="0" applyNumberFormat="1"/>
    <xf numFmtId="3" fontId="19" fillId="0" borderId="3" xfId="0" applyNumberFormat="1" applyFont="1" applyBorder="1" applyProtection="1">
      <protection hidden="1"/>
    </xf>
    <xf numFmtId="3" fontId="0" fillId="0" borderId="3" xfId="0" applyNumberFormat="1" applyFill="1" applyBorder="1" applyProtection="1">
      <protection hidden="1"/>
    </xf>
    <xf numFmtId="4" fontId="0" fillId="0" borderId="15" xfId="0" applyNumberFormat="1" applyBorder="1" applyProtection="1">
      <protection hidden="1"/>
    </xf>
    <xf numFmtId="4" fontId="0" fillId="0" borderId="25" xfId="0" applyNumberFormat="1" applyBorder="1" applyProtection="1">
      <protection hidden="1"/>
    </xf>
    <xf numFmtId="4" fontId="0" fillId="0" borderId="25" xfId="0" applyNumberFormat="1" applyBorder="1" applyAlignment="1" applyProtection="1">
      <alignment vertical="center"/>
      <protection hidden="1"/>
    </xf>
    <xf numFmtId="0" fontId="0" fillId="0" borderId="1" xfId="0" applyBorder="1" applyProtection="1">
      <protection hidden="1"/>
    </xf>
    <xf numFmtId="4" fontId="0" fillId="0" borderId="12" xfId="0" applyNumberFormat="1" applyBorder="1" applyProtection="1">
      <protection hidden="1"/>
    </xf>
    <xf numFmtId="0" fontId="3" fillId="0" borderId="0" xfId="0" quotePrefix="1" applyFont="1" applyAlignment="1" applyProtection="1">
      <alignment horizontal="center"/>
      <protection hidden="1"/>
    </xf>
    <xf numFmtId="3" fontId="0" fillId="0" borderId="10" xfId="0" applyNumberFormat="1" applyFill="1" applyBorder="1" applyProtection="1">
      <protection hidden="1"/>
    </xf>
    <xf numFmtId="0" fontId="6" fillId="3" borderId="74" xfId="0" applyFont="1" applyFill="1" applyBorder="1" applyProtection="1">
      <protection hidden="1"/>
    </xf>
    <xf numFmtId="49" fontId="61" fillId="3" borderId="75" xfId="0" applyNumberFormat="1" applyFont="1" applyFill="1" applyBorder="1" applyAlignment="1" applyProtection="1">
      <alignment horizontal="right" vertical="center"/>
      <protection hidden="1"/>
    </xf>
    <xf numFmtId="39" fontId="5" fillId="3" borderId="0" xfId="0" applyNumberFormat="1" applyFont="1" applyFill="1" applyBorder="1" applyProtection="1">
      <protection hidden="1"/>
    </xf>
    <xf numFmtId="0" fontId="3" fillId="0" borderId="0" xfId="0" applyFont="1" applyBorder="1" applyAlignment="1" applyProtection="1">
      <alignment horizontal="right"/>
      <protection hidden="1"/>
    </xf>
    <xf numFmtId="3" fontId="4" fillId="2" borderId="0" xfId="0" applyNumberFormat="1" applyFont="1" applyFill="1" applyAlignment="1" applyProtection="1">
      <alignment horizontal="right" vertical="center"/>
      <protection locked="0"/>
    </xf>
    <xf numFmtId="0" fontId="0" fillId="10" borderId="3" xfId="0" applyFill="1" applyBorder="1" applyAlignment="1" applyProtection="1">
      <protection hidden="1"/>
    </xf>
    <xf numFmtId="0" fontId="4" fillId="3" borderId="13" xfId="0" applyFont="1" applyFill="1" applyBorder="1" applyAlignment="1" applyProtection="1">
      <alignment horizontal="center" vertical="center"/>
      <protection hidden="1"/>
    </xf>
    <xf numFmtId="0" fontId="3" fillId="3" borderId="0" xfId="0" applyFont="1" applyFill="1" applyBorder="1" applyAlignment="1" applyProtection="1">
      <alignment vertical="top"/>
      <protection hidden="1"/>
    </xf>
    <xf numFmtId="0" fontId="125" fillId="2" borderId="0" xfId="0" applyFont="1" applyFill="1" applyAlignment="1" applyProtection="1">
      <alignment horizontal="left"/>
      <protection hidden="1"/>
    </xf>
    <xf numFmtId="0" fontId="3" fillId="2" borderId="0" xfId="0" applyFont="1" applyFill="1" applyAlignment="1" applyProtection="1">
      <alignment vertical="center"/>
      <protection hidden="1"/>
    </xf>
    <xf numFmtId="0" fontId="41" fillId="2" borderId="0" xfId="0" applyFont="1" applyFill="1" applyAlignment="1" applyProtection="1">
      <alignment horizontal="center" vertical="center"/>
      <protection hidden="1"/>
    </xf>
    <xf numFmtId="0" fontId="0" fillId="16" borderId="26" xfId="0" applyFill="1" applyBorder="1" applyProtection="1">
      <protection hidden="1"/>
    </xf>
    <xf numFmtId="0" fontId="89" fillId="16" borderId="26" xfId="0" applyFont="1" applyFill="1" applyBorder="1" applyAlignment="1" applyProtection="1">
      <alignment horizontal="center" vertical="center"/>
      <protection hidden="1"/>
    </xf>
    <xf numFmtId="0" fontId="4" fillId="16" borderId="26" xfId="0" applyFont="1" applyFill="1" applyBorder="1" applyProtection="1">
      <protection hidden="1"/>
    </xf>
    <xf numFmtId="0" fontId="13" fillId="2" borderId="26" xfId="0" applyFont="1" applyFill="1" applyBorder="1" applyAlignment="1" applyProtection="1">
      <alignment vertical="center"/>
      <protection hidden="1"/>
    </xf>
    <xf numFmtId="0" fontId="0" fillId="2" borderId="26" xfId="0" applyFill="1" applyBorder="1" applyProtection="1">
      <protection hidden="1"/>
    </xf>
    <xf numFmtId="0" fontId="4" fillId="2" borderId="16" xfId="0" applyFont="1" applyFill="1" applyBorder="1" applyAlignment="1" applyProtection="1">
      <alignment horizontal="center"/>
      <protection hidden="1"/>
    </xf>
    <xf numFmtId="0" fontId="3" fillId="2" borderId="0" xfId="0" applyFont="1" applyFill="1" applyAlignment="1" applyProtection="1">
      <alignment vertical="top"/>
      <protection hidden="1"/>
    </xf>
    <xf numFmtId="0" fontId="126" fillId="2" borderId="0" xfId="0" applyFont="1" applyFill="1" applyProtection="1">
      <protection hidden="1"/>
    </xf>
    <xf numFmtId="0" fontId="23" fillId="2" borderId="0" xfId="0" applyFont="1" applyFill="1" applyAlignment="1" applyProtection="1">
      <alignment vertical="center"/>
      <protection hidden="1"/>
    </xf>
    <xf numFmtId="164" fontId="3" fillId="2" borderId="8" xfId="0" applyNumberFormat="1" applyFont="1" applyFill="1" applyBorder="1" applyAlignment="1" applyProtection="1">
      <protection hidden="1"/>
    </xf>
    <xf numFmtId="0" fontId="3" fillId="2" borderId="0" xfId="0" applyFont="1" applyFill="1" applyBorder="1" applyAlignment="1" applyProtection="1">
      <alignment vertical="top"/>
      <protection hidden="1"/>
    </xf>
    <xf numFmtId="0" fontId="126" fillId="2" borderId="6" xfId="0" applyFont="1" applyFill="1" applyBorder="1" applyAlignment="1" applyProtection="1">
      <alignment horizontal="center"/>
      <protection hidden="1"/>
    </xf>
    <xf numFmtId="0" fontId="3" fillId="5" borderId="0" xfId="0" applyFont="1" applyFill="1" applyProtection="1">
      <protection hidden="1"/>
    </xf>
    <xf numFmtId="0" fontId="5" fillId="3" borderId="0" xfId="0" applyFont="1" applyFill="1" applyBorder="1" applyAlignment="1" applyProtection="1">
      <alignment horizontal="left" vertical="top"/>
      <protection hidden="1"/>
    </xf>
    <xf numFmtId="1" fontId="5" fillId="3" borderId="8" xfId="0" applyNumberFormat="1" applyFont="1" applyFill="1" applyBorder="1" applyAlignment="1" applyProtection="1">
      <alignment horizontal="left"/>
      <protection hidden="1"/>
    </xf>
    <xf numFmtId="0" fontId="5" fillId="2" borderId="27" xfId="0" applyFont="1" applyFill="1" applyBorder="1" applyAlignment="1" applyProtection="1">
      <protection hidden="1"/>
    </xf>
    <xf numFmtId="40" fontId="19" fillId="2" borderId="1" xfId="0" applyNumberFormat="1" applyFont="1" applyFill="1" applyBorder="1" applyProtection="1">
      <protection hidden="1"/>
    </xf>
    <xf numFmtId="40" fontId="19" fillId="2" borderId="30" xfId="0" applyNumberFormat="1" applyFont="1" applyFill="1" applyBorder="1" applyProtection="1">
      <protection hidden="1"/>
    </xf>
    <xf numFmtId="0" fontId="42" fillId="2" borderId="0" xfId="0" applyFont="1" applyFill="1" applyBorder="1" applyAlignment="1" applyProtection="1">
      <protection hidden="1"/>
    </xf>
    <xf numFmtId="38" fontId="7" fillId="2" borderId="0" xfId="0" applyNumberFormat="1" applyFont="1" applyFill="1" applyBorder="1" applyAlignment="1" applyProtection="1">
      <alignment horizontal="left" vertical="center"/>
      <protection hidden="1"/>
    </xf>
    <xf numFmtId="40" fontId="82" fillId="2" borderId="21" xfId="0" applyNumberFormat="1" applyFont="1" applyFill="1" applyBorder="1" applyAlignment="1" applyProtection="1">
      <alignment horizontal="left" vertical="center"/>
      <protection hidden="1"/>
    </xf>
    <xf numFmtId="0" fontId="32" fillId="4" borderId="0" xfId="0" applyFont="1" applyFill="1" applyBorder="1" applyProtection="1">
      <protection hidden="1"/>
    </xf>
    <xf numFmtId="164" fontId="3" fillId="2" borderId="8" xfId="0" applyNumberFormat="1" applyFont="1" applyFill="1" applyBorder="1" applyAlignment="1" applyProtection="1">
      <alignment horizontal="left" vertical="center"/>
      <protection hidden="1"/>
    </xf>
    <xf numFmtId="0" fontId="23" fillId="4" borderId="0" xfId="0" applyFont="1" applyFill="1" applyAlignment="1" applyProtection="1">
      <alignment horizontal="center"/>
      <protection hidden="1"/>
    </xf>
    <xf numFmtId="0" fontId="3" fillId="2" borderId="8" xfId="0" applyFont="1" applyFill="1" applyBorder="1" applyProtection="1">
      <protection hidden="1"/>
    </xf>
    <xf numFmtId="0" fontId="4" fillId="2" borderId="0" xfId="0" applyFont="1" applyFill="1" applyAlignment="1" applyProtection="1">
      <alignment wrapText="1"/>
      <protection hidden="1"/>
    </xf>
    <xf numFmtId="0" fontId="3" fillId="2" borderId="0" xfId="0" quotePrefix="1" applyFont="1" applyFill="1" applyAlignment="1">
      <alignment horizontal="right"/>
    </xf>
    <xf numFmtId="3" fontId="127" fillId="2" borderId="0" xfId="0" applyNumberFormat="1" applyFont="1" applyFill="1" applyAlignment="1" applyProtection="1">
      <alignment horizontal="left"/>
      <protection hidden="1"/>
    </xf>
    <xf numFmtId="3" fontId="0" fillId="2" borderId="3" xfId="0" applyNumberFormat="1" applyFill="1" applyBorder="1" applyAlignment="1" applyProtection="1">
      <protection hidden="1"/>
    </xf>
    <xf numFmtId="0" fontId="3" fillId="5" borderId="0" xfId="0" applyFont="1" applyFill="1" applyAlignment="1" applyProtection="1">
      <alignment horizontal="center"/>
      <protection hidden="1"/>
    </xf>
    <xf numFmtId="1" fontId="4" fillId="2" borderId="0" xfId="0" applyNumberFormat="1" applyFont="1" applyFill="1" applyBorder="1" applyAlignment="1" applyProtection="1">
      <alignment horizontal="center" vertical="center" wrapText="1"/>
      <protection locked="0"/>
    </xf>
    <xf numFmtId="4" fontId="23" fillId="2" borderId="30" xfId="0" applyNumberFormat="1" applyFont="1" applyFill="1" applyBorder="1" applyProtection="1">
      <protection hidden="1"/>
    </xf>
    <xf numFmtId="0" fontId="134" fillId="5" borderId="0" xfId="0" applyFont="1" applyFill="1" applyProtection="1">
      <protection hidden="1"/>
    </xf>
    <xf numFmtId="0" fontId="3" fillId="3" borderId="0" xfId="0" applyFont="1" applyFill="1" applyBorder="1" applyProtection="1">
      <protection hidden="1"/>
    </xf>
    <xf numFmtId="0" fontId="135" fillId="3" borderId="26" xfId="0" applyFont="1" applyFill="1" applyBorder="1" applyAlignment="1" applyProtection="1">
      <alignment horizontal="center"/>
      <protection hidden="1"/>
    </xf>
    <xf numFmtId="0" fontId="6" fillId="3" borderId="26" xfId="0" applyFont="1" applyFill="1" applyBorder="1" applyAlignment="1" applyProtection="1">
      <alignment horizontal="right"/>
      <protection hidden="1"/>
    </xf>
    <xf numFmtId="0" fontId="15" fillId="2" borderId="0" xfId="0" applyFont="1" applyFill="1" applyBorder="1" applyAlignment="1" applyProtection="1">
      <alignment horizontal="center" vertical="center" wrapText="1"/>
      <protection hidden="1"/>
    </xf>
    <xf numFmtId="0" fontId="15" fillId="2" borderId="35" xfId="0" applyFont="1" applyFill="1" applyBorder="1" applyAlignment="1" applyProtection="1">
      <alignment horizontal="center" vertical="center" wrapText="1"/>
      <protection hidden="1"/>
    </xf>
    <xf numFmtId="0" fontId="9" fillId="2" borderId="15" xfId="0" applyFont="1" applyFill="1" applyBorder="1" applyProtection="1">
      <protection hidden="1"/>
    </xf>
    <xf numFmtId="0" fontId="51" fillId="2" borderId="9" xfId="0" applyFont="1" applyFill="1" applyBorder="1" applyAlignment="1" applyProtection="1">
      <alignment vertical="center"/>
      <protection hidden="1"/>
    </xf>
    <xf numFmtId="0" fontId="15" fillId="2" borderId="9" xfId="0" applyFont="1" applyFill="1" applyBorder="1" applyAlignment="1">
      <alignment horizontal="center" wrapText="1"/>
    </xf>
    <xf numFmtId="0" fontId="0" fillId="2" borderId="9" xfId="0" applyFill="1" applyBorder="1" applyAlignment="1">
      <alignment horizontal="center" wrapText="1"/>
    </xf>
    <xf numFmtId="0" fontId="14" fillId="2" borderId="9" xfId="0" applyFont="1" applyFill="1" applyBorder="1" applyAlignment="1" applyProtection="1">
      <alignment horizontal="left" vertical="center" wrapText="1"/>
      <protection hidden="1"/>
    </xf>
    <xf numFmtId="0" fontId="9" fillId="2" borderId="15" xfId="0" applyFont="1" applyFill="1" applyBorder="1" applyAlignment="1" applyProtection="1">
      <alignment horizontal="right" wrapText="1"/>
      <protection hidden="1"/>
    </xf>
    <xf numFmtId="0" fontId="8" fillId="2" borderId="9" xfId="0" applyFont="1" applyFill="1" applyBorder="1" applyAlignment="1" applyProtection="1">
      <alignment vertical="top"/>
      <protection hidden="1"/>
    </xf>
    <xf numFmtId="0" fontId="8" fillId="2" borderId="31" xfId="0" applyFont="1" applyFill="1" applyBorder="1" applyAlignment="1" applyProtection="1">
      <alignment vertical="top"/>
      <protection hidden="1"/>
    </xf>
    <xf numFmtId="0" fontId="17" fillId="2" borderId="9" xfId="0" applyFont="1" applyFill="1" applyBorder="1" applyAlignment="1" applyProtection="1">
      <alignment horizontal="left"/>
      <protection hidden="1"/>
    </xf>
    <xf numFmtId="0" fontId="129" fillId="0" borderId="0" xfId="0" applyFont="1" applyProtection="1">
      <protection hidden="1"/>
    </xf>
    <xf numFmtId="0" fontId="3" fillId="2" borderId="0" xfId="0" applyFont="1" applyFill="1" applyAlignment="1"/>
    <xf numFmtId="0" fontId="4" fillId="2" borderId="31" xfId="0" applyFont="1" applyFill="1" applyBorder="1" applyAlignment="1" applyProtection="1">
      <protection hidden="1"/>
    </xf>
    <xf numFmtId="0" fontId="0" fillId="2" borderId="15" xfId="0" applyFill="1" applyBorder="1" applyAlignment="1"/>
    <xf numFmtId="0" fontId="4" fillId="2" borderId="3" xfId="0" applyFont="1" applyFill="1" applyBorder="1" applyAlignment="1" applyProtection="1">
      <protection hidden="1"/>
    </xf>
    <xf numFmtId="0" fontId="0" fillId="2" borderId="25" xfId="0" applyFill="1" applyBorder="1" applyAlignment="1"/>
    <xf numFmtId="0" fontId="35" fillId="2" borderId="3" xfId="0" applyFont="1" applyFill="1" applyBorder="1" applyProtection="1">
      <protection hidden="1"/>
    </xf>
    <xf numFmtId="0" fontId="5" fillId="2" borderId="3" xfId="0" quotePrefix="1" applyFont="1" applyFill="1" applyBorder="1" applyAlignment="1" applyProtection="1">
      <alignment horizontal="right"/>
      <protection hidden="1"/>
    </xf>
    <xf numFmtId="6" fontId="5" fillId="2" borderId="3" xfId="0" applyNumberFormat="1" applyFont="1" applyFill="1" applyBorder="1" applyAlignment="1" applyProtection="1">
      <alignment horizontal="left"/>
      <protection hidden="1"/>
    </xf>
    <xf numFmtId="6" fontId="5" fillId="2" borderId="10" xfId="0" applyNumberFormat="1" applyFont="1" applyFill="1" applyBorder="1" applyAlignment="1" applyProtection="1">
      <alignment horizontal="left"/>
      <protection hidden="1"/>
    </xf>
    <xf numFmtId="6" fontId="8" fillId="2" borderId="0" xfId="0" applyNumberFormat="1" applyFont="1" applyFill="1" applyBorder="1" applyAlignment="1" applyProtection="1">
      <alignment horizontal="left" vertical="top"/>
      <protection hidden="1"/>
    </xf>
    <xf numFmtId="6" fontId="8" fillId="2" borderId="1" xfId="0" applyNumberFormat="1" applyFont="1" applyFill="1" applyBorder="1" applyAlignment="1" applyProtection="1">
      <alignment horizontal="left" vertical="top"/>
      <protection hidden="1"/>
    </xf>
    <xf numFmtId="0" fontId="8" fillId="2" borderId="59" xfId="0" applyFont="1" applyFill="1" applyBorder="1" applyProtection="1">
      <protection hidden="1"/>
    </xf>
    <xf numFmtId="0" fontId="8" fillId="2" borderId="8" xfId="0" applyFont="1" applyFill="1" applyBorder="1" applyProtection="1">
      <protection hidden="1"/>
    </xf>
    <xf numFmtId="0" fontId="4" fillId="2" borderId="8" xfId="0" applyFont="1" applyFill="1" applyBorder="1" applyAlignment="1" applyProtection="1">
      <alignment horizontal="right"/>
      <protection hidden="1"/>
    </xf>
    <xf numFmtId="0" fontId="8" fillId="2" borderId="15" xfId="0" applyFont="1" applyFill="1" applyBorder="1" applyAlignment="1" applyProtection="1">
      <alignment vertical="center"/>
      <protection hidden="1"/>
    </xf>
    <xf numFmtId="14" fontId="8" fillId="2" borderId="9" xfId="0" applyNumberFormat="1" applyFont="1" applyFill="1" applyBorder="1" applyAlignment="1" applyProtection="1">
      <protection hidden="1"/>
    </xf>
    <xf numFmtId="0" fontId="0" fillId="2" borderId="1" xfId="0" applyFill="1" applyBorder="1" applyAlignment="1" applyProtection="1">
      <protection locked="0"/>
    </xf>
    <xf numFmtId="0" fontId="8" fillId="2" borderId="31" xfId="0" applyFont="1" applyFill="1" applyBorder="1" applyAlignment="1" applyProtection="1">
      <alignment horizontal="left" vertical="center"/>
      <protection hidden="1"/>
    </xf>
    <xf numFmtId="0" fontId="4" fillId="2" borderId="0" xfId="0" quotePrefix="1" applyFont="1" applyFill="1" applyBorder="1" applyAlignment="1" applyProtection="1">
      <alignment horizontal="right"/>
      <protection hidden="1"/>
    </xf>
    <xf numFmtId="0" fontId="4" fillId="2" borderId="0" xfId="0" applyFont="1" applyFill="1" applyBorder="1" applyAlignment="1" applyProtection="1">
      <alignment horizontal="right" vertical="top"/>
      <protection hidden="1"/>
    </xf>
    <xf numFmtId="0" fontId="3" fillId="2" borderId="0" xfId="0" quotePrefix="1" applyFont="1" applyFill="1" applyBorder="1" applyAlignment="1" applyProtection="1">
      <alignment horizontal="right"/>
      <protection hidden="1"/>
    </xf>
    <xf numFmtId="6" fontId="136" fillId="2" borderId="3" xfId="0" applyNumberFormat="1" applyFont="1" applyFill="1" applyBorder="1" applyAlignment="1" applyProtection="1">
      <alignment horizontal="center" vertical="center"/>
      <protection hidden="1"/>
    </xf>
    <xf numFmtId="0" fontId="3" fillId="2" borderId="0" xfId="0" applyFont="1" applyFill="1" applyBorder="1" applyAlignment="1" applyProtection="1">
      <alignment horizontal="right"/>
      <protection hidden="1"/>
    </xf>
    <xf numFmtId="3" fontId="3" fillId="2" borderId="0" xfId="0" applyNumberFormat="1" applyFont="1" applyFill="1" applyBorder="1" applyProtection="1">
      <protection hidden="1"/>
    </xf>
    <xf numFmtId="3" fontId="4" fillId="2" borderId="0" xfId="0" applyNumberFormat="1" applyFont="1" applyFill="1" applyBorder="1" applyAlignment="1" applyProtection="1">
      <alignment horizontal="right"/>
      <protection hidden="1"/>
    </xf>
    <xf numFmtId="0" fontId="42" fillId="2" borderId="6" xfId="0" quotePrefix="1" applyFont="1" applyFill="1" applyBorder="1" applyAlignment="1" applyProtection="1">
      <alignment horizontal="left"/>
      <protection hidden="1"/>
    </xf>
    <xf numFmtId="0" fontId="42" fillId="2" borderId="6" xfId="0" quotePrefix="1" applyFont="1" applyFill="1" applyBorder="1" applyAlignment="1" applyProtection="1">
      <alignment horizontal="left" vertical="center"/>
      <protection hidden="1"/>
    </xf>
    <xf numFmtId="0" fontId="42" fillId="2" borderId="22" xfId="0" quotePrefix="1" applyFont="1" applyFill="1" applyBorder="1" applyAlignment="1" applyProtection="1">
      <alignment horizontal="left" vertical="center"/>
      <protection hidden="1"/>
    </xf>
    <xf numFmtId="0" fontId="4" fillId="2" borderId="70" xfId="0" applyFont="1" applyFill="1" applyBorder="1" applyProtection="1">
      <protection hidden="1"/>
    </xf>
    <xf numFmtId="0" fontId="3" fillId="2" borderId="26" xfId="0" applyFont="1" applyFill="1" applyBorder="1" applyProtection="1">
      <protection hidden="1"/>
    </xf>
    <xf numFmtId="0" fontId="19" fillId="2" borderId="26" xfId="0" applyFont="1" applyFill="1" applyBorder="1" applyProtection="1">
      <protection hidden="1"/>
    </xf>
    <xf numFmtId="0" fontId="67" fillId="2" borderId="26" xfId="0" applyFont="1" applyFill="1" applyBorder="1" applyProtection="1">
      <protection hidden="1"/>
    </xf>
    <xf numFmtId="0" fontId="4" fillId="2" borderId="26" xfId="0" applyFont="1" applyFill="1" applyBorder="1" applyAlignment="1" applyProtection="1">
      <alignment horizontal="center"/>
      <protection hidden="1"/>
    </xf>
    <xf numFmtId="0" fontId="23" fillId="2" borderId="26" xfId="0" applyFont="1" applyFill="1" applyBorder="1" applyProtection="1">
      <protection hidden="1"/>
    </xf>
    <xf numFmtId="0" fontId="0" fillId="2" borderId="71" xfId="0" applyFill="1" applyBorder="1" applyProtection="1">
      <protection hidden="1"/>
    </xf>
    <xf numFmtId="0" fontId="3" fillId="2" borderId="26" xfId="0" applyFont="1" applyFill="1" applyBorder="1" applyAlignment="1" applyProtection="1">
      <alignment horizontal="left" vertical="center"/>
      <protection hidden="1"/>
    </xf>
    <xf numFmtId="0" fontId="26" fillId="2" borderId="0" xfId="0" applyFont="1" applyFill="1" applyBorder="1" applyAlignment="1" applyProtection="1">
      <alignment horizontal="center" vertical="center"/>
      <protection hidden="1"/>
    </xf>
    <xf numFmtId="37" fontId="137" fillId="2" borderId="0" xfId="0" applyNumberFormat="1" applyFont="1" applyFill="1" applyBorder="1" applyAlignment="1" applyProtection="1">
      <alignment horizontal="right"/>
      <protection hidden="1"/>
    </xf>
    <xf numFmtId="3" fontId="137" fillId="2" borderId="0" xfId="0" applyNumberFormat="1" applyFont="1" applyFill="1" applyBorder="1" applyProtection="1">
      <protection hidden="1"/>
    </xf>
    <xf numFmtId="0" fontId="137" fillId="2" borderId="0" xfId="0" applyFont="1" applyFill="1" applyBorder="1" applyProtection="1">
      <protection hidden="1"/>
    </xf>
    <xf numFmtId="0" fontId="1" fillId="2" borderId="0" xfId="0" applyFont="1" applyFill="1"/>
    <xf numFmtId="0" fontId="1" fillId="2" borderId="0" xfId="0" applyFont="1" applyFill="1" applyAlignment="1"/>
    <xf numFmtId="0" fontId="1" fillId="2" borderId="0" xfId="0" applyFont="1" applyFill="1" applyBorder="1"/>
    <xf numFmtId="4" fontId="5" fillId="2" borderId="0" xfId="0" applyNumberFormat="1" applyFont="1" applyFill="1"/>
    <xf numFmtId="0" fontId="1" fillId="2" borderId="0" xfId="0" applyFont="1" applyFill="1" applyAlignment="1">
      <alignment horizontal="center"/>
    </xf>
    <xf numFmtId="4" fontId="11" fillId="2" borderId="0" xfId="0" applyNumberFormat="1" applyFont="1" applyFill="1" applyBorder="1" applyAlignment="1">
      <alignment horizontal="right"/>
    </xf>
    <xf numFmtId="0" fontId="8" fillId="2" borderId="0" xfId="0" applyFont="1" applyFill="1"/>
    <xf numFmtId="4" fontId="6" fillId="3" borderId="23" xfId="0" applyNumberFormat="1" applyFont="1" applyFill="1" applyBorder="1" applyAlignment="1" applyProtection="1">
      <alignment horizontal="right"/>
      <protection hidden="1"/>
    </xf>
    <xf numFmtId="0" fontId="11" fillId="2" borderId="0" xfId="0" applyFont="1" applyFill="1"/>
    <xf numFmtId="0" fontId="17" fillId="2" borderId="5" xfId="0" applyFont="1" applyFill="1" applyBorder="1" applyAlignment="1" applyProtection="1">
      <alignment horizontal="left" vertical="center"/>
      <protection hidden="1"/>
    </xf>
    <xf numFmtId="0" fontId="11" fillId="3" borderId="0" xfId="0" applyFont="1" applyFill="1" applyAlignment="1" applyProtection="1">
      <alignment horizontal="right"/>
      <protection hidden="1"/>
    </xf>
    <xf numFmtId="4" fontId="3" fillId="0" borderId="12" xfId="0" applyNumberFormat="1" applyFont="1" applyBorder="1" applyProtection="1">
      <protection hidden="1"/>
    </xf>
    <xf numFmtId="4" fontId="0" fillId="17" borderId="0" xfId="0" applyNumberFormat="1" applyFill="1" applyBorder="1" applyProtection="1">
      <protection hidden="1"/>
    </xf>
    <xf numFmtId="4" fontId="0" fillId="17" borderId="3" xfId="0" applyNumberFormat="1" applyFill="1" applyBorder="1" applyProtection="1">
      <protection hidden="1"/>
    </xf>
    <xf numFmtId="4" fontId="0" fillId="17" borderId="25" xfId="0" applyNumberFormat="1" applyFill="1" applyBorder="1" applyProtection="1">
      <protection hidden="1"/>
    </xf>
    <xf numFmtId="4" fontId="0" fillId="3" borderId="3" xfId="0" applyNumberFormat="1" applyFill="1" applyBorder="1" applyProtection="1">
      <protection hidden="1"/>
    </xf>
    <xf numFmtId="0" fontId="8" fillId="3" borderId="0" xfId="0" applyFont="1" applyFill="1" applyAlignment="1" applyProtection="1">
      <alignment vertical="top"/>
      <protection hidden="1"/>
    </xf>
    <xf numFmtId="0" fontId="6" fillId="3" borderId="0" xfId="0" applyNumberFormat="1" applyFont="1" applyFill="1" applyBorder="1" applyAlignment="1" applyProtection="1">
      <alignment horizontal="right"/>
      <protection hidden="1"/>
    </xf>
    <xf numFmtId="4" fontId="4" fillId="3" borderId="0" xfId="0" applyNumberFormat="1" applyFont="1" applyFill="1" applyBorder="1" applyAlignment="1" applyProtection="1">
      <alignment horizontal="center"/>
      <protection hidden="1"/>
    </xf>
    <xf numFmtId="4" fontId="0" fillId="17" borderId="31" xfId="0" applyNumberFormat="1" applyFill="1" applyBorder="1" applyProtection="1">
      <protection hidden="1"/>
    </xf>
    <xf numFmtId="4" fontId="0" fillId="17" borderId="9" xfId="0" applyNumberFormat="1" applyFill="1" applyBorder="1" applyProtection="1">
      <protection hidden="1"/>
    </xf>
    <xf numFmtId="4" fontId="0" fillId="17" borderId="15" xfId="0" applyNumberFormat="1" applyFill="1" applyBorder="1" applyProtection="1">
      <protection hidden="1"/>
    </xf>
    <xf numFmtId="0" fontId="11" fillId="3" borderId="8" xfId="0" applyNumberFormat="1" applyFont="1" applyFill="1" applyBorder="1" applyAlignment="1" applyProtection="1">
      <alignment horizontal="right"/>
      <protection hidden="1"/>
    </xf>
    <xf numFmtId="0" fontId="6" fillId="3" borderId="32" xfId="0" applyFont="1" applyFill="1" applyBorder="1" applyAlignment="1" applyProtection="1">
      <alignment horizontal="right"/>
      <protection hidden="1"/>
    </xf>
    <xf numFmtId="0" fontId="5" fillId="3" borderId="32" xfId="0" applyFont="1" applyFill="1" applyBorder="1" applyProtection="1">
      <protection hidden="1"/>
    </xf>
    <xf numFmtId="0" fontId="8" fillId="3" borderId="32" xfId="0" applyFont="1" applyFill="1" applyBorder="1" applyProtection="1">
      <protection hidden="1"/>
    </xf>
    <xf numFmtId="0" fontId="1" fillId="3" borderId="32" xfId="0" applyFont="1" applyFill="1" applyBorder="1" applyAlignment="1" applyProtection="1">
      <alignment horizontal="center"/>
      <protection hidden="1"/>
    </xf>
    <xf numFmtId="4" fontId="0" fillId="3" borderId="32" xfId="0" applyNumberFormat="1" applyFill="1" applyBorder="1" applyProtection="1">
      <protection hidden="1"/>
    </xf>
    <xf numFmtId="4" fontId="0" fillId="3" borderId="77" xfId="0" applyNumberFormat="1" applyFill="1" applyBorder="1" applyProtection="1">
      <protection hidden="1"/>
    </xf>
    <xf numFmtId="0" fontId="17" fillId="2" borderId="6" xfId="0" applyFont="1" applyFill="1" applyBorder="1" applyProtection="1">
      <protection hidden="1"/>
    </xf>
    <xf numFmtId="0" fontId="17" fillId="2" borderId="22" xfId="0" applyFont="1" applyFill="1" applyBorder="1" applyAlignment="1" applyProtection="1">
      <alignment horizontal="left" vertical="center"/>
      <protection hidden="1"/>
    </xf>
    <xf numFmtId="0" fontId="17" fillId="3" borderId="8" xfId="0" applyFont="1" applyFill="1" applyBorder="1" applyAlignment="1" applyProtection="1">
      <alignment horizontal="right"/>
      <protection hidden="1"/>
    </xf>
    <xf numFmtId="0" fontId="6" fillId="3" borderId="0" xfId="0" applyFont="1" applyFill="1" applyBorder="1" applyAlignment="1" applyProtection="1">
      <alignment vertical="top"/>
      <protection hidden="1"/>
    </xf>
    <xf numFmtId="0" fontId="9" fillId="3" borderId="0" xfId="0" quotePrefix="1" applyFont="1" applyFill="1" applyBorder="1" applyAlignment="1" applyProtection="1">
      <alignment horizontal="left"/>
      <protection hidden="1"/>
    </xf>
    <xf numFmtId="39" fontId="15" fillId="3" borderId="0" xfId="0" applyNumberFormat="1" applyFont="1" applyFill="1" applyBorder="1" applyAlignment="1" applyProtection="1">
      <alignment horizontal="left"/>
      <protection locked="0"/>
    </xf>
    <xf numFmtId="0" fontId="0" fillId="0" borderId="0" xfId="0" applyBorder="1" applyAlignment="1" applyProtection="1">
      <alignment horizontal="left"/>
      <protection locked="0"/>
    </xf>
    <xf numFmtId="0" fontId="0" fillId="3" borderId="6" xfId="0" applyFill="1" applyBorder="1" applyProtection="1">
      <protection hidden="1"/>
    </xf>
    <xf numFmtId="0" fontId="0" fillId="3" borderId="32" xfId="0" applyFill="1" applyBorder="1" applyProtection="1">
      <protection hidden="1"/>
    </xf>
    <xf numFmtId="0" fontId="0" fillId="2" borderId="9" xfId="0" applyFill="1" applyBorder="1" applyAlignment="1" applyProtection="1">
      <alignment horizontal="left"/>
      <protection locked="0"/>
    </xf>
    <xf numFmtId="39" fontId="6" fillId="3" borderId="0" xfId="0" applyNumberFormat="1" applyFont="1" applyFill="1" applyBorder="1" applyProtection="1">
      <protection hidden="1"/>
    </xf>
    <xf numFmtId="0" fontId="1" fillId="3" borderId="78" xfId="0" applyFont="1" applyFill="1" applyBorder="1" applyAlignment="1" applyProtection="1">
      <alignment horizontal="center"/>
      <protection locked="0"/>
    </xf>
    <xf numFmtId="0" fontId="6" fillId="3" borderId="11" xfId="0" applyFont="1" applyFill="1" applyBorder="1" applyAlignment="1" applyProtection="1">
      <alignment horizontal="center"/>
      <protection hidden="1"/>
    </xf>
    <xf numFmtId="4" fontId="3" fillId="3" borderId="0" xfId="0" applyNumberFormat="1" applyFont="1" applyFill="1" applyBorder="1" applyAlignment="1" applyProtection="1">
      <alignment horizontal="left"/>
      <protection hidden="1"/>
    </xf>
    <xf numFmtId="0" fontId="6" fillId="3" borderId="10" xfId="0" applyFont="1" applyFill="1" applyBorder="1" applyAlignment="1" applyProtection="1">
      <alignment horizontal="center"/>
      <protection hidden="1"/>
    </xf>
    <xf numFmtId="0" fontId="3" fillId="3" borderId="5" xfId="0" applyFont="1" applyFill="1" applyBorder="1" applyProtection="1">
      <protection hidden="1"/>
    </xf>
    <xf numFmtId="0" fontId="9" fillId="3" borderId="5" xfId="0" applyFont="1" applyFill="1" applyBorder="1" applyAlignment="1" applyProtection="1">
      <alignment horizontal="right"/>
      <protection hidden="1"/>
    </xf>
    <xf numFmtId="0" fontId="7" fillId="3" borderId="22" xfId="0" applyFont="1" applyFill="1" applyBorder="1" applyAlignment="1" applyProtection="1">
      <alignment horizontal="right"/>
      <protection hidden="1"/>
    </xf>
    <xf numFmtId="0" fontId="6" fillId="3" borderId="5" xfId="0" applyFont="1" applyFill="1" applyBorder="1" applyAlignment="1" applyProtection="1">
      <alignment horizontal="left"/>
      <protection hidden="1"/>
    </xf>
    <xf numFmtId="0" fontId="6" fillId="3" borderId="52" xfId="0" applyFont="1" applyFill="1" applyBorder="1" applyAlignment="1" applyProtection="1">
      <alignment horizontal="center"/>
      <protection hidden="1"/>
    </xf>
    <xf numFmtId="39" fontId="6" fillId="3" borderId="5" xfId="0" applyNumberFormat="1" applyFont="1" applyFill="1" applyBorder="1" applyProtection="1">
      <protection hidden="1"/>
    </xf>
    <xf numFmtId="4" fontId="8" fillId="3" borderId="8" xfId="0" applyNumberFormat="1" applyFont="1" applyFill="1" applyBorder="1" applyAlignment="1" applyProtection="1">
      <alignment horizontal="center" vertical="top"/>
      <protection hidden="1"/>
    </xf>
    <xf numFmtId="3" fontId="133" fillId="0" borderId="0" xfId="0" applyNumberFormat="1" applyFont="1" applyAlignment="1" applyProtection="1">
      <alignment horizontal="center" wrapText="1"/>
      <protection hidden="1"/>
    </xf>
    <xf numFmtId="3" fontId="133" fillId="0" borderId="8" xfId="0" applyNumberFormat="1" applyFont="1" applyFill="1" applyBorder="1" applyAlignment="1" applyProtection="1">
      <alignment horizontal="center" wrapText="1"/>
      <protection hidden="1"/>
    </xf>
    <xf numFmtId="0" fontId="11" fillId="3" borderId="22" xfId="0" applyFont="1" applyFill="1" applyBorder="1" applyAlignment="1" applyProtection="1">
      <alignment horizontal="centerContinuous"/>
      <protection hidden="1"/>
    </xf>
    <xf numFmtId="0" fontId="8" fillId="3" borderId="5" xfId="0" applyFont="1" applyFill="1" applyBorder="1" applyAlignment="1" applyProtection="1">
      <alignment vertical="top"/>
      <protection hidden="1"/>
    </xf>
    <xf numFmtId="0" fontId="16" fillId="2" borderId="0" xfId="0" applyFont="1" applyFill="1" applyProtection="1">
      <protection hidden="1"/>
    </xf>
    <xf numFmtId="174" fontId="3" fillId="0" borderId="0" xfId="0" applyNumberFormat="1" applyFont="1" applyAlignment="1" applyProtection="1">
      <alignment horizontal="center"/>
      <protection hidden="1"/>
    </xf>
    <xf numFmtId="0" fontId="137" fillId="0" borderId="0" xfId="0" applyFont="1" applyAlignment="1" applyProtection="1">
      <alignment horizontal="center"/>
      <protection hidden="1"/>
    </xf>
    <xf numFmtId="174" fontId="137" fillId="0" borderId="0" xfId="0" applyNumberFormat="1" applyFont="1" applyAlignment="1" applyProtection="1">
      <alignment horizontal="center"/>
      <protection hidden="1"/>
    </xf>
    <xf numFmtId="0" fontId="0" fillId="2" borderId="0" xfId="0" applyFill="1" applyBorder="1" applyAlignment="1"/>
    <xf numFmtId="0" fontId="5" fillId="2" borderId="1" xfId="0" applyFont="1" applyFill="1" applyBorder="1" applyAlignment="1" applyProtection="1">
      <alignment vertical="center"/>
      <protection hidden="1"/>
    </xf>
    <xf numFmtId="0" fontId="3" fillId="2" borderId="1" xfId="0" applyFont="1" applyFill="1" applyBorder="1" applyAlignment="1" applyProtection="1">
      <alignment horizontal="right"/>
      <protection hidden="1"/>
    </xf>
    <xf numFmtId="0" fontId="1" fillId="3" borderId="0" xfId="0" applyFont="1" applyFill="1" applyBorder="1" applyAlignment="1" applyProtection="1">
      <alignment horizontal="right" vertical="top"/>
      <protection hidden="1"/>
    </xf>
    <xf numFmtId="4" fontId="0" fillId="3" borderId="16" xfId="0" applyNumberFormat="1" applyFill="1" applyBorder="1" applyProtection="1">
      <protection hidden="1"/>
    </xf>
    <xf numFmtId="0" fontId="1" fillId="3" borderId="5" xfId="0" applyFont="1" applyFill="1" applyBorder="1" applyAlignment="1" applyProtection="1">
      <alignment horizontal="right" vertical="top"/>
      <protection hidden="1"/>
    </xf>
    <xf numFmtId="39" fontId="0" fillId="3" borderId="0" xfId="0" applyNumberFormat="1" applyFill="1" applyBorder="1" applyProtection="1">
      <protection hidden="1"/>
    </xf>
    <xf numFmtId="0" fontId="3" fillId="3" borderId="0" xfId="0" applyFont="1" applyFill="1" applyBorder="1" applyAlignment="1" applyProtection="1">
      <protection hidden="1"/>
    </xf>
    <xf numFmtId="39" fontId="0" fillId="3" borderId="31" xfId="0" applyNumberFormat="1" applyFill="1" applyBorder="1" applyProtection="1">
      <protection hidden="1"/>
    </xf>
    <xf numFmtId="39" fontId="0" fillId="3" borderId="9" xfId="0" applyNumberFormat="1" applyFill="1" applyBorder="1" applyProtection="1">
      <protection hidden="1"/>
    </xf>
    <xf numFmtId="0" fontId="3" fillId="2" borderId="0" xfId="0" applyFont="1" applyFill="1" applyAlignment="1" applyProtection="1">
      <alignment horizontal="right"/>
      <protection hidden="1"/>
    </xf>
    <xf numFmtId="0" fontId="6" fillId="2" borderId="0" xfId="0" applyFont="1" applyFill="1" applyAlignment="1" applyProtection="1">
      <alignment vertical="top"/>
      <protection hidden="1"/>
    </xf>
    <xf numFmtId="0" fontId="137" fillId="2" borderId="0" xfId="0" applyFont="1" applyFill="1" applyAlignment="1" applyProtection="1">
      <alignment horizontal="center"/>
      <protection hidden="1"/>
    </xf>
    <xf numFmtId="0" fontId="137" fillId="0" borderId="0" xfId="0" applyFont="1" applyFill="1" applyAlignment="1" applyProtection="1">
      <alignment horizontal="center"/>
      <protection hidden="1"/>
    </xf>
    <xf numFmtId="4" fontId="19" fillId="3" borderId="31" xfId="0" applyNumberFormat="1" applyFont="1" applyFill="1" applyBorder="1" applyProtection="1">
      <protection hidden="1"/>
    </xf>
    <xf numFmtId="4" fontId="19" fillId="3" borderId="9" xfId="0" applyNumberFormat="1" applyFont="1" applyFill="1" applyBorder="1" applyProtection="1">
      <protection hidden="1"/>
    </xf>
    <xf numFmtId="4" fontId="19" fillId="3" borderId="3" xfId="0" applyNumberFormat="1" applyFont="1" applyFill="1" applyBorder="1" applyAlignment="1" applyProtection="1">
      <alignment vertical="center"/>
      <protection hidden="1"/>
    </xf>
    <xf numFmtId="4" fontId="19" fillId="3" borderId="0" xfId="0" applyNumberFormat="1" applyFont="1" applyFill="1" applyBorder="1" applyAlignment="1" applyProtection="1">
      <alignment horizontal="right" vertical="center"/>
      <protection hidden="1"/>
    </xf>
    <xf numFmtId="4" fontId="4" fillId="3" borderId="3" xfId="0" applyNumberFormat="1" applyFont="1" applyFill="1" applyBorder="1" applyProtection="1">
      <protection hidden="1"/>
    </xf>
    <xf numFmtId="4" fontId="19" fillId="3" borderId="3" xfId="0" applyNumberFormat="1" applyFont="1" applyFill="1" applyBorder="1" applyProtection="1">
      <protection hidden="1"/>
    </xf>
    <xf numFmtId="4" fontId="19" fillId="3" borderId="0" xfId="0" applyNumberFormat="1" applyFont="1" applyFill="1" applyBorder="1" applyAlignment="1" applyProtection="1">
      <alignment horizontal="right"/>
      <protection hidden="1"/>
    </xf>
    <xf numFmtId="4" fontId="19" fillId="3" borderId="72" xfId="0" applyNumberFormat="1" applyFont="1" applyFill="1" applyBorder="1" applyProtection="1">
      <protection hidden="1"/>
    </xf>
    <xf numFmtId="4" fontId="19" fillId="3" borderId="5" xfId="0" applyNumberFormat="1" applyFont="1" applyFill="1" applyBorder="1" applyAlignment="1" applyProtection="1">
      <alignment horizontal="right"/>
      <protection hidden="1"/>
    </xf>
    <xf numFmtId="4" fontId="11" fillId="3" borderId="8" xfId="0" applyNumberFormat="1" applyFont="1" applyFill="1" applyBorder="1" applyAlignment="1" applyProtection="1">
      <alignment horizontal="right"/>
      <protection hidden="1"/>
    </xf>
    <xf numFmtId="4" fontId="19" fillId="2" borderId="0" xfId="0" applyNumberFormat="1" applyFont="1" applyFill="1" applyBorder="1" applyAlignment="1" applyProtection="1">
      <protection hidden="1"/>
    </xf>
    <xf numFmtId="4" fontId="17" fillId="2" borderId="0" xfId="0" applyNumberFormat="1" applyFont="1" applyFill="1" applyBorder="1" applyProtection="1">
      <protection hidden="1"/>
    </xf>
    <xf numFmtId="4" fontId="8" fillId="2" borderId="0" xfId="0" applyNumberFormat="1" applyFont="1" applyFill="1" applyBorder="1" applyProtection="1">
      <protection hidden="1"/>
    </xf>
    <xf numFmtId="4" fontId="55" fillId="2" borderId="0" xfId="0" applyNumberFormat="1" applyFont="1" applyFill="1" applyBorder="1" applyProtection="1">
      <protection hidden="1"/>
    </xf>
    <xf numFmtId="4" fontId="58" fillId="2" borderId="0" xfId="0" applyNumberFormat="1" applyFont="1" applyFill="1" applyBorder="1" applyAlignment="1" applyProtection="1">
      <alignment horizontal="center"/>
      <protection hidden="1"/>
    </xf>
    <xf numFmtId="4" fontId="100" fillId="2" borderId="0" xfId="0" applyNumberFormat="1" applyFont="1" applyFill="1" applyBorder="1" applyAlignment="1" applyProtection="1">
      <alignment horizontal="center"/>
      <protection hidden="1"/>
    </xf>
    <xf numFmtId="4" fontId="17" fillId="2" borderId="0" xfId="0" applyNumberFormat="1" applyFont="1" applyFill="1" applyBorder="1" applyAlignment="1" applyProtection="1">
      <alignment horizontal="center"/>
      <protection hidden="1"/>
    </xf>
    <xf numFmtId="39" fontId="5" fillId="2" borderId="0" xfId="0" applyNumberFormat="1" applyFont="1" applyFill="1" applyBorder="1" applyAlignment="1" applyProtection="1">
      <alignment horizontal="right"/>
      <protection locked="0"/>
    </xf>
    <xf numFmtId="39" fontId="5" fillId="2" borderId="0" xfId="0" applyNumberFormat="1" applyFont="1" applyFill="1" applyBorder="1" applyAlignment="1" applyProtection="1">
      <protection locked="0"/>
    </xf>
    <xf numFmtId="39" fontId="8" fillId="2" borderId="0" xfId="0" applyNumberFormat="1" applyFont="1" applyFill="1" applyBorder="1" applyAlignment="1" applyProtection="1">
      <alignment horizontal="center"/>
      <protection hidden="1"/>
    </xf>
    <xf numFmtId="39" fontId="5" fillId="2" borderId="0" xfId="0" applyNumberFormat="1" applyFont="1" applyFill="1" applyBorder="1" applyAlignment="1" applyProtection="1">
      <protection hidden="1"/>
    </xf>
    <xf numFmtId="4" fontId="0" fillId="2" borderId="0" xfId="0" applyNumberFormat="1" applyFill="1" applyBorder="1" applyAlignment="1" applyProtection="1">
      <protection hidden="1"/>
    </xf>
    <xf numFmtId="4" fontId="11" fillId="2" borderId="0" xfId="0" applyNumberFormat="1" applyFont="1" applyFill="1" applyBorder="1" applyAlignment="1" applyProtection="1">
      <protection hidden="1"/>
    </xf>
    <xf numFmtId="39" fontId="8" fillId="2" borderId="0" xfId="0" applyNumberFormat="1" applyFont="1" applyFill="1" applyBorder="1" applyAlignment="1" applyProtection="1">
      <protection hidden="1"/>
    </xf>
    <xf numFmtId="4" fontId="4" fillId="2" borderId="0" xfId="0" applyNumberFormat="1" applyFont="1" applyFill="1" applyBorder="1" applyAlignment="1" applyProtection="1">
      <protection hidden="1"/>
    </xf>
    <xf numFmtId="4" fontId="19" fillId="2" borderId="0" xfId="0" applyNumberFormat="1" applyFont="1" applyFill="1" applyBorder="1" applyAlignment="1" applyProtection="1">
      <alignment vertical="center"/>
      <protection hidden="1"/>
    </xf>
    <xf numFmtId="164" fontId="4" fillId="3" borderId="3" xfId="0" quotePrefix="1" applyNumberFormat="1" applyFont="1" applyFill="1" applyBorder="1" applyAlignment="1" applyProtection="1">
      <alignment horizontal="right" vertical="top"/>
      <protection hidden="1"/>
    </xf>
    <xf numFmtId="0" fontId="1" fillId="2" borderId="0" xfId="0" applyFont="1" applyFill="1" applyProtection="1"/>
    <xf numFmtId="0" fontId="5" fillId="2" borderId="0" xfId="0" applyFont="1" applyFill="1" applyProtection="1"/>
    <xf numFmtId="0" fontId="0" fillId="2" borderId="0" xfId="0" applyFill="1" applyProtection="1"/>
    <xf numFmtId="4" fontId="0" fillId="2" borderId="0" xfId="0" applyNumberFormat="1" applyFill="1" applyProtection="1"/>
    <xf numFmtId="4" fontId="10" fillId="2" borderId="0" xfId="0" applyNumberFormat="1" applyFont="1" applyFill="1" applyAlignment="1" applyProtection="1">
      <alignment horizontal="center" vertical="center"/>
    </xf>
    <xf numFmtId="0" fontId="6" fillId="2" borderId="0" xfId="0" applyFont="1" applyFill="1" applyAlignment="1" applyProtection="1">
      <alignment vertical="center"/>
      <protection hidden="1"/>
    </xf>
    <xf numFmtId="0" fontId="0" fillId="2" borderId="0" xfId="0" applyFill="1" applyAlignment="1" applyProtection="1">
      <alignment horizontal="right"/>
      <protection hidden="1"/>
    </xf>
    <xf numFmtId="0" fontId="13" fillId="2" borderId="0" xfId="0" applyFont="1" applyFill="1" applyAlignment="1" applyProtection="1">
      <alignment horizontal="left" vertical="center"/>
      <protection hidden="1"/>
    </xf>
    <xf numFmtId="0" fontId="11" fillId="2" borderId="0" xfId="0" applyFont="1" applyFill="1" applyBorder="1" applyAlignment="1" applyProtection="1">
      <alignment horizontal="center" vertical="center"/>
      <protection hidden="1"/>
    </xf>
    <xf numFmtId="0" fontId="11" fillId="2" borderId="0" xfId="0" applyFont="1" applyFill="1" applyBorder="1" applyAlignment="1" applyProtection="1">
      <alignment vertical="center"/>
      <protection hidden="1"/>
    </xf>
    <xf numFmtId="0" fontId="8" fillId="2" borderId="68" xfId="0" applyFont="1" applyFill="1" applyBorder="1" applyAlignment="1" applyProtection="1">
      <alignment horizontal="left"/>
      <protection hidden="1"/>
    </xf>
    <xf numFmtId="0" fontId="11" fillId="2" borderId="68" xfId="0" applyFont="1" applyFill="1" applyBorder="1" applyAlignment="1" applyProtection="1">
      <alignment horizontal="left"/>
      <protection hidden="1"/>
    </xf>
    <xf numFmtId="0" fontId="11" fillId="2" borderId="68" xfId="0" applyFont="1" applyFill="1" applyBorder="1" applyAlignment="1" applyProtection="1">
      <alignment horizontal="right"/>
      <protection hidden="1"/>
    </xf>
    <xf numFmtId="0" fontId="3" fillId="2" borderId="0" xfId="0" applyFont="1" applyFill="1" applyAlignment="1" applyProtection="1">
      <alignment horizontal="left" vertical="top"/>
      <protection hidden="1"/>
    </xf>
    <xf numFmtId="0" fontId="11" fillId="2" borderId="0" xfId="0" applyFont="1" applyFill="1" applyAlignment="1" applyProtection="1">
      <alignment horizontal="right" vertical="top"/>
      <protection hidden="1"/>
    </xf>
    <xf numFmtId="0" fontId="138" fillId="5" borderId="0" xfId="0" applyFont="1" applyFill="1" applyProtection="1">
      <protection hidden="1"/>
    </xf>
    <xf numFmtId="0" fontId="4" fillId="5" borderId="0" xfId="0" applyFont="1" applyFill="1" applyProtection="1">
      <protection hidden="1"/>
    </xf>
    <xf numFmtId="171" fontId="3" fillId="0" borderId="0" xfId="0" applyNumberFormat="1" applyFont="1" applyFill="1" applyBorder="1" applyProtection="1">
      <protection hidden="1"/>
    </xf>
    <xf numFmtId="1" fontId="3" fillId="0" borderId="0" xfId="0" applyNumberFormat="1" applyFont="1" applyFill="1" applyBorder="1" applyProtection="1">
      <protection hidden="1"/>
    </xf>
    <xf numFmtId="0" fontId="138" fillId="5" borderId="0" xfId="0" applyFont="1" applyFill="1" applyAlignment="1" applyProtection="1">
      <alignment horizontal="center"/>
      <protection hidden="1"/>
    </xf>
    <xf numFmtId="40" fontId="140" fillId="2" borderId="0" xfId="0" applyNumberFormat="1" applyFont="1" applyFill="1" applyBorder="1" applyProtection="1">
      <protection hidden="1"/>
    </xf>
    <xf numFmtId="0" fontId="6" fillId="2" borderId="8" xfId="0" applyFont="1" applyFill="1" applyBorder="1" applyAlignment="1" applyProtection="1">
      <alignment horizontal="center"/>
      <protection hidden="1"/>
    </xf>
    <xf numFmtId="40" fontId="140" fillId="2" borderId="0" xfId="0" applyNumberFormat="1" applyFont="1" applyFill="1" applyBorder="1" applyAlignment="1" applyProtection="1">
      <alignment horizontal="right"/>
      <protection hidden="1"/>
    </xf>
    <xf numFmtId="0" fontId="6" fillId="2" borderId="5" xfId="0" applyFont="1" applyFill="1" applyBorder="1" applyAlignment="1" applyProtection="1">
      <alignment horizontal="center"/>
      <protection hidden="1"/>
    </xf>
    <xf numFmtId="164" fontId="3" fillId="2" borderId="0" xfId="0" applyNumberFormat="1" applyFont="1" applyFill="1" applyBorder="1" applyAlignment="1" applyProtection="1">
      <alignment horizontal="left" vertical="center"/>
      <protection hidden="1"/>
    </xf>
    <xf numFmtId="0" fontId="3" fillId="2" borderId="0" xfId="4" applyFill="1" applyProtection="1">
      <protection hidden="1"/>
    </xf>
    <xf numFmtId="0" fontId="3" fillId="2" borderId="0" xfId="4" applyFill="1" applyAlignment="1" applyProtection="1">
      <alignment horizontal="center"/>
      <protection hidden="1"/>
    </xf>
    <xf numFmtId="49" fontId="6" fillId="2" borderId="0" xfId="4" applyNumberFormat="1" applyFont="1" applyFill="1" applyAlignment="1" applyProtection="1">
      <alignment horizontal="right"/>
      <protection hidden="1"/>
    </xf>
    <xf numFmtId="0" fontId="3" fillId="2" borderId="0" xfId="4" applyFill="1" applyBorder="1" applyProtection="1">
      <protection hidden="1"/>
    </xf>
    <xf numFmtId="0" fontId="3" fillId="2" borderId="0" xfId="4" applyFill="1"/>
    <xf numFmtId="0" fontId="3" fillId="0" borderId="0" xfId="4"/>
    <xf numFmtId="0" fontId="77" fillId="2" borderId="0" xfId="4" applyFont="1" applyFill="1" applyProtection="1">
      <protection hidden="1"/>
    </xf>
    <xf numFmtId="0" fontId="77" fillId="2" borderId="0" xfId="4" applyFont="1" applyFill="1" applyAlignment="1" applyProtection="1">
      <alignment horizontal="right"/>
      <protection hidden="1"/>
    </xf>
    <xf numFmtId="0" fontId="67" fillId="2" borderId="0" xfId="4" applyFont="1" applyFill="1" applyProtection="1">
      <protection hidden="1"/>
    </xf>
    <xf numFmtId="0" fontId="55" fillId="2" borderId="0" xfId="4" applyFont="1" applyFill="1" applyProtection="1">
      <protection hidden="1"/>
    </xf>
    <xf numFmtId="49" fontId="16" fillId="2" borderId="0" xfId="4" applyNumberFormat="1" applyFont="1" applyFill="1" applyAlignment="1" applyProtection="1">
      <alignment horizontal="right"/>
      <protection hidden="1"/>
    </xf>
    <xf numFmtId="0" fontId="55" fillId="2" borderId="0" xfId="4" applyFont="1" applyFill="1" applyBorder="1" applyProtection="1">
      <protection hidden="1"/>
    </xf>
    <xf numFmtId="49" fontId="3" fillId="2" borderId="0" xfId="4" applyNumberFormat="1" applyFill="1" applyAlignment="1" applyProtection="1">
      <alignment horizontal="right"/>
      <protection hidden="1"/>
    </xf>
    <xf numFmtId="0" fontId="4" fillId="2" borderId="0" xfId="4" applyFont="1" applyFill="1" applyAlignment="1" applyProtection="1">
      <alignment horizontal="right"/>
      <protection hidden="1"/>
    </xf>
    <xf numFmtId="0" fontId="4" fillId="2" borderId="0" xfId="4" applyFont="1" applyFill="1" applyAlignment="1" applyProtection="1">
      <alignment horizontal="left"/>
      <protection hidden="1"/>
    </xf>
    <xf numFmtId="0" fontId="40" fillId="2" borderId="0" xfId="4" applyFont="1" applyFill="1" applyAlignment="1" applyProtection="1">
      <alignment horizontal="center"/>
      <protection hidden="1"/>
    </xf>
    <xf numFmtId="0" fontId="76" fillId="2" borderId="0" xfId="4" applyFont="1" applyFill="1" applyBorder="1" applyAlignment="1" applyProtection="1">
      <alignment horizontal="right"/>
      <protection hidden="1"/>
    </xf>
    <xf numFmtId="0" fontId="74" fillId="2" borderId="0" xfId="4" applyFont="1" applyFill="1" applyBorder="1" applyAlignment="1" applyProtection="1">
      <alignment horizontal="center" vertical="center"/>
      <protection hidden="1"/>
    </xf>
    <xf numFmtId="0" fontId="50" fillId="2" borderId="0" xfId="4" applyFont="1" applyFill="1" applyAlignment="1" applyProtection="1">
      <alignment horizontal="center"/>
      <protection hidden="1"/>
    </xf>
    <xf numFmtId="0" fontId="11" fillId="2" borderId="0" xfId="4" applyFont="1" applyFill="1" applyBorder="1" applyAlignment="1" applyProtection="1">
      <alignment horizontal="center" vertical="center"/>
      <protection locked="0"/>
    </xf>
    <xf numFmtId="0" fontId="3" fillId="2" borderId="0" xfId="4" applyFill="1" applyBorder="1" applyAlignment="1" applyProtection="1">
      <protection hidden="1"/>
    </xf>
    <xf numFmtId="49" fontId="4" fillId="2" borderId="0" xfId="4" applyNumberFormat="1" applyFont="1" applyFill="1" applyBorder="1" applyAlignment="1" applyProtection="1">
      <alignment horizontal="right"/>
      <protection hidden="1"/>
    </xf>
    <xf numFmtId="0" fontId="72" fillId="2" borderId="0" xfId="4" applyFont="1" applyFill="1" applyBorder="1" applyAlignment="1" applyProtection="1">
      <protection hidden="1"/>
    </xf>
    <xf numFmtId="0" fontId="59" fillId="2" borderId="0" xfId="4" applyFont="1" applyFill="1" applyBorder="1" applyAlignment="1" applyProtection="1">
      <protection hidden="1"/>
    </xf>
    <xf numFmtId="0" fontId="23" fillId="2" borderId="0" xfId="4" applyFont="1" applyFill="1" applyBorder="1" applyAlignment="1" applyProtection="1">
      <protection hidden="1"/>
    </xf>
    <xf numFmtId="0" fontId="33" fillId="2" borderId="0" xfId="4" applyNumberFormat="1" applyFont="1" applyFill="1" applyBorder="1" applyAlignment="1" applyProtection="1">
      <alignment horizontal="right"/>
      <protection hidden="1"/>
    </xf>
    <xf numFmtId="0" fontId="59" fillId="2" borderId="0" xfId="4" applyFont="1" applyFill="1" applyBorder="1" applyAlignment="1" applyProtection="1">
      <alignment horizontal="center"/>
      <protection hidden="1"/>
    </xf>
    <xf numFmtId="0" fontId="3" fillId="2" borderId="0" xfId="4" applyFill="1" applyAlignment="1"/>
    <xf numFmtId="0" fontId="3" fillId="0" borderId="0" xfId="4" applyAlignment="1"/>
    <xf numFmtId="0" fontId="3" fillId="2" borderId="0" xfId="4" applyFill="1" applyBorder="1" applyAlignment="1" applyProtection="1">
      <alignment vertical="center"/>
      <protection hidden="1"/>
    </xf>
    <xf numFmtId="49" fontId="4" fillId="2" borderId="0" xfId="4" applyNumberFormat="1" applyFont="1" applyFill="1" applyBorder="1" applyAlignment="1" applyProtection="1">
      <alignment horizontal="right" vertical="center"/>
      <protection hidden="1"/>
    </xf>
    <xf numFmtId="0" fontId="67" fillId="2" borderId="0" xfId="4" applyFont="1" applyFill="1" applyBorder="1" applyAlignment="1" applyProtection="1">
      <alignment vertical="center"/>
      <protection hidden="1"/>
    </xf>
    <xf numFmtId="0" fontId="59" fillId="2" borderId="0" xfId="4" applyFont="1" applyFill="1" applyBorder="1" applyAlignment="1" applyProtection="1">
      <alignment vertical="center"/>
      <protection hidden="1"/>
    </xf>
    <xf numFmtId="0" fontId="23" fillId="2" borderId="0" xfId="4" applyFont="1" applyFill="1" applyBorder="1" applyAlignment="1" applyProtection="1">
      <alignment vertical="center"/>
      <protection hidden="1"/>
    </xf>
    <xf numFmtId="0" fontId="33" fillId="2" borderId="0" xfId="4" applyNumberFormat="1" applyFont="1" applyFill="1" applyBorder="1" applyAlignment="1" applyProtection="1">
      <alignment horizontal="right" vertical="center"/>
      <protection hidden="1"/>
    </xf>
    <xf numFmtId="0" fontId="59" fillId="2" borderId="0" xfId="4" applyFont="1" applyFill="1" applyBorder="1" applyAlignment="1" applyProtection="1">
      <alignment horizontal="center" vertical="center"/>
      <protection hidden="1"/>
    </xf>
    <xf numFmtId="0" fontId="3" fillId="2" borderId="0" xfId="4" applyFill="1" applyBorder="1" applyAlignment="1" applyProtection="1">
      <alignment horizontal="left" vertical="center"/>
      <protection hidden="1"/>
    </xf>
    <xf numFmtId="0" fontId="10" fillId="2" borderId="8" xfId="4" applyFont="1" applyFill="1" applyBorder="1" applyAlignment="1" applyProtection="1">
      <alignment horizontal="left" vertical="center"/>
      <protection hidden="1"/>
    </xf>
    <xf numFmtId="0" fontId="4" fillId="2" borderId="8" xfId="4" applyFont="1" applyFill="1" applyBorder="1" applyAlignment="1" applyProtection="1">
      <alignment horizontal="left" vertical="center"/>
      <protection hidden="1"/>
    </xf>
    <xf numFmtId="0" fontId="3" fillId="2" borderId="8" xfId="4" applyFill="1" applyBorder="1" applyAlignment="1" applyProtection="1">
      <alignment horizontal="center" vertical="center"/>
      <protection hidden="1"/>
    </xf>
    <xf numFmtId="0" fontId="3" fillId="2" borderId="8" xfId="4" applyFill="1" applyBorder="1" applyAlignment="1" applyProtection="1">
      <alignment horizontal="left" vertical="center"/>
      <protection hidden="1"/>
    </xf>
    <xf numFmtId="49" fontId="6" fillId="2" borderId="8" xfId="4" applyNumberFormat="1" applyFont="1" applyFill="1" applyBorder="1" applyAlignment="1" applyProtection="1">
      <alignment horizontal="left" vertical="center"/>
      <protection hidden="1"/>
    </xf>
    <xf numFmtId="40" fontId="21" fillId="2" borderId="8" xfId="4" applyNumberFormat="1" applyFont="1" applyFill="1" applyBorder="1" applyAlignment="1" applyProtection="1">
      <alignment horizontal="left" vertical="center"/>
      <protection hidden="1"/>
    </xf>
    <xf numFmtId="40" fontId="21" fillId="2" borderId="0" xfId="4" applyNumberFormat="1" applyFont="1" applyFill="1" applyBorder="1" applyAlignment="1" applyProtection="1">
      <alignment horizontal="left" vertical="center"/>
      <protection hidden="1"/>
    </xf>
    <xf numFmtId="0" fontId="10" fillId="2" borderId="0" xfId="4" applyFont="1" applyFill="1" applyBorder="1" applyAlignment="1" applyProtection="1">
      <alignment horizontal="left" vertical="center"/>
      <protection hidden="1"/>
    </xf>
    <xf numFmtId="0" fontId="72" fillId="2" borderId="0" xfId="4" applyFont="1" applyFill="1" applyBorder="1" applyAlignment="1" applyProtection="1">
      <alignment horizontal="center" vertical="center"/>
      <protection hidden="1"/>
    </xf>
    <xf numFmtId="0" fontId="3" fillId="2" borderId="0" xfId="4" applyFill="1" applyBorder="1" applyAlignment="1" applyProtection="1">
      <alignment horizontal="center" vertical="center"/>
      <protection hidden="1"/>
    </xf>
    <xf numFmtId="0" fontId="4" fillId="2" borderId="0" xfId="4" applyFont="1" applyFill="1" applyBorder="1" applyAlignment="1" applyProtection="1">
      <alignment horizontal="left" vertical="center"/>
      <protection hidden="1"/>
    </xf>
    <xf numFmtId="49" fontId="6" fillId="2" borderId="0" xfId="4" applyNumberFormat="1" applyFont="1" applyFill="1" applyBorder="1" applyAlignment="1" applyProtection="1">
      <alignment horizontal="left" vertical="center"/>
      <protection hidden="1"/>
    </xf>
    <xf numFmtId="0" fontId="3" fillId="2" borderId="5" xfId="4" applyFill="1" applyBorder="1" applyProtection="1">
      <protection hidden="1"/>
    </xf>
    <xf numFmtId="0" fontId="3" fillId="2" borderId="5" xfId="4" applyFill="1" applyBorder="1" applyAlignment="1" applyProtection="1">
      <alignment horizontal="center"/>
      <protection hidden="1"/>
    </xf>
    <xf numFmtId="49" fontId="6" fillId="2" borderId="5" xfId="4" applyNumberFormat="1" applyFont="1" applyFill="1" applyBorder="1" applyAlignment="1" applyProtection="1">
      <alignment horizontal="right"/>
      <protection hidden="1"/>
    </xf>
    <xf numFmtId="0" fontId="3" fillId="2" borderId="0" xfId="4" applyFill="1" applyBorder="1" applyAlignment="1" applyProtection="1">
      <alignment horizontal="center"/>
      <protection hidden="1"/>
    </xf>
    <xf numFmtId="49" fontId="6" fillId="2" borderId="0" xfId="4" applyNumberFormat="1" applyFont="1" applyFill="1" applyBorder="1" applyAlignment="1" applyProtection="1">
      <alignment horizontal="right"/>
      <protection hidden="1"/>
    </xf>
    <xf numFmtId="0" fontId="3" fillId="2" borderId="80" xfId="4" applyFill="1" applyBorder="1" applyAlignment="1" applyProtection="1">
      <alignment vertical="center"/>
      <protection hidden="1"/>
    </xf>
    <xf numFmtId="0" fontId="67" fillId="2" borderId="80" xfId="4" applyFont="1" applyFill="1" applyBorder="1" applyAlignment="1" applyProtection="1">
      <alignment vertical="center"/>
      <protection hidden="1"/>
    </xf>
    <xf numFmtId="0" fontId="3" fillId="2" borderId="80" xfId="4" applyFill="1" applyBorder="1" applyAlignment="1" applyProtection="1">
      <alignment horizontal="center" vertical="center"/>
      <protection hidden="1"/>
    </xf>
    <xf numFmtId="0" fontId="47" fillId="2" borderId="81" xfId="4" applyFont="1" applyFill="1" applyBorder="1" applyAlignment="1" applyProtection="1">
      <alignment horizontal="left" vertical="center"/>
      <protection hidden="1"/>
    </xf>
    <xf numFmtId="0" fontId="47" fillId="2" borderId="81" xfId="4" applyFont="1" applyFill="1" applyBorder="1" applyAlignment="1" applyProtection="1">
      <alignment horizontal="right" vertical="center"/>
      <protection hidden="1"/>
    </xf>
    <xf numFmtId="0" fontId="47" fillId="2" borderId="81" xfId="4" applyFont="1" applyFill="1" applyBorder="1" applyAlignment="1" applyProtection="1">
      <alignment horizontal="right"/>
      <protection hidden="1"/>
    </xf>
    <xf numFmtId="0" fontId="98" fillId="2" borderId="0" xfId="4" applyFont="1" applyFill="1" applyBorder="1" applyAlignment="1" applyProtection="1">
      <alignment horizontal="center"/>
      <protection hidden="1"/>
    </xf>
    <xf numFmtId="0" fontId="8" fillId="2" borderId="0" xfId="4" applyFont="1" applyFill="1" applyBorder="1" applyAlignment="1" applyProtection="1">
      <alignment vertical="justify"/>
      <protection hidden="1"/>
    </xf>
    <xf numFmtId="0" fontId="47" fillId="2" borderId="0" xfId="4" applyFont="1" applyFill="1" applyBorder="1" applyAlignment="1" applyProtection="1">
      <alignment horizontal="left" vertical="center"/>
      <protection hidden="1"/>
    </xf>
    <xf numFmtId="0" fontId="8" fillId="2" borderId="0" xfId="4" applyFont="1" applyFill="1" applyBorder="1" applyAlignment="1" applyProtection="1">
      <alignment vertical="center"/>
      <protection hidden="1"/>
    </xf>
    <xf numFmtId="49" fontId="6" fillId="2" borderId="0" xfId="4" applyNumberFormat="1" applyFont="1" applyFill="1" applyBorder="1" applyAlignment="1" applyProtection="1">
      <alignment horizontal="right" vertical="center"/>
      <protection hidden="1"/>
    </xf>
    <xf numFmtId="0" fontId="67" fillId="2" borderId="0" xfId="4" applyFont="1" applyFill="1" applyBorder="1" applyAlignment="1" applyProtection="1">
      <alignment horizontal="right" vertical="center"/>
      <protection hidden="1"/>
    </xf>
    <xf numFmtId="3" fontId="4" fillId="2" borderId="0" xfId="4" applyNumberFormat="1" applyFont="1" applyFill="1" applyBorder="1" applyAlignment="1" applyProtection="1">
      <alignment horizontal="center" vertical="center"/>
      <protection locked="0"/>
    </xf>
    <xf numFmtId="0" fontId="10" fillId="2" borderId="14" xfId="4" applyFont="1" applyFill="1" applyBorder="1" applyAlignment="1" applyProtection="1">
      <alignment horizontal="left" vertical="center"/>
      <protection hidden="1"/>
    </xf>
    <xf numFmtId="0" fontId="4" fillId="2" borderId="14" xfId="4" applyFont="1" applyFill="1" applyBorder="1" applyAlignment="1" applyProtection="1">
      <alignment horizontal="left" vertical="center"/>
      <protection hidden="1"/>
    </xf>
    <xf numFmtId="0" fontId="3" fillId="2" borderId="14" xfId="4" applyFill="1" applyBorder="1" applyAlignment="1" applyProtection="1">
      <alignment horizontal="center" vertical="center"/>
      <protection hidden="1"/>
    </xf>
    <xf numFmtId="0" fontId="3" fillId="2" borderId="14" xfId="4" applyFill="1" applyBorder="1" applyAlignment="1" applyProtection="1">
      <alignment horizontal="left" vertical="center"/>
      <protection hidden="1"/>
    </xf>
    <xf numFmtId="49" fontId="6" fillId="2" borderId="14" xfId="4" applyNumberFormat="1" applyFont="1" applyFill="1" applyBorder="1" applyAlignment="1" applyProtection="1">
      <alignment horizontal="left" vertical="center"/>
      <protection hidden="1"/>
    </xf>
    <xf numFmtId="40" fontId="79" fillId="2" borderId="14" xfId="4" applyNumberFormat="1" applyFont="1" applyFill="1" applyBorder="1" applyAlignment="1" applyProtection="1">
      <alignment horizontal="right" vertical="center"/>
      <protection hidden="1"/>
    </xf>
    <xf numFmtId="40" fontId="79" fillId="2" borderId="14" xfId="4" applyNumberFormat="1" applyFont="1" applyFill="1" applyBorder="1" applyAlignment="1" applyProtection="1">
      <alignment horizontal="right"/>
      <protection hidden="1"/>
    </xf>
    <xf numFmtId="0" fontId="8" fillId="2" borderId="0" xfId="4" applyFont="1" applyFill="1" applyBorder="1" applyAlignment="1" applyProtection="1">
      <alignment horizontal="left" vertical="center"/>
      <protection hidden="1"/>
    </xf>
    <xf numFmtId="0" fontId="8" fillId="2" borderId="0" xfId="4" applyFont="1" applyFill="1" applyBorder="1" applyAlignment="1" applyProtection="1">
      <alignment horizontal="left" vertical="top"/>
      <protection hidden="1"/>
    </xf>
    <xf numFmtId="0" fontId="3" fillId="2" borderId="0" xfId="4" applyFont="1" applyFill="1" applyBorder="1" applyProtection="1">
      <protection hidden="1"/>
    </xf>
    <xf numFmtId="0" fontId="4" fillId="2" borderId="0" xfId="4"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left"/>
      <protection hidden="1"/>
    </xf>
    <xf numFmtId="49" fontId="3" fillId="2" borderId="0" xfId="4" applyNumberFormat="1" applyFont="1" applyFill="1" applyBorder="1" applyAlignment="1" applyProtection="1">
      <alignment horizontal="right"/>
      <protection hidden="1"/>
    </xf>
    <xf numFmtId="49" fontId="4" fillId="2" borderId="13" xfId="4" applyNumberFormat="1" applyFont="1" applyFill="1" applyBorder="1" applyAlignment="1" applyProtection="1">
      <alignment horizontal="center" vertical="center"/>
      <protection hidden="1"/>
    </xf>
    <xf numFmtId="4" fontId="3" fillId="2" borderId="0" xfId="4" applyNumberFormat="1" applyFont="1" applyFill="1" applyBorder="1" applyProtection="1">
      <protection hidden="1"/>
    </xf>
    <xf numFmtId="0" fontId="4" fillId="2" borderId="0" xfId="4" applyFont="1" applyFill="1" applyBorder="1" applyProtection="1">
      <protection hidden="1"/>
    </xf>
    <xf numFmtId="0" fontId="4" fillId="2" borderId="0" xfId="4" applyFont="1" applyFill="1" applyBorder="1" applyAlignment="1" applyProtection="1">
      <alignment horizontal="center"/>
      <protection hidden="1"/>
    </xf>
    <xf numFmtId="0" fontId="43" fillId="2" borderId="1" xfId="4" applyFont="1" applyFill="1" applyBorder="1" applyAlignment="1" applyProtection="1">
      <alignment horizontal="center" vertical="top"/>
      <protection hidden="1"/>
    </xf>
    <xf numFmtId="0" fontId="3" fillId="2" borderId="1" xfId="4" applyFont="1" applyFill="1" applyBorder="1" applyProtection="1">
      <protection hidden="1"/>
    </xf>
    <xf numFmtId="49" fontId="4" fillId="2" borderId="1" xfId="4" applyNumberFormat="1" applyFont="1" applyFill="1" applyBorder="1" applyAlignment="1" applyProtection="1">
      <alignment horizontal="right"/>
      <protection hidden="1"/>
    </xf>
    <xf numFmtId="3" fontId="23" fillId="2" borderId="1" xfId="4" applyNumberFormat="1" applyFont="1" applyFill="1" applyBorder="1" applyProtection="1">
      <protection hidden="1"/>
    </xf>
    <xf numFmtId="0" fontId="3" fillId="2" borderId="9" xfId="4" applyFont="1" applyFill="1" applyBorder="1" applyAlignment="1" applyProtection="1">
      <alignment horizontal="center"/>
      <protection hidden="1"/>
    </xf>
    <xf numFmtId="0" fontId="3" fillId="2" borderId="9" xfId="4" applyFont="1" applyFill="1" applyBorder="1" applyProtection="1">
      <protection hidden="1"/>
    </xf>
    <xf numFmtId="49" fontId="4" fillId="2" borderId="9" xfId="4" applyNumberFormat="1" applyFont="1" applyFill="1" applyBorder="1" applyAlignment="1" applyProtection="1">
      <alignment horizontal="right"/>
      <protection hidden="1"/>
    </xf>
    <xf numFmtId="49" fontId="4" fillId="2" borderId="0" xfId="4"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left" vertical="top"/>
      <protection hidden="1"/>
    </xf>
    <xf numFmtId="49" fontId="4" fillId="2" borderId="0" xfId="4" applyNumberFormat="1" applyFont="1" applyFill="1" applyBorder="1" applyAlignment="1" applyProtection="1">
      <alignment horizontal="center" vertical="center"/>
      <protection hidden="1"/>
    </xf>
    <xf numFmtId="3" fontId="3" fillId="2" borderId="0" xfId="4" applyNumberFormat="1" applyFont="1" applyFill="1" applyBorder="1" applyAlignment="1" applyProtection="1">
      <alignment horizontal="right"/>
      <protection hidden="1"/>
    </xf>
    <xf numFmtId="49" fontId="4" fillId="2" borderId="0" xfId="4" applyNumberFormat="1" applyFont="1" applyFill="1" applyBorder="1" applyAlignment="1" applyProtection="1">
      <alignment horizontal="left"/>
      <protection hidden="1"/>
    </xf>
    <xf numFmtId="0" fontId="40" fillId="2" borderId="0" xfId="4" applyFont="1" applyFill="1" applyAlignment="1" applyProtection="1">
      <alignment horizontal="center" vertical="center"/>
      <protection hidden="1"/>
    </xf>
    <xf numFmtId="0" fontId="3" fillId="2" borderId="0" xfId="4" applyFill="1" applyAlignment="1" applyProtection="1">
      <alignment vertical="center"/>
      <protection hidden="1"/>
    </xf>
    <xf numFmtId="0" fontId="82" fillId="2" borderId="0" xfId="4" applyFont="1" applyFill="1" applyBorder="1" applyAlignment="1" applyProtection="1">
      <alignment vertical="center"/>
      <protection hidden="1"/>
    </xf>
    <xf numFmtId="49" fontId="4" fillId="2" borderId="0" xfId="4" applyNumberFormat="1" applyFont="1" applyFill="1" applyBorder="1" applyAlignment="1" applyProtection="1">
      <alignment horizontal="left" vertical="center"/>
      <protection hidden="1"/>
    </xf>
    <xf numFmtId="3" fontId="50" fillId="2" borderId="0" xfId="4" applyNumberFormat="1" applyFont="1" applyFill="1" applyBorder="1" applyAlignment="1" applyProtection="1">
      <alignment vertical="center"/>
      <protection hidden="1"/>
    </xf>
    <xf numFmtId="0" fontId="4" fillId="2" borderId="0" xfId="4" applyFont="1" applyFill="1" applyAlignment="1" applyProtection="1">
      <alignment horizontal="center" vertical="center"/>
      <protection hidden="1"/>
    </xf>
    <xf numFmtId="0" fontId="4" fillId="2" borderId="0" xfId="4" applyFont="1" applyFill="1" applyBorder="1" applyAlignment="1" applyProtection="1">
      <alignment horizontal="center" vertical="center"/>
      <protection hidden="1"/>
    </xf>
    <xf numFmtId="0" fontId="4" fillId="2" borderId="0" xfId="4" applyFont="1" applyFill="1" applyAlignment="1" applyProtection="1">
      <alignment vertical="center"/>
      <protection hidden="1"/>
    </xf>
    <xf numFmtId="3" fontId="3" fillId="2" borderId="0" xfId="4" applyNumberFormat="1" applyFill="1" applyBorder="1" applyAlignment="1" applyProtection="1">
      <alignment vertical="center"/>
      <protection hidden="1"/>
    </xf>
    <xf numFmtId="0" fontId="40" fillId="2" borderId="0" xfId="4" applyFont="1" applyFill="1" applyBorder="1" applyAlignment="1" applyProtection="1">
      <alignment horizontal="center" vertical="center"/>
      <protection hidden="1"/>
    </xf>
    <xf numFmtId="0" fontId="3" fillId="2" borderId="0" xfId="4" applyFont="1" applyFill="1" applyAlignment="1" applyProtection="1">
      <alignment vertical="center"/>
      <protection hidden="1"/>
    </xf>
    <xf numFmtId="0" fontId="3" fillId="2" borderId="0" xfId="4" applyFont="1" applyFill="1" applyBorder="1" applyAlignment="1" applyProtection="1">
      <alignment horizontal="left"/>
      <protection hidden="1"/>
    </xf>
    <xf numFmtId="0" fontId="76" fillId="2" borderId="0" xfId="4" applyFont="1" applyFill="1" applyBorder="1" applyAlignment="1" applyProtection="1">
      <alignment horizontal="left" vertical="top"/>
      <protection hidden="1"/>
    </xf>
    <xf numFmtId="0" fontId="3" fillId="2" borderId="0" xfId="4" applyFont="1" applyFill="1" applyBorder="1" applyAlignment="1" applyProtection="1">
      <alignment vertical="center"/>
      <protection hidden="1"/>
    </xf>
    <xf numFmtId="0" fontId="32" fillId="2" borderId="0" xfId="4" applyFont="1" applyFill="1" applyAlignment="1" applyProtection="1">
      <alignment vertical="center"/>
      <protection hidden="1"/>
    </xf>
    <xf numFmtId="0" fontId="4" fillId="2" borderId="1" xfId="4" applyFont="1" applyFill="1" applyBorder="1" applyProtection="1">
      <protection hidden="1"/>
    </xf>
    <xf numFmtId="0" fontId="4" fillId="2" borderId="1" xfId="4" applyFont="1" applyFill="1" applyBorder="1" applyAlignment="1" applyProtection="1">
      <alignment horizontal="center"/>
      <protection hidden="1"/>
    </xf>
    <xf numFmtId="3" fontId="4" fillId="2" borderId="80" xfId="4" applyNumberFormat="1" applyFont="1" applyFill="1" applyBorder="1" applyAlignment="1" applyProtection="1">
      <alignment horizontal="right" vertical="center"/>
      <protection locked="0"/>
    </xf>
    <xf numFmtId="49" fontId="6" fillId="2" borderId="80" xfId="4" applyNumberFormat="1" applyFont="1" applyFill="1" applyBorder="1" applyAlignment="1" applyProtection="1">
      <alignment horizontal="right" vertical="center"/>
      <protection hidden="1"/>
    </xf>
    <xf numFmtId="0" fontId="67" fillId="2" borderId="80" xfId="4" applyFont="1" applyFill="1" applyBorder="1" applyAlignment="1" applyProtection="1">
      <alignment horizontal="right" vertical="center"/>
      <protection hidden="1"/>
    </xf>
    <xf numFmtId="40" fontId="24" fillId="2" borderId="14" xfId="4" applyNumberFormat="1" applyFont="1" applyFill="1" applyBorder="1" applyAlignment="1" applyProtection="1">
      <alignment horizontal="right" vertical="center"/>
      <protection hidden="1"/>
    </xf>
    <xf numFmtId="40" fontId="47" fillId="2" borderId="14" xfId="4" applyNumberFormat="1" applyFont="1" applyFill="1" applyBorder="1" applyAlignment="1" applyProtection="1">
      <alignment horizontal="right" vertical="center"/>
      <protection hidden="1"/>
    </xf>
    <xf numFmtId="0" fontId="3" fillId="2" borderId="0" xfId="4" applyNumberFormat="1" applyFont="1" applyFill="1" applyBorder="1" applyAlignment="1" applyProtection="1">
      <alignment horizontal="left"/>
      <protection hidden="1"/>
    </xf>
    <xf numFmtId="1" fontId="4" fillId="2" borderId="13" xfId="4" applyNumberFormat="1" applyFont="1" applyFill="1" applyBorder="1" applyAlignment="1" applyProtection="1">
      <alignment horizontal="center" vertical="center"/>
      <protection hidden="1"/>
    </xf>
    <xf numFmtId="1" fontId="4" fillId="2" borderId="0" xfId="4" applyNumberFormat="1" applyFont="1" applyFill="1" applyBorder="1" applyAlignment="1" applyProtection="1">
      <alignment horizontal="center" vertical="center"/>
      <protection hidden="1"/>
    </xf>
    <xf numFmtId="3" fontId="3" fillId="2" borderId="0" xfId="4" applyNumberFormat="1" applyFont="1" applyFill="1" applyBorder="1" applyAlignment="1" applyProtection="1">
      <alignment horizontal="right" vertical="center"/>
      <protection hidden="1"/>
    </xf>
    <xf numFmtId="0" fontId="4" fillId="2" borderId="0" xfId="4" applyFont="1" applyFill="1" applyBorder="1" applyAlignment="1" applyProtection="1">
      <alignment horizontal="left"/>
      <protection hidden="1"/>
    </xf>
    <xf numFmtId="49" fontId="3" fillId="2" borderId="0" xfId="4" applyNumberFormat="1" applyFont="1" applyFill="1" applyBorder="1" applyAlignment="1" applyProtection="1">
      <alignment horizontal="center"/>
      <protection hidden="1"/>
    </xf>
    <xf numFmtId="0" fontId="3" fillId="2" borderId="1" xfId="4" applyFont="1" applyFill="1" applyBorder="1" applyAlignment="1" applyProtection="1">
      <alignment horizontal="right"/>
      <protection hidden="1"/>
    </xf>
    <xf numFmtId="49" fontId="3" fillId="2" borderId="0" xfId="4" quotePrefix="1" applyNumberFormat="1" applyFont="1" applyFill="1" applyBorder="1" applyAlignment="1" applyProtection="1">
      <alignment horizontal="left"/>
      <protection hidden="1"/>
    </xf>
    <xf numFmtId="0" fontId="3" fillId="2" borderId="0" xfId="4" quotePrefix="1" applyFont="1" applyFill="1" applyBorder="1" applyAlignment="1" applyProtection="1">
      <alignment horizontal="right"/>
      <protection hidden="1"/>
    </xf>
    <xf numFmtId="0" fontId="23" fillId="2" borderId="0" xfId="4" applyFont="1" applyFill="1" applyBorder="1" applyProtection="1">
      <protection hidden="1"/>
    </xf>
    <xf numFmtId="49" fontId="3" fillId="2" borderId="0" xfId="4" quotePrefix="1"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right" vertical="center"/>
      <protection hidden="1"/>
    </xf>
    <xf numFmtId="0" fontId="3" fillId="2" borderId="1" xfId="4" applyFont="1" applyFill="1" applyBorder="1" applyAlignment="1" applyProtection="1">
      <alignment horizontal="center"/>
      <protection hidden="1"/>
    </xf>
    <xf numFmtId="0" fontId="3" fillId="2" borderId="0" xfId="4" applyFont="1" applyFill="1" applyBorder="1" applyAlignment="1" applyProtection="1">
      <alignment horizontal="center"/>
      <protection hidden="1"/>
    </xf>
    <xf numFmtId="0" fontId="67" fillId="2" borderId="0" xfId="4" applyFont="1" applyFill="1" applyBorder="1" applyAlignment="1" applyProtection="1">
      <alignment horizontal="center" vertical="center"/>
      <protection hidden="1"/>
    </xf>
    <xf numFmtId="0" fontId="3" fillId="2" borderId="0" xfId="4" applyFont="1" applyFill="1" applyBorder="1" applyAlignment="1" applyProtection="1">
      <protection hidden="1"/>
    </xf>
    <xf numFmtId="0" fontId="32" fillId="2" borderId="0" xfId="4" applyFont="1" applyFill="1" applyBorder="1" applyAlignment="1" applyProtection="1">
      <alignment vertical="center"/>
      <protection hidden="1"/>
    </xf>
    <xf numFmtId="0" fontId="43" fillId="2" borderId="0" xfId="4" applyFont="1" applyFill="1" applyBorder="1" applyAlignment="1" applyProtection="1">
      <alignment horizontal="center" vertical="top"/>
      <protection hidden="1"/>
    </xf>
    <xf numFmtId="0" fontId="3" fillId="2" borderId="0" xfId="4" applyFont="1" applyFill="1" applyBorder="1" applyAlignment="1" applyProtection="1">
      <alignment vertical="top"/>
      <protection hidden="1"/>
    </xf>
    <xf numFmtId="0" fontId="4" fillId="2" borderId="0" xfId="4" applyFont="1" applyFill="1" applyBorder="1" applyAlignment="1" applyProtection="1">
      <alignment vertical="top"/>
      <protection hidden="1"/>
    </xf>
    <xf numFmtId="0" fontId="4" fillId="2" borderId="0" xfId="4" applyFont="1" applyFill="1" applyBorder="1" applyAlignment="1" applyProtection="1">
      <alignment horizontal="left" vertical="top"/>
      <protection hidden="1"/>
    </xf>
    <xf numFmtId="0" fontId="4" fillId="2" borderId="0" xfId="4" quotePrefix="1" applyFont="1" applyFill="1" applyBorder="1" applyAlignment="1" applyProtection="1">
      <alignment vertical="top"/>
      <protection hidden="1"/>
    </xf>
    <xf numFmtId="49" fontId="4" fillId="2" borderId="60" xfId="4" applyNumberFormat="1" applyFont="1" applyFill="1" applyBorder="1" applyAlignment="1" applyProtection="1">
      <alignment horizontal="center" vertical="center"/>
      <protection hidden="1"/>
    </xf>
    <xf numFmtId="49" fontId="32" fillId="2" borderId="0" xfId="4" applyNumberFormat="1" applyFont="1" applyFill="1" applyBorder="1" applyAlignment="1" applyProtection="1">
      <alignment horizontal="left"/>
      <protection hidden="1"/>
    </xf>
    <xf numFmtId="3" fontId="3" fillId="2" borderId="0" xfId="4" applyNumberFormat="1" applyFont="1" applyFill="1" applyBorder="1" applyProtection="1">
      <protection hidden="1"/>
    </xf>
    <xf numFmtId="0" fontId="32" fillId="2" borderId="0" xfId="4" applyFont="1" applyFill="1" applyBorder="1" applyAlignment="1" applyProtection="1">
      <alignment horizontal="left"/>
      <protection hidden="1"/>
    </xf>
    <xf numFmtId="0" fontId="18" fillId="2" borderId="0" xfId="4" applyFont="1" applyFill="1" applyBorder="1" applyAlignment="1" applyProtection="1">
      <alignment horizontal="center"/>
      <protection hidden="1"/>
    </xf>
    <xf numFmtId="0" fontId="52" fillId="2" borderId="0" xfId="4" applyFont="1" applyFill="1" applyBorder="1" applyAlignment="1" applyProtection="1">
      <protection hidden="1"/>
    </xf>
    <xf numFmtId="0" fontId="67" fillId="2" borderId="0" xfId="4" applyFont="1" applyFill="1" applyBorder="1" applyProtection="1">
      <protection hidden="1"/>
    </xf>
    <xf numFmtId="0" fontId="18" fillId="2" borderId="0" xfId="4" applyFont="1" applyFill="1" applyBorder="1" applyAlignment="1" applyProtection="1">
      <alignment horizontal="right"/>
      <protection hidden="1"/>
    </xf>
    <xf numFmtId="0" fontId="3" fillId="0" borderId="0" xfId="4" applyProtection="1">
      <protection hidden="1"/>
    </xf>
    <xf numFmtId="0" fontId="3" fillId="3" borderId="0" xfId="4" applyFill="1" applyAlignment="1">
      <alignment wrapText="1"/>
    </xf>
    <xf numFmtId="3" fontId="4" fillId="2" borderId="0" xfId="4" applyNumberFormat="1" applyFont="1" applyFill="1" applyBorder="1" applyAlignment="1" applyProtection="1">
      <alignment horizontal="left" vertical="center"/>
      <protection locked="0"/>
    </xf>
    <xf numFmtId="40" fontId="3" fillId="3" borderId="0" xfId="4" applyNumberFormat="1" applyFill="1"/>
    <xf numFmtId="0" fontId="10" fillId="3" borderId="0" xfId="4" applyFont="1" applyFill="1" applyAlignment="1">
      <alignment horizontal="center"/>
    </xf>
    <xf numFmtId="0" fontId="4" fillId="3" borderId="0" xfId="4" applyFont="1" applyFill="1" applyAlignment="1">
      <alignment horizontal="right"/>
    </xf>
    <xf numFmtId="0" fontId="10" fillId="3" borderId="0" xfId="4" applyFont="1" applyFill="1"/>
    <xf numFmtId="0" fontId="3" fillId="3" borderId="0" xfId="4" applyFill="1"/>
    <xf numFmtId="0" fontId="71" fillId="3" borderId="0" xfId="4" applyFont="1" applyFill="1" applyAlignment="1">
      <alignment horizontal="right"/>
    </xf>
    <xf numFmtId="3" fontId="4" fillId="2" borderId="0" xfId="4" applyNumberFormat="1" applyFont="1" applyFill="1" applyBorder="1" applyAlignment="1" applyProtection="1">
      <alignment horizontal="right" vertical="center"/>
      <protection locked="0"/>
    </xf>
    <xf numFmtId="0" fontId="3" fillId="2" borderId="81" xfId="4" applyFill="1" applyBorder="1" applyAlignment="1" applyProtection="1">
      <alignment horizontal="left" vertical="center"/>
      <protection hidden="1"/>
    </xf>
    <xf numFmtId="0" fontId="10" fillId="2" borderId="82" xfId="4" applyFont="1" applyFill="1" applyBorder="1" applyAlignment="1" applyProtection="1">
      <alignment horizontal="left" vertical="center"/>
      <protection hidden="1"/>
    </xf>
    <xf numFmtId="0" fontId="4" fillId="2" borderId="82" xfId="4" applyFont="1" applyFill="1" applyBorder="1" applyAlignment="1" applyProtection="1">
      <alignment horizontal="left" vertical="center"/>
      <protection hidden="1"/>
    </xf>
    <xf numFmtId="0" fontId="3" fillId="2" borderId="82" xfId="4" applyFill="1" applyBorder="1" applyAlignment="1" applyProtection="1">
      <alignment horizontal="center" vertical="center"/>
      <protection hidden="1"/>
    </xf>
    <xf numFmtId="0" fontId="3" fillId="2" borderId="82" xfId="4" applyFill="1" applyBorder="1" applyAlignment="1" applyProtection="1">
      <alignment horizontal="left" vertical="center"/>
      <protection hidden="1"/>
    </xf>
    <xf numFmtId="49" fontId="6" fillId="2" borderId="82" xfId="4" applyNumberFormat="1" applyFont="1" applyFill="1" applyBorder="1" applyAlignment="1" applyProtection="1">
      <alignment horizontal="left" vertical="center"/>
      <protection hidden="1"/>
    </xf>
    <xf numFmtId="40" fontId="24" fillId="2" borderId="82" xfId="4" applyNumberFormat="1" applyFont="1" applyFill="1" applyBorder="1" applyAlignment="1" applyProtection="1">
      <alignment horizontal="right" vertical="center"/>
      <protection hidden="1"/>
    </xf>
    <xf numFmtId="40" fontId="47" fillId="2" borderId="82" xfId="4" applyNumberFormat="1" applyFont="1" applyFill="1" applyBorder="1" applyAlignment="1" applyProtection="1">
      <alignment horizontal="right" vertical="center"/>
      <protection hidden="1"/>
    </xf>
    <xf numFmtId="0" fontId="4" fillId="2" borderId="0" xfId="4" applyFont="1" applyFill="1" applyBorder="1" applyAlignment="1" applyProtection="1">
      <alignment horizontal="right"/>
      <protection hidden="1"/>
    </xf>
    <xf numFmtId="0" fontId="141" fillId="2" borderId="0" xfId="4" applyFont="1" applyFill="1" applyBorder="1" applyAlignment="1" applyProtection="1">
      <alignment horizontal="right"/>
      <protection hidden="1"/>
    </xf>
    <xf numFmtId="0" fontId="10" fillId="2" borderId="0" xfId="4" applyFont="1" applyFill="1" applyBorder="1" applyAlignment="1" applyProtection="1">
      <alignment horizontal="right"/>
      <protection hidden="1"/>
    </xf>
    <xf numFmtId="40" fontId="4" fillId="2" borderId="0" xfId="4" applyNumberFormat="1" applyFont="1" applyFill="1" applyBorder="1" applyAlignment="1" applyProtection="1">
      <alignment horizontal="center" vertical="center"/>
      <protection hidden="1"/>
    </xf>
    <xf numFmtId="0" fontId="72" fillId="2" borderId="0" xfId="4" applyFont="1" applyFill="1" applyBorder="1" applyAlignment="1" applyProtection="1">
      <alignment horizontal="right" vertical="center"/>
      <protection hidden="1"/>
    </xf>
    <xf numFmtId="0" fontId="99" fillId="2" borderId="0" xfId="4" applyFont="1" applyFill="1" applyBorder="1" applyAlignment="1" applyProtection="1">
      <alignment horizontal="left" vertical="center"/>
      <protection hidden="1"/>
    </xf>
    <xf numFmtId="0" fontId="3" fillId="2" borderId="0" xfId="4" applyFont="1" applyFill="1" applyBorder="1" applyAlignment="1" applyProtection="1">
      <alignment horizontal="left" vertical="center"/>
      <protection hidden="1"/>
    </xf>
    <xf numFmtId="0" fontId="67" fillId="2" borderId="0" xfId="4" applyFont="1" applyFill="1" applyBorder="1" applyAlignment="1" applyProtection="1">
      <alignment horizontal="left" vertical="center"/>
      <protection hidden="1"/>
    </xf>
    <xf numFmtId="4" fontId="3" fillId="2" borderId="0" xfId="4" applyNumberFormat="1" applyFont="1" applyFill="1" applyBorder="1" applyAlignment="1" applyProtection="1">
      <alignment vertical="center"/>
      <protection hidden="1"/>
    </xf>
    <xf numFmtId="49" fontId="4" fillId="2" borderId="0" xfId="4" applyNumberFormat="1" applyFont="1" applyFill="1" applyBorder="1" applyAlignment="1" applyProtection="1">
      <alignment horizontal="right" vertical="top"/>
      <protection hidden="1"/>
    </xf>
    <xf numFmtId="49" fontId="4" fillId="2" borderId="0" xfId="4" applyNumberFormat="1" applyFont="1" applyFill="1" applyBorder="1" applyAlignment="1" applyProtection="1">
      <alignment horizontal="center" vertical="top"/>
      <protection hidden="1"/>
    </xf>
    <xf numFmtId="0" fontId="3" fillId="2" borderId="0" xfId="4" applyFill="1" applyAlignment="1" applyProtection="1">
      <alignment vertical="top"/>
      <protection hidden="1"/>
    </xf>
    <xf numFmtId="0" fontId="3" fillId="2" borderId="0" xfId="4" applyFill="1" applyBorder="1" applyAlignment="1" applyProtection="1">
      <alignment vertical="top"/>
      <protection hidden="1"/>
    </xf>
    <xf numFmtId="49" fontId="3" fillId="2" borderId="0" xfId="4" applyNumberFormat="1" applyFont="1" applyFill="1" applyBorder="1" applyAlignment="1" applyProtection="1">
      <alignment horizontal="right" vertical="top"/>
      <protection hidden="1"/>
    </xf>
    <xf numFmtId="3" fontId="3" fillId="2" borderId="0" xfId="4" applyNumberFormat="1" applyFont="1" applyFill="1" applyBorder="1" applyAlignment="1" applyProtection="1">
      <alignment horizontal="right" vertical="top"/>
      <protection hidden="1"/>
    </xf>
    <xf numFmtId="0" fontId="4" fillId="2" borderId="0" xfId="4" applyFont="1" applyFill="1" applyBorder="1" applyAlignment="1" applyProtection="1">
      <alignment horizontal="center" vertical="top"/>
      <protection hidden="1"/>
    </xf>
    <xf numFmtId="4" fontId="3" fillId="2" borderId="0" xfId="4" applyNumberFormat="1" applyFont="1" applyFill="1" applyBorder="1" applyAlignment="1" applyProtection="1">
      <alignment vertical="top"/>
      <protection hidden="1"/>
    </xf>
    <xf numFmtId="0" fontId="3" fillId="2" borderId="0" xfId="4" applyFill="1" applyBorder="1" applyAlignment="1" applyProtection="1">
      <alignment horizontal="right" vertical="center"/>
      <protection hidden="1"/>
    </xf>
    <xf numFmtId="40" fontId="21" fillId="2" borderId="81" xfId="4" applyNumberFormat="1" applyFont="1" applyFill="1" applyBorder="1" applyAlignment="1" applyProtection="1">
      <alignment horizontal="left" vertical="center"/>
      <protection hidden="1"/>
    </xf>
    <xf numFmtId="0" fontId="32" fillId="2" borderId="0" xfId="4" applyFont="1" applyFill="1" applyBorder="1" applyAlignment="1" applyProtection="1">
      <alignment vertical="top"/>
      <protection hidden="1"/>
    </xf>
    <xf numFmtId="0" fontId="43" fillId="2" borderId="9" xfId="4" applyFont="1" applyFill="1" applyBorder="1" applyAlignment="1" applyProtection="1">
      <alignment horizontal="center" vertical="top"/>
      <protection hidden="1"/>
    </xf>
    <xf numFmtId="0" fontId="3" fillId="2" borderId="0" xfId="4" applyFill="1" applyBorder="1"/>
    <xf numFmtId="0" fontId="3" fillId="0" borderId="0" xfId="4" applyBorder="1"/>
    <xf numFmtId="0" fontId="3" fillId="2" borderId="1" xfId="4" applyFill="1" applyBorder="1" applyProtection="1">
      <protection hidden="1"/>
    </xf>
    <xf numFmtId="3" fontId="3" fillId="2" borderId="0" xfId="4" applyNumberFormat="1" applyFont="1" applyFill="1" applyBorder="1" applyAlignment="1" applyProtection="1">
      <alignment horizontal="center"/>
      <protection locked="0"/>
    </xf>
    <xf numFmtId="0" fontId="40" fillId="2" borderId="0" xfId="4" applyFont="1" applyFill="1" applyAlignment="1" applyProtection="1">
      <alignment horizontal="center" vertical="top"/>
      <protection hidden="1"/>
    </xf>
    <xf numFmtId="0" fontId="32" fillId="2" borderId="0" xfId="4" applyFont="1" applyFill="1" applyBorder="1" applyProtection="1">
      <protection hidden="1"/>
    </xf>
    <xf numFmtId="0" fontId="66" fillId="2" borderId="1" xfId="4" applyFont="1" applyFill="1" applyBorder="1" applyProtection="1">
      <protection hidden="1"/>
    </xf>
    <xf numFmtId="0" fontId="66" fillId="2" borderId="1" xfId="4" applyFont="1" applyFill="1" applyBorder="1" applyAlignment="1" applyProtection="1">
      <alignment horizontal="center"/>
      <protection hidden="1"/>
    </xf>
    <xf numFmtId="0" fontId="143" fillId="2" borderId="1" xfId="4" applyFont="1" applyFill="1" applyBorder="1" applyAlignment="1" applyProtection="1">
      <alignment horizontal="center" vertical="top"/>
      <protection hidden="1"/>
    </xf>
    <xf numFmtId="0" fontId="32" fillId="2" borderId="1" xfId="4" applyFont="1" applyFill="1" applyBorder="1" applyProtection="1">
      <protection hidden="1"/>
    </xf>
    <xf numFmtId="49" fontId="66" fillId="2" borderId="1" xfId="4" applyNumberFormat="1" applyFont="1" applyFill="1" applyBorder="1" applyAlignment="1" applyProtection="1">
      <alignment horizontal="right"/>
      <protection hidden="1"/>
    </xf>
    <xf numFmtId="0" fontId="32" fillId="2" borderId="0" xfId="4" applyFont="1" applyFill="1"/>
    <xf numFmtId="0" fontId="32" fillId="0" borderId="0" xfId="4" applyFont="1"/>
    <xf numFmtId="0" fontId="3" fillId="2" borderId="80" xfId="4" applyFill="1" applyBorder="1" applyAlignment="1" applyProtection="1">
      <alignment vertical="top"/>
      <protection hidden="1"/>
    </xf>
    <xf numFmtId="0" fontId="67" fillId="2" borderId="80" xfId="4" applyFont="1" applyFill="1" applyBorder="1" applyAlignment="1" applyProtection="1">
      <alignment vertical="top"/>
      <protection hidden="1"/>
    </xf>
    <xf numFmtId="3" fontId="4" fillId="2" borderId="83" xfId="4" applyNumberFormat="1" applyFont="1" applyFill="1" applyBorder="1" applyAlignment="1" applyProtection="1">
      <alignment horizontal="right" vertical="center"/>
      <protection locked="0"/>
    </xf>
    <xf numFmtId="0" fontId="3" fillId="2" borderId="0" xfId="4" applyFill="1" applyAlignment="1">
      <alignment vertical="center"/>
    </xf>
    <xf numFmtId="0" fontId="3" fillId="0" borderId="0" xfId="4" applyAlignment="1">
      <alignment vertical="center"/>
    </xf>
    <xf numFmtId="0" fontId="5" fillId="2" borderId="0" xfId="4" applyFont="1" applyFill="1" applyBorder="1" applyAlignment="1" applyProtection="1">
      <protection hidden="1"/>
    </xf>
    <xf numFmtId="0" fontId="5" fillId="2" borderId="0" xfId="4" applyFont="1" applyFill="1" applyBorder="1" applyAlignment="1" applyProtection="1">
      <alignment vertical="center"/>
      <protection hidden="1"/>
    </xf>
    <xf numFmtId="0" fontId="42" fillId="2" borderId="0" xfId="4" applyFont="1" applyFill="1" applyBorder="1" applyAlignment="1" applyProtection="1">
      <alignment horizontal="left" vertical="center"/>
      <protection hidden="1"/>
    </xf>
    <xf numFmtId="0" fontId="40" fillId="2" borderId="0" xfId="4" applyFont="1" applyFill="1" applyAlignment="1" applyProtection="1">
      <alignment horizontal="right" vertical="center"/>
      <protection hidden="1"/>
    </xf>
    <xf numFmtId="0" fontId="6" fillId="2" borderId="0" xfId="4" applyFont="1" applyFill="1" applyAlignment="1" applyProtection="1">
      <alignment horizontal="right" vertical="center"/>
      <protection hidden="1"/>
    </xf>
    <xf numFmtId="0" fontId="6" fillId="2" borderId="0" xfId="4" applyFont="1" applyFill="1" applyAlignment="1" applyProtection="1">
      <protection hidden="1"/>
    </xf>
    <xf numFmtId="49" fontId="3" fillId="2" borderId="0" xfId="4" applyNumberFormat="1" applyFont="1" applyFill="1" applyBorder="1" applyAlignment="1" applyProtection="1">
      <alignment horizontal="left" vertical="center"/>
      <protection hidden="1"/>
    </xf>
    <xf numFmtId="0" fontId="6" fillId="2" borderId="0" xfId="4" applyFont="1" applyFill="1" applyBorder="1" applyAlignment="1" applyProtection="1">
      <alignment horizontal="right"/>
      <protection hidden="1"/>
    </xf>
    <xf numFmtId="0" fontId="144" fillId="2" borderId="0" xfId="4" applyFont="1" applyFill="1" applyBorder="1" applyAlignment="1" applyProtection="1">
      <alignment horizontal="center"/>
      <protection hidden="1"/>
    </xf>
    <xf numFmtId="0" fontId="145" fillId="2" borderId="0" xfId="4" applyFont="1" applyFill="1" applyBorder="1" applyAlignment="1" applyProtection="1">
      <alignment horizontal="center" vertical="center"/>
      <protection hidden="1"/>
    </xf>
    <xf numFmtId="49" fontId="146" fillId="2" borderId="0" xfId="4" applyNumberFormat="1" applyFont="1" applyFill="1" applyBorder="1" applyAlignment="1" applyProtection="1">
      <alignment horizontal="right"/>
      <protection hidden="1"/>
    </xf>
    <xf numFmtId="0" fontId="146" fillId="2" borderId="0" xfId="4" applyFont="1" applyFill="1" applyBorder="1" applyAlignment="1" applyProtection="1">
      <alignment horizontal="right"/>
      <protection hidden="1"/>
    </xf>
    <xf numFmtId="0" fontId="90" fillId="2" borderId="0" xfId="4" applyFont="1" applyFill="1" applyBorder="1" applyAlignment="1" applyProtection="1">
      <alignment horizontal="right"/>
      <protection hidden="1"/>
    </xf>
    <xf numFmtId="0" fontId="4" fillId="2" borderId="0" xfId="4" applyFont="1" applyFill="1" applyProtection="1">
      <protection hidden="1"/>
    </xf>
    <xf numFmtId="3" fontId="3" fillId="2" borderId="2" xfId="4" applyNumberFormat="1" applyFont="1" applyFill="1" applyBorder="1" applyProtection="1">
      <protection locked="0"/>
    </xf>
    <xf numFmtId="3" fontId="6" fillId="3" borderId="31" xfId="0" applyNumberFormat="1" applyFont="1" applyFill="1" applyBorder="1" applyAlignment="1" applyProtection="1">
      <alignment horizontal="right"/>
      <protection hidden="1"/>
    </xf>
    <xf numFmtId="0" fontId="0" fillId="2" borderId="0" xfId="0" applyFill="1" applyBorder="1" applyAlignment="1" applyProtection="1">
      <alignment horizontal="center" wrapText="1"/>
      <protection hidden="1"/>
    </xf>
    <xf numFmtId="0" fontId="14" fillId="2" borderId="0" xfId="0" applyFont="1" applyFill="1" applyBorder="1" applyAlignment="1" applyProtection="1">
      <alignment horizontal="left" vertical="center"/>
      <protection hidden="1"/>
    </xf>
    <xf numFmtId="0" fontId="14" fillId="2" borderId="9" xfId="0" applyFont="1" applyFill="1" applyBorder="1" applyAlignment="1" applyProtection="1">
      <alignment horizontal="left" vertical="center"/>
      <protection hidden="1"/>
    </xf>
    <xf numFmtId="0" fontId="14" fillId="2" borderId="15" xfId="0" applyFont="1" applyFill="1" applyBorder="1" applyAlignment="1" applyProtection="1">
      <alignment horizontal="left" vertical="center"/>
      <protection hidden="1"/>
    </xf>
    <xf numFmtId="0" fontId="6" fillId="2" borderId="31" xfId="0" applyFont="1" applyFill="1" applyBorder="1" applyAlignment="1">
      <alignment horizontal="right"/>
    </xf>
    <xf numFmtId="0" fontId="6" fillId="2" borderId="9" xfId="0" applyFont="1" applyFill="1" applyBorder="1" applyAlignment="1">
      <alignment horizontal="right"/>
    </xf>
    <xf numFmtId="0" fontId="6" fillId="2" borderId="3" xfId="0" applyFont="1" applyFill="1" applyBorder="1" applyAlignment="1">
      <alignment horizontal="right"/>
    </xf>
    <xf numFmtId="0" fontId="6" fillId="2" borderId="0" xfId="0" applyFont="1" applyFill="1" applyAlignment="1">
      <alignment horizontal="right"/>
    </xf>
    <xf numFmtId="3" fontId="6" fillId="3" borderId="84" xfId="0" applyNumberFormat="1" applyFont="1" applyFill="1" applyBorder="1" applyAlignment="1" applyProtection="1">
      <alignment horizontal="right"/>
      <protection hidden="1"/>
    </xf>
    <xf numFmtId="3" fontId="6" fillId="2" borderId="86" xfId="0" applyNumberFormat="1" applyFont="1" applyFill="1" applyBorder="1" applyAlignment="1" applyProtection="1">
      <alignment horizontal="right"/>
      <protection hidden="1"/>
    </xf>
    <xf numFmtId="3" fontId="6" fillId="3" borderId="9" xfId="0" applyNumberFormat="1" applyFont="1" applyFill="1" applyBorder="1" applyAlignment="1" applyProtection="1">
      <alignment horizontal="right"/>
      <protection hidden="1"/>
    </xf>
    <xf numFmtId="0" fontId="147" fillId="5" borderId="0" xfId="0" applyFont="1" applyFill="1" applyProtection="1">
      <protection hidden="1"/>
    </xf>
    <xf numFmtId="0" fontId="4" fillId="2" borderId="1" xfId="0" applyFont="1" applyFill="1" applyBorder="1" applyProtection="1">
      <protection locked="0"/>
    </xf>
    <xf numFmtId="0" fontId="21" fillId="3" borderId="0" xfId="0" applyFont="1" applyFill="1" applyProtection="1">
      <protection hidden="1"/>
    </xf>
    <xf numFmtId="0" fontId="21" fillId="3" borderId="0" xfId="0" applyFont="1" applyFill="1" applyAlignment="1" applyProtection="1">
      <alignment horizontal="left"/>
      <protection hidden="1"/>
    </xf>
    <xf numFmtId="0" fontId="51" fillId="3" borderId="0" xfId="0" applyFont="1" applyFill="1" applyAlignment="1" applyProtection="1">
      <alignment horizontal="center"/>
      <protection hidden="1"/>
    </xf>
    <xf numFmtId="0" fontId="21" fillId="3" borderId="0" xfId="0" applyFont="1" applyFill="1" applyAlignment="1" applyProtection="1">
      <alignment horizontal="right"/>
      <protection hidden="1"/>
    </xf>
    <xf numFmtId="0" fontId="150" fillId="7" borderId="0" xfId="0" applyFont="1" applyFill="1" applyBorder="1" applyAlignment="1" applyProtection="1">
      <alignment horizontal="center"/>
      <protection hidden="1"/>
    </xf>
    <xf numFmtId="0" fontId="150" fillId="3" borderId="0" xfId="0" applyFont="1" applyFill="1" applyBorder="1" applyAlignment="1" applyProtection="1">
      <alignment horizontal="center"/>
      <protection hidden="1"/>
    </xf>
    <xf numFmtId="0" fontId="4" fillId="3" borderId="0" xfId="0" applyFont="1" applyFill="1" applyAlignment="1" applyProtection="1">
      <alignment horizontal="left"/>
      <protection hidden="1"/>
    </xf>
    <xf numFmtId="0" fontId="4" fillId="3" borderId="0" xfId="0" applyFont="1" applyFill="1" applyProtection="1">
      <protection hidden="1"/>
    </xf>
    <xf numFmtId="0" fontId="4" fillId="3" borderId="0" xfId="0" applyFont="1" applyFill="1" applyAlignment="1" applyProtection="1">
      <alignment horizontal="center"/>
      <protection hidden="1"/>
    </xf>
    <xf numFmtId="0" fontId="8" fillId="7" borderId="0" xfId="0" applyFont="1" applyFill="1" applyBorder="1" applyProtection="1">
      <protection hidden="1"/>
    </xf>
    <xf numFmtId="0" fontId="11" fillId="3" borderId="0" xfId="0" applyFont="1" applyFill="1" applyAlignment="1" applyProtection="1">
      <alignment horizontal="center"/>
      <protection hidden="1"/>
    </xf>
    <xf numFmtId="0" fontId="151" fillId="3" borderId="22" xfId="0" applyFont="1" applyFill="1" applyBorder="1" applyProtection="1">
      <protection hidden="1"/>
    </xf>
    <xf numFmtId="0" fontId="151" fillId="3" borderId="0" xfId="0" applyFont="1" applyFill="1" applyBorder="1" applyProtection="1">
      <protection hidden="1"/>
    </xf>
    <xf numFmtId="4" fontId="0" fillId="3" borderId="8" xfId="0" applyNumberFormat="1" applyFill="1" applyBorder="1" applyProtection="1">
      <protection hidden="1"/>
    </xf>
    <xf numFmtId="0" fontId="151" fillId="3" borderId="0" xfId="0" applyFont="1" applyFill="1" applyBorder="1" applyAlignment="1" applyProtection="1">
      <alignment horizontal="right"/>
      <protection hidden="1"/>
    </xf>
    <xf numFmtId="166" fontId="4" fillId="7" borderId="0" xfId="0" applyNumberFormat="1" applyFont="1" applyFill="1" applyBorder="1" applyAlignment="1" applyProtection="1">
      <alignment horizontal="left"/>
      <protection hidden="1"/>
    </xf>
    <xf numFmtId="166" fontId="4" fillId="3" borderId="0" xfId="0" applyNumberFormat="1" applyFont="1" applyFill="1" applyBorder="1" applyAlignment="1" applyProtection="1">
      <alignment horizontal="left"/>
      <protection hidden="1"/>
    </xf>
    <xf numFmtId="0" fontId="59" fillId="11" borderId="0" xfId="0" applyFont="1" applyFill="1" applyAlignment="1" applyProtection="1">
      <alignment horizontal="center"/>
      <protection hidden="1"/>
    </xf>
    <xf numFmtId="0" fontId="0" fillId="7" borderId="0" xfId="0" applyFill="1" applyBorder="1" applyProtection="1">
      <protection hidden="1"/>
    </xf>
    <xf numFmtId="0" fontId="4" fillId="3" borderId="14" xfId="0" applyFont="1" applyFill="1" applyBorder="1" applyAlignment="1" applyProtection="1">
      <alignment horizontal="center"/>
      <protection hidden="1"/>
    </xf>
    <xf numFmtId="0" fontId="0" fillId="3" borderId="14" xfId="0" applyFill="1" applyBorder="1" applyProtection="1">
      <protection hidden="1"/>
    </xf>
    <xf numFmtId="0" fontId="11" fillId="2" borderId="0" xfId="0" applyFont="1" applyFill="1" applyAlignment="1" applyProtection="1">
      <alignment horizontal="left"/>
      <protection hidden="1"/>
    </xf>
    <xf numFmtId="0" fontId="3" fillId="2" borderId="0" xfId="0" applyFont="1" applyFill="1" applyAlignment="1" applyProtection="1">
      <alignment horizontal="left"/>
      <protection hidden="1"/>
    </xf>
    <xf numFmtId="0" fontId="3" fillId="5" borderId="0" xfId="0" applyFont="1" applyFill="1" applyBorder="1" applyAlignment="1" applyProtection="1">
      <alignment horizontal="left"/>
      <protection hidden="1"/>
    </xf>
    <xf numFmtId="0" fontId="3" fillId="5" borderId="0" xfId="0" applyFont="1" applyFill="1" applyAlignment="1" applyProtection="1">
      <alignment horizontal="left"/>
      <protection hidden="1"/>
    </xf>
    <xf numFmtId="0" fontId="3" fillId="0" borderId="0" xfId="0" applyFont="1" applyFill="1" applyBorder="1" applyAlignment="1" applyProtection="1">
      <alignment horizontal="left"/>
      <protection hidden="1"/>
    </xf>
    <xf numFmtId="0" fontId="3" fillId="0" borderId="0" xfId="0" applyFont="1" applyFill="1" applyAlignment="1" applyProtection="1">
      <alignment horizontal="left"/>
      <protection hidden="1"/>
    </xf>
    <xf numFmtId="38" fontId="5" fillId="2" borderId="5" xfId="0" applyNumberFormat="1" applyFont="1" applyFill="1" applyBorder="1" applyAlignment="1" applyProtection="1">
      <alignment horizontal="left"/>
      <protection hidden="1"/>
    </xf>
    <xf numFmtId="38" fontId="5" fillId="2" borderId="5" xfId="0" applyNumberFormat="1" applyFont="1" applyFill="1" applyBorder="1" applyProtection="1">
      <protection hidden="1"/>
    </xf>
    <xf numFmtId="38" fontId="5" fillId="2" borderId="5" xfId="0" applyNumberFormat="1" applyFont="1" applyFill="1" applyBorder="1" applyAlignment="1" applyProtection="1">
      <alignment horizontal="right"/>
      <protection hidden="1"/>
    </xf>
    <xf numFmtId="38" fontId="4" fillId="2" borderId="26" xfId="0" applyNumberFormat="1" applyFont="1" applyFill="1" applyBorder="1" applyProtection="1">
      <protection hidden="1"/>
    </xf>
    <xf numFmtId="38" fontId="4" fillId="2" borderId="26" xfId="0" applyNumberFormat="1" applyFont="1" applyFill="1" applyBorder="1" applyAlignment="1" applyProtection="1">
      <alignment horizontal="right"/>
      <protection hidden="1"/>
    </xf>
    <xf numFmtId="38" fontId="0" fillId="2" borderId="26" xfId="0" applyNumberFormat="1" applyFill="1" applyBorder="1" applyProtection="1">
      <protection hidden="1"/>
    </xf>
    <xf numFmtId="38" fontId="57" fillId="16" borderId="0" xfId="0" applyNumberFormat="1" applyFont="1" applyFill="1" applyBorder="1" applyAlignment="1" applyProtection="1">
      <alignment horizontal="left"/>
      <protection hidden="1"/>
    </xf>
    <xf numFmtId="38" fontId="59" fillId="16" borderId="0" xfId="0" applyNumberFormat="1" applyFont="1" applyFill="1" applyBorder="1" applyAlignment="1" applyProtection="1">
      <alignment horizontal="left"/>
      <protection hidden="1"/>
    </xf>
    <xf numFmtId="38" fontId="4" fillId="2" borderId="0" xfId="0" applyNumberFormat="1" applyFont="1" applyFill="1" applyBorder="1" applyProtection="1">
      <protection hidden="1"/>
    </xf>
    <xf numFmtId="38" fontId="3" fillId="2" borderId="0" xfId="0" applyNumberFormat="1" applyFont="1" applyFill="1" applyBorder="1" applyProtection="1">
      <protection hidden="1"/>
    </xf>
    <xf numFmtId="38" fontId="4" fillId="2" borderId="8" xfId="0" applyNumberFormat="1" applyFont="1" applyFill="1" applyBorder="1" applyAlignment="1" applyProtection="1">
      <alignment horizontal="center"/>
      <protection hidden="1"/>
    </xf>
    <xf numFmtId="38" fontId="5" fillId="2" borderId="8" xfId="0" applyNumberFormat="1" applyFont="1" applyFill="1" applyBorder="1" applyProtection="1">
      <protection hidden="1"/>
    </xf>
    <xf numFmtId="38" fontId="3" fillId="2" borderId="8" xfId="0" applyNumberFormat="1" applyFont="1" applyFill="1" applyBorder="1" applyProtection="1">
      <protection hidden="1"/>
    </xf>
    <xf numFmtId="38" fontId="0" fillId="2" borderId="8" xfId="0" applyNumberFormat="1" applyFill="1" applyBorder="1" applyProtection="1">
      <protection hidden="1"/>
    </xf>
    <xf numFmtId="38" fontId="4" fillId="2" borderId="0" xfId="0" applyNumberFormat="1" applyFont="1" applyFill="1" applyBorder="1" applyAlignment="1" applyProtection="1">
      <alignment horizontal="center"/>
      <protection locked="0"/>
    </xf>
    <xf numFmtId="38" fontId="4" fillId="2" borderId="21" xfId="0" applyNumberFormat="1" applyFont="1" applyFill="1" applyBorder="1" applyProtection="1">
      <protection hidden="1"/>
    </xf>
    <xf numFmtId="38" fontId="4" fillId="2" borderId="5" xfId="0" applyNumberFormat="1" applyFont="1" applyFill="1" applyBorder="1" applyProtection="1">
      <protection hidden="1"/>
    </xf>
    <xf numFmtId="38" fontId="3" fillId="2" borderId="5" xfId="0" applyNumberFormat="1" applyFont="1" applyFill="1" applyBorder="1" applyProtection="1">
      <protection hidden="1"/>
    </xf>
    <xf numFmtId="38" fontId="11" fillId="2" borderId="7" xfId="0" applyNumberFormat="1" applyFont="1" applyFill="1" applyBorder="1" applyAlignment="1" applyProtection="1">
      <alignment horizontal="center"/>
      <protection hidden="1"/>
    </xf>
    <xf numFmtId="38" fontId="11" fillId="2" borderId="3" xfId="0" applyNumberFormat="1" applyFont="1" applyFill="1" applyBorder="1" applyAlignment="1" applyProtection="1">
      <alignment horizontal="center"/>
      <protection hidden="1"/>
    </xf>
    <xf numFmtId="38" fontId="11" fillId="2" borderId="0" xfId="0" applyNumberFormat="1" applyFont="1" applyFill="1" applyBorder="1" applyAlignment="1" applyProtection="1">
      <alignment horizontal="left"/>
      <protection hidden="1"/>
    </xf>
    <xf numFmtId="38" fontId="0" fillId="0" borderId="25" xfId="0" applyNumberFormat="1" applyBorder="1" applyProtection="1">
      <protection hidden="1"/>
    </xf>
    <xf numFmtId="0" fontId="4" fillId="2" borderId="0" xfId="0" applyNumberFormat="1" applyFont="1" applyFill="1" applyAlignment="1" applyProtection="1">
      <alignment horizontal="right"/>
      <protection hidden="1"/>
    </xf>
    <xf numFmtId="38" fontId="0" fillId="0" borderId="0" xfId="0" applyNumberFormat="1" applyProtection="1">
      <protection hidden="1"/>
    </xf>
    <xf numFmtId="38" fontId="11" fillId="2" borderId="0" xfId="0" applyNumberFormat="1" applyFont="1" applyFill="1" applyAlignment="1" applyProtection="1">
      <alignment horizontal="center"/>
      <protection hidden="1"/>
    </xf>
    <xf numFmtId="38" fontId="0" fillId="2" borderId="0" xfId="0" applyNumberFormat="1" applyFill="1" applyProtection="1">
      <protection hidden="1"/>
    </xf>
    <xf numFmtId="38" fontId="8" fillId="2" borderId="7" xfId="0" applyNumberFormat="1" applyFont="1" applyFill="1" applyBorder="1" applyAlignment="1" applyProtection="1">
      <alignment horizontal="center"/>
      <protection hidden="1"/>
    </xf>
    <xf numFmtId="38" fontId="8" fillId="2" borderId="25" xfId="0" applyNumberFormat="1" applyFont="1" applyFill="1" applyBorder="1" applyAlignment="1" applyProtection="1">
      <alignment horizontal="center"/>
      <protection hidden="1"/>
    </xf>
    <xf numFmtId="38" fontId="8" fillId="2" borderId="3" xfId="0" applyNumberFormat="1" applyFont="1" applyFill="1" applyBorder="1" applyAlignment="1" applyProtection="1">
      <alignment horizontal="center"/>
      <protection hidden="1"/>
    </xf>
    <xf numFmtId="38" fontId="8" fillId="2" borderId="0" xfId="0" applyNumberFormat="1" applyFont="1" applyFill="1" applyBorder="1" applyAlignment="1" applyProtection="1">
      <alignment horizontal="left"/>
      <protection hidden="1"/>
    </xf>
    <xf numFmtId="38" fontId="3" fillId="2" borderId="1" xfId="0" applyNumberFormat="1" applyFont="1" applyFill="1" applyBorder="1" applyProtection="1">
      <protection hidden="1"/>
    </xf>
    <xf numFmtId="38" fontId="0" fillId="2" borderId="1" xfId="0" applyNumberFormat="1" applyFill="1" applyBorder="1" applyProtection="1">
      <protection hidden="1"/>
    </xf>
    <xf numFmtId="38" fontId="8" fillId="2" borderId="11" xfId="0" applyNumberFormat="1" applyFont="1" applyFill="1" applyBorder="1" applyAlignment="1" applyProtection="1">
      <alignment horizontal="center"/>
      <protection hidden="1"/>
    </xf>
    <xf numFmtId="38" fontId="8" fillId="2" borderId="10" xfId="0" applyNumberFormat="1" applyFont="1" applyFill="1" applyBorder="1" applyAlignment="1" applyProtection="1">
      <alignment horizontal="center"/>
      <protection hidden="1"/>
    </xf>
    <xf numFmtId="38" fontId="8" fillId="2" borderId="1" xfId="0" applyNumberFormat="1" applyFont="1" applyFill="1" applyBorder="1" applyAlignment="1" applyProtection="1">
      <alignment horizontal="left"/>
      <protection hidden="1"/>
    </xf>
    <xf numFmtId="38" fontId="17" fillId="2" borderId="12" xfId="0" applyNumberFormat="1" applyFont="1" applyFill="1" applyBorder="1" applyAlignment="1" applyProtection="1">
      <alignment horizontal="center"/>
      <protection hidden="1"/>
    </xf>
    <xf numFmtId="38" fontId="4" fillId="2" borderId="55" xfId="0" applyNumberFormat="1" applyFont="1" applyFill="1" applyBorder="1" applyAlignment="1" applyProtection="1">
      <alignment horizontal="center"/>
      <protection hidden="1"/>
    </xf>
    <xf numFmtId="38" fontId="4" fillId="2" borderId="55" xfId="0" applyNumberFormat="1" applyFont="1" applyFill="1" applyBorder="1" applyAlignment="1" applyProtection="1">
      <alignment horizontal="center"/>
      <protection locked="0"/>
    </xf>
    <xf numFmtId="38" fontId="3" fillId="2" borderId="0" xfId="0" applyNumberFormat="1" applyFont="1" applyFill="1" applyProtection="1">
      <protection hidden="1"/>
    </xf>
    <xf numFmtId="38" fontId="8" fillId="2" borderId="1" xfId="0" applyNumberFormat="1" applyFont="1" applyFill="1" applyBorder="1" applyProtection="1">
      <protection hidden="1"/>
    </xf>
    <xf numFmtId="0" fontId="4" fillId="2" borderId="0" xfId="0" applyNumberFormat="1" applyFont="1" applyFill="1" applyProtection="1">
      <protection hidden="1"/>
    </xf>
    <xf numFmtId="38" fontId="0" fillId="7" borderId="55" xfId="0" applyNumberFormat="1" applyFill="1" applyBorder="1" applyProtection="1">
      <protection hidden="1"/>
    </xf>
    <xf numFmtId="38" fontId="0" fillId="7" borderId="40" xfId="0" applyNumberFormat="1" applyFill="1" applyBorder="1" applyProtection="1">
      <protection hidden="1"/>
    </xf>
    <xf numFmtId="38" fontId="0" fillId="7" borderId="26" xfId="0" applyNumberFormat="1" applyFill="1" applyBorder="1" applyProtection="1">
      <protection hidden="1"/>
    </xf>
    <xf numFmtId="38" fontId="4" fillId="2" borderId="13" xfId="0" applyNumberFormat="1" applyFont="1" applyFill="1" applyBorder="1" applyAlignment="1" applyProtection="1">
      <alignment horizontal="right"/>
      <protection hidden="1"/>
    </xf>
    <xf numFmtId="38" fontId="0" fillId="2" borderId="16" xfId="0" applyNumberFormat="1" applyFill="1" applyBorder="1" applyAlignment="1" applyProtection="1">
      <alignment horizontal="right"/>
      <protection hidden="1"/>
    </xf>
    <xf numFmtId="38" fontId="57" fillId="16" borderId="28" xfId="0" applyNumberFormat="1" applyFont="1" applyFill="1" applyBorder="1" applyAlignment="1" applyProtection="1">
      <alignment horizontal="left"/>
      <protection hidden="1"/>
    </xf>
    <xf numFmtId="38" fontId="59" fillId="16" borderId="28" xfId="0" applyNumberFormat="1" applyFont="1" applyFill="1" applyBorder="1" applyAlignment="1" applyProtection="1">
      <alignment horizontal="left"/>
      <protection hidden="1"/>
    </xf>
    <xf numFmtId="38" fontId="16" fillId="2" borderId="28" xfId="0" applyNumberFormat="1" applyFont="1" applyFill="1" applyBorder="1" applyProtection="1">
      <protection hidden="1"/>
    </xf>
    <xf numFmtId="38" fontId="0" fillId="2" borderId="28" xfId="0" applyNumberFormat="1" applyFill="1" applyBorder="1" applyProtection="1">
      <protection hidden="1"/>
    </xf>
    <xf numFmtId="0" fontId="4" fillId="2" borderId="1" xfId="0" applyNumberFormat="1" applyFont="1" applyFill="1" applyBorder="1" applyAlignment="1" applyProtection="1">
      <alignment vertical="center"/>
      <protection hidden="1"/>
    </xf>
    <xf numFmtId="38" fontId="0" fillId="2" borderId="1" xfId="0" applyNumberFormat="1" applyFill="1" applyBorder="1" applyAlignment="1" applyProtection="1">
      <alignment vertical="center"/>
      <protection hidden="1"/>
    </xf>
    <xf numFmtId="38" fontId="11" fillId="2" borderId="1" xfId="0" applyNumberFormat="1" applyFont="1" applyFill="1" applyBorder="1" applyAlignment="1" applyProtection="1">
      <alignment vertical="center"/>
      <protection hidden="1"/>
    </xf>
    <xf numFmtId="38" fontId="0" fillId="0" borderId="1" xfId="0" applyNumberFormat="1" applyBorder="1" applyAlignment="1" applyProtection="1">
      <alignment vertical="center"/>
      <protection hidden="1"/>
    </xf>
    <xf numFmtId="38" fontId="11" fillId="2" borderId="9" xfId="0" applyNumberFormat="1" applyFont="1" applyFill="1" applyBorder="1" applyProtection="1">
      <protection hidden="1"/>
    </xf>
    <xf numFmtId="38" fontId="4" fillId="2" borderId="13" xfId="0" applyNumberFormat="1" applyFont="1" applyFill="1" applyBorder="1" applyAlignment="1" applyProtection="1">
      <alignment horizontal="center"/>
      <protection hidden="1"/>
    </xf>
    <xf numFmtId="38" fontId="4" fillId="2" borderId="0" xfId="0" applyNumberFormat="1" applyFont="1" applyFill="1" applyProtection="1">
      <protection hidden="1"/>
    </xf>
    <xf numFmtId="38" fontId="4" fillId="2" borderId="7" xfId="0" applyNumberFormat="1" applyFont="1" applyFill="1" applyBorder="1" applyAlignment="1" applyProtection="1">
      <alignment horizontal="center"/>
      <protection hidden="1"/>
    </xf>
    <xf numFmtId="0" fontId="4" fillId="2" borderId="0" xfId="0" applyNumberFormat="1" applyFont="1" applyFill="1" applyBorder="1" applyAlignment="1" applyProtection="1">
      <alignment vertical="center"/>
      <protection hidden="1"/>
    </xf>
    <xf numFmtId="38" fontId="11" fillId="2" borderId="0" xfId="0" applyNumberFormat="1" applyFont="1" applyFill="1" applyBorder="1" applyAlignment="1" applyProtection="1">
      <alignment vertical="center"/>
      <protection hidden="1"/>
    </xf>
    <xf numFmtId="38" fontId="0" fillId="2" borderId="25" xfId="0" applyNumberFormat="1" applyFill="1" applyBorder="1" applyAlignment="1" applyProtection="1">
      <alignment vertical="center"/>
      <protection hidden="1"/>
    </xf>
    <xf numFmtId="38" fontId="4" fillId="2" borderId="1" xfId="0" applyNumberFormat="1" applyFont="1" applyFill="1" applyBorder="1" applyAlignment="1" applyProtection="1">
      <alignment vertical="center"/>
      <protection hidden="1"/>
    </xf>
    <xf numFmtId="38" fontId="0" fillId="2" borderId="12" xfId="0" applyNumberFormat="1" applyFill="1" applyBorder="1" applyAlignment="1" applyProtection="1">
      <alignment vertical="center"/>
      <protection hidden="1"/>
    </xf>
    <xf numFmtId="38" fontId="0" fillId="5" borderId="13" xfId="0" applyNumberFormat="1" applyFill="1" applyBorder="1" applyProtection="1">
      <protection hidden="1"/>
    </xf>
    <xf numFmtId="0" fontId="0" fillId="10" borderId="0" xfId="0" applyFill="1" applyAlignment="1" applyProtection="1">
      <alignment horizontal="center"/>
      <protection hidden="1"/>
    </xf>
    <xf numFmtId="38" fontId="17" fillId="2" borderId="0" xfId="0" applyNumberFormat="1" applyFont="1" applyFill="1" applyProtection="1">
      <protection hidden="1"/>
    </xf>
    <xf numFmtId="38" fontId="0" fillId="5" borderId="0" xfId="0" applyNumberFormat="1" applyFill="1" applyProtection="1">
      <protection hidden="1"/>
    </xf>
    <xf numFmtId="38" fontId="0" fillId="2" borderId="7" xfId="0" applyNumberFormat="1" applyFill="1" applyBorder="1" applyProtection="1">
      <protection hidden="1"/>
    </xf>
    <xf numFmtId="38" fontId="4" fillId="2" borderId="16" xfId="0" applyNumberFormat="1" applyFont="1" applyFill="1" applyBorder="1" applyAlignment="1" applyProtection="1">
      <alignment horizontal="center"/>
      <protection hidden="1"/>
    </xf>
    <xf numFmtId="38" fontId="0" fillId="5" borderId="5" xfId="0" applyNumberFormat="1" applyFill="1" applyBorder="1" applyProtection="1">
      <protection hidden="1"/>
    </xf>
    <xf numFmtId="38" fontId="6" fillId="2" borderId="0" xfId="0" applyNumberFormat="1" applyFont="1" applyFill="1" applyAlignment="1" applyProtection="1">
      <alignment horizontal="right"/>
      <protection hidden="1"/>
    </xf>
    <xf numFmtId="38" fontId="3" fillId="5" borderId="0" xfId="0" applyNumberFormat="1" applyFont="1" applyFill="1" applyProtection="1">
      <protection hidden="1"/>
    </xf>
    <xf numFmtId="0" fontId="0" fillId="2" borderId="0" xfId="0" applyFill="1" applyBorder="1" applyAlignment="1" applyProtection="1">
      <protection locked="0"/>
    </xf>
    <xf numFmtId="166" fontId="4" fillId="3" borderId="0" xfId="0" applyNumberFormat="1" applyFont="1" applyFill="1" applyBorder="1" applyAlignment="1" applyProtection="1">
      <alignment horizontal="center"/>
      <protection locked="0"/>
    </xf>
    <xf numFmtId="0" fontId="4" fillId="3" borderId="0" xfId="0" quotePrefix="1" applyFont="1" applyFill="1" applyBorder="1" applyAlignment="1" applyProtection="1">
      <alignment horizontal="center"/>
      <protection locked="0"/>
    </xf>
    <xf numFmtId="0" fontId="4" fillId="3" borderId="5" xfId="0" quotePrefix="1" applyFont="1" applyFill="1" applyBorder="1" applyAlignment="1" applyProtection="1">
      <alignment horizontal="center"/>
      <protection locked="0"/>
    </xf>
    <xf numFmtId="0" fontId="0" fillId="2" borderId="5" xfId="0" applyFill="1" applyBorder="1" applyAlignment="1" applyProtection="1">
      <protection locked="0"/>
    </xf>
    <xf numFmtId="166" fontId="5" fillId="2" borderId="0" xfId="0" applyNumberFormat="1" applyFont="1" applyFill="1" applyBorder="1" applyAlignment="1" applyProtection="1">
      <alignment horizontal="left"/>
      <protection locked="0"/>
    </xf>
    <xf numFmtId="166" fontId="5" fillId="2" borderId="5" xfId="0" applyNumberFormat="1" applyFont="1" applyFill="1" applyBorder="1" applyAlignment="1" applyProtection="1">
      <alignment horizontal="left"/>
      <protection locked="0"/>
    </xf>
    <xf numFmtId="166" fontId="146" fillId="3" borderId="5" xfId="0" applyNumberFormat="1" applyFont="1" applyFill="1" applyBorder="1" applyAlignment="1" applyProtection="1">
      <alignment horizontal="right"/>
      <protection locked="0"/>
    </xf>
    <xf numFmtId="0" fontId="4" fillId="3" borderId="55" xfId="0" quotePrefix="1" applyFont="1" applyFill="1" applyBorder="1" applyAlignment="1" applyProtection="1">
      <alignment horizontal="center"/>
      <protection locked="0"/>
    </xf>
    <xf numFmtId="0" fontId="60" fillId="3" borderId="0" xfId="0" applyFont="1" applyFill="1" applyBorder="1" applyAlignment="1" applyProtection="1">
      <alignment horizontal="left"/>
      <protection hidden="1"/>
    </xf>
    <xf numFmtId="0" fontId="0" fillId="2" borderId="1" xfId="0" applyFill="1" applyBorder="1" applyAlignment="1" applyProtection="1">
      <alignment horizontal="left"/>
      <protection hidden="1"/>
    </xf>
    <xf numFmtId="0" fontId="60" fillId="3" borderId="1" xfId="0" applyFont="1" applyFill="1" applyBorder="1" applyAlignment="1" applyProtection="1">
      <alignment horizontal="left"/>
      <protection hidden="1"/>
    </xf>
    <xf numFmtId="38" fontId="5" fillId="3" borderId="0" xfId="0" applyNumberFormat="1" applyFont="1" applyFill="1" applyBorder="1" applyProtection="1">
      <protection hidden="1"/>
    </xf>
    <xf numFmtId="0" fontId="0" fillId="0" borderId="0" xfId="0" applyAlignment="1">
      <alignment horizontal="center" vertical="center"/>
    </xf>
    <xf numFmtId="0" fontId="6" fillId="3" borderId="31" xfId="0" applyFont="1" applyFill="1" applyBorder="1" applyAlignment="1" applyProtection="1">
      <alignment horizontal="center"/>
      <protection hidden="1"/>
    </xf>
    <xf numFmtId="0" fontId="5" fillId="19" borderId="0" xfId="0" applyFont="1" applyFill="1" applyBorder="1" applyProtection="1">
      <protection hidden="1"/>
    </xf>
    <xf numFmtId="0" fontId="0" fillId="19" borderId="0" xfId="0" applyFill="1" applyBorder="1" applyProtection="1">
      <protection hidden="1"/>
    </xf>
    <xf numFmtId="0" fontId="11" fillId="19" borderId="0" xfId="0" applyFont="1" applyFill="1" applyBorder="1" applyAlignment="1" applyProtection="1">
      <alignment horizontal="center"/>
      <protection hidden="1"/>
    </xf>
    <xf numFmtId="0" fontId="11" fillId="20" borderId="0" xfId="0" applyFont="1" applyFill="1" applyBorder="1" applyAlignment="1" applyProtection="1">
      <alignment horizontal="center"/>
      <protection hidden="1"/>
    </xf>
    <xf numFmtId="0" fontId="11" fillId="20" borderId="25" xfId="0" applyFont="1" applyFill="1" applyBorder="1" applyAlignment="1" applyProtection="1">
      <alignment horizontal="center"/>
      <protection hidden="1"/>
    </xf>
    <xf numFmtId="0" fontId="5" fillId="3" borderId="14" xfId="0" applyFont="1" applyFill="1" applyBorder="1" applyProtection="1">
      <protection hidden="1"/>
    </xf>
    <xf numFmtId="3" fontId="8" fillId="0" borderId="13" xfId="0" applyNumberFormat="1" applyFont="1" applyBorder="1"/>
    <xf numFmtId="0" fontId="8" fillId="0" borderId="13" xfId="0" applyFont="1" applyBorder="1" applyAlignment="1">
      <alignment horizontal="center"/>
    </xf>
    <xf numFmtId="0" fontId="8" fillId="0" borderId="0" xfId="0" applyFont="1" applyAlignment="1">
      <alignment horizontal="right"/>
    </xf>
    <xf numFmtId="0" fontId="8" fillId="0" borderId="0" xfId="0" applyFont="1" applyAlignment="1" applyProtection="1">
      <alignment horizontal="right"/>
      <protection hidden="1"/>
    </xf>
    <xf numFmtId="0" fontId="0" fillId="20" borderId="0" xfId="0" applyFill="1"/>
    <xf numFmtId="4" fontId="4" fillId="2" borderId="90" xfId="0" applyNumberFormat="1" applyFont="1" applyFill="1" applyBorder="1" applyAlignment="1" applyProtection="1">
      <alignment horizontal="center"/>
      <protection hidden="1"/>
    </xf>
    <xf numFmtId="0" fontId="67" fillId="2" borderId="62" xfId="0" applyFont="1" applyFill="1" applyBorder="1" applyAlignment="1" applyProtection="1">
      <alignment horizontal="right"/>
      <protection hidden="1"/>
    </xf>
    <xf numFmtId="0" fontId="67" fillId="2" borderId="63" xfId="0" applyFont="1" applyFill="1" applyBorder="1" applyAlignment="1" applyProtection="1">
      <alignment horizontal="right"/>
      <protection hidden="1"/>
    </xf>
    <xf numFmtId="4" fontId="4" fillId="2" borderId="89" xfId="0" applyNumberFormat="1" applyFont="1" applyFill="1" applyBorder="1" applyAlignment="1" applyProtection="1">
      <alignment horizontal="center"/>
      <protection hidden="1"/>
    </xf>
    <xf numFmtId="0" fontId="0" fillId="2" borderId="63" xfId="0" applyFill="1" applyBorder="1" applyProtection="1">
      <protection hidden="1"/>
    </xf>
    <xf numFmtId="2" fontId="4" fillId="2" borderId="62" xfId="0" applyNumberFormat="1" applyFont="1" applyFill="1" applyBorder="1" applyAlignment="1" applyProtection="1">
      <alignment horizontal="center"/>
      <protection hidden="1"/>
    </xf>
    <xf numFmtId="2" fontId="4" fillId="2" borderId="2" xfId="0" applyNumberFormat="1" applyFont="1" applyFill="1" applyBorder="1" applyAlignment="1" applyProtection="1">
      <alignment horizontal="center"/>
      <protection hidden="1"/>
    </xf>
    <xf numFmtId="4" fontId="67" fillId="2" borderId="6" xfId="0" applyNumberFormat="1" applyFont="1" applyFill="1" applyBorder="1" applyAlignment="1" applyProtection="1">
      <alignment vertical="top"/>
      <protection hidden="1"/>
    </xf>
    <xf numFmtId="0" fontId="22" fillId="2" borderId="0" xfId="0" applyFont="1" applyFill="1" applyBorder="1" applyAlignment="1" applyProtection="1">
      <alignment horizontal="left" vertical="center"/>
      <protection hidden="1"/>
    </xf>
    <xf numFmtId="0" fontId="0" fillId="20" borderId="17" xfId="0" applyFill="1" applyBorder="1"/>
    <xf numFmtId="0" fontId="158" fillId="2" borderId="6" xfId="0" applyFont="1" applyFill="1" applyBorder="1" applyAlignment="1" applyProtection="1">
      <alignment horizontal="right"/>
      <protection hidden="1"/>
    </xf>
    <xf numFmtId="0" fontId="159" fillId="2" borderId="42" xfId="0" applyFont="1" applyFill="1" applyBorder="1" applyProtection="1">
      <protection hidden="1"/>
    </xf>
    <xf numFmtId="0" fontId="158" fillId="2" borderId="6" xfId="0" applyFont="1" applyFill="1" applyBorder="1" applyAlignment="1" applyProtection="1">
      <alignment horizontal="right" vertical="top"/>
      <protection hidden="1"/>
    </xf>
    <xf numFmtId="0" fontId="159" fillId="2" borderId="42" xfId="0" applyFont="1" applyFill="1" applyBorder="1" applyAlignment="1" applyProtection="1">
      <alignment wrapText="1"/>
      <protection hidden="1"/>
    </xf>
    <xf numFmtId="4" fontId="159" fillId="2" borderId="50" xfId="0" applyNumberFormat="1" applyFont="1" applyFill="1" applyBorder="1" applyAlignment="1" applyProtection="1">
      <alignment horizontal="center"/>
      <protection hidden="1"/>
    </xf>
    <xf numFmtId="171" fontId="159" fillId="2" borderId="50" xfId="0" applyNumberFormat="1" applyFont="1" applyFill="1" applyBorder="1" applyProtection="1">
      <protection hidden="1"/>
    </xf>
    <xf numFmtId="0" fontId="158" fillId="2" borderId="22" xfId="0" applyFont="1" applyFill="1" applyBorder="1" applyAlignment="1" applyProtection="1">
      <alignment horizontal="right"/>
      <protection hidden="1"/>
    </xf>
    <xf numFmtId="0" fontId="159" fillId="2" borderId="43" xfId="0" applyFont="1" applyFill="1" applyBorder="1" applyProtection="1">
      <protection hidden="1"/>
    </xf>
    <xf numFmtId="0" fontId="4" fillId="2" borderId="41" xfId="0" applyFont="1" applyFill="1" applyBorder="1" applyProtection="1">
      <protection hidden="1"/>
    </xf>
    <xf numFmtId="0" fontId="4" fillId="2" borderId="42" xfId="0" applyFont="1" applyFill="1" applyBorder="1" applyProtection="1">
      <protection hidden="1"/>
    </xf>
    <xf numFmtId="4" fontId="160" fillId="2" borderId="6" xfId="0" applyNumberFormat="1" applyFont="1" applyFill="1" applyBorder="1" applyProtection="1">
      <protection hidden="1"/>
    </xf>
    <xf numFmtId="3" fontId="8" fillId="0" borderId="13" xfId="0" quotePrefix="1" applyNumberFormat="1" applyFont="1" applyBorder="1" applyAlignment="1">
      <alignment horizontal="center"/>
    </xf>
    <xf numFmtId="38" fontId="6" fillId="3" borderId="13" xfId="0" applyNumberFormat="1" applyFont="1" applyFill="1" applyBorder="1" applyAlignment="1" applyProtection="1">
      <alignment horizontal="center"/>
      <protection locked="0"/>
    </xf>
    <xf numFmtId="38" fontId="6" fillId="3" borderId="13" xfId="0" applyNumberFormat="1" applyFont="1" applyFill="1" applyBorder="1" applyProtection="1">
      <protection hidden="1"/>
    </xf>
    <xf numFmtId="0" fontId="3" fillId="2" borderId="17" xfId="0" applyFont="1" applyFill="1" applyBorder="1" applyAlignment="1" applyProtection="1">
      <alignment horizontal="left"/>
      <protection hidden="1"/>
    </xf>
    <xf numFmtId="0" fontId="11" fillId="2" borderId="17" xfId="0" applyFont="1" applyFill="1" applyBorder="1" applyAlignment="1" applyProtection="1">
      <alignment horizontal="right"/>
      <protection hidden="1"/>
    </xf>
    <xf numFmtId="0" fontId="162" fillId="5" borderId="0" xfId="0" applyFont="1" applyFill="1" applyAlignment="1" applyProtection="1">
      <alignment horizontal="center" vertical="center"/>
      <protection locked="0"/>
    </xf>
    <xf numFmtId="39" fontId="163" fillId="3" borderId="6" xfId="0" applyNumberFormat="1" applyFont="1" applyFill="1" applyBorder="1" applyAlignment="1" applyProtection="1">
      <alignment horizontal="center" vertical="center"/>
      <protection hidden="1"/>
    </xf>
    <xf numFmtId="39" fontId="163" fillId="3" borderId="6" xfId="0" applyNumberFormat="1" applyFont="1" applyFill="1" applyBorder="1" applyAlignment="1" applyProtection="1">
      <alignment horizontal="right"/>
      <protection hidden="1"/>
    </xf>
    <xf numFmtId="39" fontId="163" fillId="3" borderId="6" xfId="0" applyNumberFormat="1" applyFont="1" applyFill="1" applyBorder="1" applyAlignment="1" applyProtection="1">
      <alignment vertical="center"/>
      <protection hidden="1"/>
    </xf>
    <xf numFmtId="4" fontId="4" fillId="3" borderId="0" xfId="0" applyNumberFormat="1" applyFont="1" applyFill="1" applyBorder="1" applyAlignment="1" applyProtection="1">
      <alignment horizontal="center" vertical="center"/>
      <protection locked="0"/>
    </xf>
    <xf numFmtId="0" fontId="3" fillId="0" borderId="5" xfId="0" applyFont="1" applyBorder="1" applyAlignment="1" applyProtection="1">
      <alignment vertical="top"/>
      <protection hidden="1"/>
    </xf>
    <xf numFmtId="4" fontId="4" fillId="3" borderId="5" xfId="0" applyNumberFormat="1" applyFont="1" applyFill="1" applyBorder="1" applyAlignment="1" applyProtection="1">
      <alignment horizontal="right"/>
      <protection hidden="1"/>
    </xf>
    <xf numFmtId="4" fontId="0" fillId="3" borderId="72" xfId="0" applyNumberFormat="1" applyFill="1" applyBorder="1" applyProtection="1">
      <protection hidden="1"/>
    </xf>
    <xf numFmtId="4" fontId="4" fillId="3" borderId="5" xfId="0" applyNumberFormat="1" applyFont="1" applyFill="1" applyBorder="1" applyAlignment="1" applyProtection="1">
      <alignment horizontal="center" vertical="center"/>
      <protection locked="0"/>
    </xf>
    <xf numFmtId="4" fontId="0" fillId="20" borderId="3" xfId="0" applyNumberFormat="1" applyFill="1" applyBorder="1" applyProtection="1">
      <protection hidden="1"/>
    </xf>
    <xf numFmtId="4" fontId="0" fillId="20" borderId="0" xfId="0" applyNumberFormat="1" applyFill="1" applyBorder="1" applyProtection="1">
      <protection hidden="1"/>
    </xf>
    <xf numFmtId="4" fontId="0" fillId="20" borderId="25" xfId="0" applyNumberFormat="1" applyFill="1" applyBorder="1" applyProtection="1">
      <protection hidden="1"/>
    </xf>
    <xf numFmtId="4" fontId="0" fillId="3" borderId="73" xfId="0" applyNumberFormat="1" applyFill="1" applyBorder="1" applyProtection="1">
      <protection hidden="1"/>
    </xf>
    <xf numFmtId="0" fontId="163" fillId="3" borderId="26" xfId="0" applyFont="1" applyFill="1" applyBorder="1" applyProtection="1">
      <protection hidden="1"/>
    </xf>
    <xf numFmtId="0" fontId="163" fillId="3" borderId="32" xfId="0" applyFont="1" applyFill="1" applyBorder="1" applyProtection="1">
      <protection hidden="1"/>
    </xf>
    <xf numFmtId="0" fontId="161" fillId="2" borderId="0" xfId="0" applyFont="1" applyFill="1" applyProtection="1">
      <protection hidden="1"/>
    </xf>
    <xf numFmtId="0" fontId="163" fillId="0" borderId="0" xfId="0" applyFont="1" applyAlignment="1" applyProtection="1">
      <alignment horizontal="center"/>
      <protection hidden="1"/>
    </xf>
    <xf numFmtId="0" fontId="163" fillId="0" borderId="0" xfId="0" applyFont="1" applyBorder="1" applyAlignment="1" applyProtection="1">
      <alignment horizontal="center"/>
      <protection hidden="1"/>
    </xf>
    <xf numFmtId="0" fontId="4" fillId="5" borderId="0" xfId="0" applyFont="1" applyFill="1" applyAlignment="1" applyProtection="1">
      <alignment horizontal="center"/>
      <protection hidden="1"/>
    </xf>
    <xf numFmtId="3" fontId="0" fillId="2" borderId="13" xfId="0" applyNumberFormat="1" applyFill="1" applyBorder="1" applyAlignment="1" applyProtection="1">
      <alignment horizontal="right" vertical="center"/>
      <protection locked="0"/>
    </xf>
    <xf numFmtId="0" fontId="0" fillId="20" borderId="0" xfId="0" applyFill="1" applyProtection="1">
      <protection hidden="1"/>
    </xf>
    <xf numFmtId="0" fontId="4" fillId="21" borderId="13" xfId="0" applyFont="1" applyFill="1" applyBorder="1" applyAlignment="1" applyProtection="1">
      <alignment horizontal="center" vertical="center"/>
      <protection locked="0"/>
    </xf>
    <xf numFmtId="0" fontId="1" fillId="21" borderId="13" xfId="0" applyFont="1" applyFill="1" applyBorder="1" applyAlignment="1" applyProtection="1">
      <alignment horizontal="center" vertical="center"/>
      <protection locked="0"/>
    </xf>
    <xf numFmtId="0" fontId="11" fillId="21" borderId="2" xfId="0" applyFont="1" applyFill="1" applyBorder="1" applyAlignment="1" applyProtection="1">
      <alignment horizontal="center" vertical="center"/>
      <protection locked="0"/>
    </xf>
    <xf numFmtId="0" fontId="1" fillId="21" borderId="2" xfId="0" applyFont="1" applyFill="1" applyBorder="1" applyAlignment="1" applyProtection="1">
      <alignment horizontal="center" vertical="center"/>
      <protection locked="0"/>
    </xf>
    <xf numFmtId="0" fontId="6" fillId="21" borderId="1" xfId="0" applyFont="1" applyFill="1" applyBorder="1" applyAlignment="1" applyProtection="1">
      <alignment horizontal="center"/>
      <protection locked="0"/>
    </xf>
    <xf numFmtId="0" fontId="6" fillId="21" borderId="2" xfId="0" applyFont="1" applyFill="1" applyBorder="1" applyAlignment="1" applyProtection="1">
      <alignment horizontal="center"/>
      <protection locked="0"/>
    </xf>
    <xf numFmtId="0" fontId="6" fillId="21" borderId="13" xfId="0" applyFont="1" applyFill="1" applyBorder="1" applyAlignment="1" applyProtection="1">
      <alignment horizontal="center" vertical="center"/>
      <protection locked="0"/>
    </xf>
    <xf numFmtId="4" fontId="7" fillId="21" borderId="13" xfId="0" applyNumberFormat="1" applyFont="1" applyFill="1" applyBorder="1" applyAlignment="1" applyProtection="1">
      <alignment horizontal="center"/>
      <protection locked="0"/>
    </xf>
    <xf numFmtId="167" fontId="6" fillId="21" borderId="13" xfId="0" applyNumberFormat="1" applyFont="1" applyFill="1" applyBorder="1" applyAlignment="1" applyProtection="1">
      <alignment horizontal="center"/>
      <protection locked="0"/>
    </xf>
    <xf numFmtId="4" fontId="6" fillId="21" borderId="39" xfId="0" applyNumberFormat="1" applyFont="1" applyFill="1" applyBorder="1" applyAlignment="1" applyProtection="1">
      <alignment horizontal="center" vertical="center"/>
      <protection locked="0"/>
    </xf>
    <xf numFmtId="0" fontId="6" fillId="21" borderId="2" xfId="0" applyFont="1" applyFill="1" applyBorder="1" applyAlignment="1" applyProtection="1">
      <alignment horizontal="center" vertical="center"/>
      <protection locked="0"/>
    </xf>
    <xf numFmtId="0" fontId="0" fillId="20" borderId="40" xfId="0" applyFill="1" applyBorder="1" applyAlignment="1" applyProtection="1">
      <alignment horizontal="center"/>
      <protection hidden="1"/>
    </xf>
    <xf numFmtId="0" fontId="8" fillId="20" borderId="71" xfId="0" applyFont="1" applyFill="1" applyBorder="1" applyProtection="1">
      <protection hidden="1"/>
    </xf>
    <xf numFmtId="0" fontId="15" fillId="20" borderId="70" xfId="0" applyFont="1" applyFill="1" applyBorder="1" applyAlignment="1" applyProtection="1">
      <alignment horizontal="center" vertical="center"/>
      <protection hidden="1"/>
    </xf>
    <xf numFmtId="0" fontId="11" fillId="20" borderId="70" xfId="0" applyFont="1" applyFill="1" applyBorder="1" applyAlignment="1" applyProtection="1">
      <alignment horizontal="center" vertical="center"/>
      <protection hidden="1"/>
    </xf>
    <xf numFmtId="0" fontId="163" fillId="20" borderId="26" xfId="0" applyFont="1" applyFill="1" applyBorder="1" applyAlignment="1" applyProtection="1">
      <alignment horizontal="center"/>
      <protection hidden="1"/>
    </xf>
    <xf numFmtId="0" fontId="4" fillId="21" borderId="2" xfId="0" applyFont="1" applyFill="1" applyBorder="1" applyAlignment="1" applyProtection="1">
      <alignment horizontal="center" vertical="center"/>
      <protection locked="0"/>
    </xf>
    <xf numFmtId="0" fontId="1" fillId="22" borderId="25" xfId="0" applyFont="1" applyFill="1" applyBorder="1" applyAlignment="1" applyProtection="1">
      <alignment horizontal="right"/>
      <protection hidden="1"/>
    </xf>
    <xf numFmtId="0" fontId="81" fillId="22" borderId="25" xfId="0" applyFont="1" applyFill="1" applyBorder="1" applyAlignment="1" applyProtection="1">
      <alignment horizontal="right"/>
      <protection hidden="1"/>
    </xf>
    <xf numFmtId="0" fontId="1" fillId="22" borderId="7" xfId="0" applyFont="1" applyFill="1" applyBorder="1" applyAlignment="1" applyProtection="1">
      <alignment horizontal="right"/>
      <protection hidden="1"/>
    </xf>
    <xf numFmtId="1" fontId="1" fillId="22" borderId="16" xfId="0" applyNumberFormat="1" applyFont="1" applyFill="1" applyBorder="1" applyProtection="1">
      <protection hidden="1"/>
    </xf>
    <xf numFmtId="1" fontId="1" fillId="22" borderId="7" xfId="0" applyNumberFormat="1" applyFont="1" applyFill="1" applyBorder="1" applyProtection="1">
      <protection hidden="1"/>
    </xf>
    <xf numFmtId="0" fontId="4" fillId="22" borderId="7" xfId="0" applyFont="1" applyFill="1" applyBorder="1" applyAlignment="1" applyProtection="1">
      <alignment horizontal="right"/>
      <protection hidden="1"/>
    </xf>
    <xf numFmtId="39" fontId="5" fillId="22" borderId="32" xfId="0" applyNumberFormat="1" applyFont="1" applyFill="1" applyBorder="1" applyProtection="1">
      <protection hidden="1"/>
    </xf>
    <xf numFmtId="0" fontId="8" fillId="22" borderId="5" xfId="0" applyFont="1" applyFill="1" applyBorder="1" applyProtection="1">
      <protection hidden="1"/>
    </xf>
    <xf numFmtId="0" fontId="1" fillId="22" borderId="55" xfId="0" applyFont="1" applyFill="1" applyBorder="1" applyAlignment="1" applyProtection="1">
      <alignment horizontal="center"/>
      <protection hidden="1"/>
    </xf>
    <xf numFmtId="0" fontId="1" fillId="20" borderId="26" xfId="0" applyFont="1" applyFill="1" applyBorder="1" applyAlignment="1" applyProtection="1">
      <alignment horizontal="right"/>
      <protection hidden="1"/>
    </xf>
    <xf numFmtId="0" fontId="37" fillId="20" borderId="0" xfId="0" applyFont="1" applyFill="1" applyBorder="1" applyProtection="1">
      <protection hidden="1"/>
    </xf>
    <xf numFmtId="0" fontId="8" fillId="20" borderId="0" xfId="0" applyFont="1" applyFill="1" applyBorder="1" applyProtection="1">
      <protection hidden="1"/>
    </xf>
    <xf numFmtId="14" fontId="8" fillId="20" borderId="31" xfId="0" applyNumberFormat="1" applyFont="1" applyFill="1" applyBorder="1" applyProtection="1">
      <protection hidden="1"/>
    </xf>
    <xf numFmtId="14" fontId="8" fillId="20" borderId="9" xfId="0" applyNumberFormat="1" applyFont="1" applyFill="1" applyBorder="1" applyProtection="1">
      <protection hidden="1"/>
    </xf>
    <xf numFmtId="14" fontId="8" fillId="20" borderId="15" xfId="0" applyNumberFormat="1" applyFont="1" applyFill="1" applyBorder="1" applyProtection="1">
      <protection hidden="1"/>
    </xf>
    <xf numFmtId="1" fontId="8" fillId="20" borderId="31" xfId="0" applyNumberFormat="1" applyFont="1" applyFill="1" applyBorder="1" applyProtection="1">
      <protection hidden="1"/>
    </xf>
    <xf numFmtId="1" fontId="1" fillId="20" borderId="9" xfId="0" applyNumberFormat="1" applyFont="1" applyFill="1" applyBorder="1" applyProtection="1">
      <protection hidden="1"/>
    </xf>
    <xf numFmtId="0" fontId="1" fillId="23" borderId="0" xfId="0" applyFont="1" applyFill="1" applyBorder="1" applyAlignment="1" applyProtection="1">
      <alignment horizontal="right"/>
      <protection hidden="1"/>
    </xf>
    <xf numFmtId="0" fontId="0" fillId="23" borderId="0" xfId="0" applyFill="1" applyBorder="1" applyProtection="1">
      <protection hidden="1"/>
    </xf>
    <xf numFmtId="0" fontId="5" fillId="23" borderId="0" xfId="0" applyFont="1" applyFill="1" applyBorder="1" applyProtection="1">
      <protection hidden="1"/>
    </xf>
    <xf numFmtId="0" fontId="8" fillId="23" borderId="0" xfId="0" applyFont="1" applyFill="1" applyBorder="1" applyProtection="1">
      <protection hidden="1"/>
    </xf>
    <xf numFmtId="3" fontId="6" fillId="23" borderId="8" xfId="0" applyNumberFormat="1" applyFont="1" applyFill="1" applyBorder="1" applyAlignment="1" applyProtection="1">
      <alignment horizontal="right"/>
      <protection hidden="1"/>
    </xf>
    <xf numFmtId="0" fontId="1" fillId="23" borderId="0" xfId="0" applyFont="1" applyFill="1" applyBorder="1" applyProtection="1">
      <protection hidden="1"/>
    </xf>
    <xf numFmtId="0" fontId="6" fillId="23" borderId="0" xfId="0" applyFont="1" applyFill="1" applyBorder="1" applyProtection="1">
      <protection hidden="1"/>
    </xf>
    <xf numFmtId="0" fontId="15" fillId="23" borderId="0" xfId="0" applyFont="1" applyFill="1" applyBorder="1" applyProtection="1">
      <protection hidden="1"/>
    </xf>
    <xf numFmtId="0" fontId="15" fillId="23" borderId="0" xfId="0" applyFont="1" applyFill="1" applyBorder="1" applyAlignment="1" applyProtection="1">
      <alignment horizontal="right"/>
      <protection hidden="1"/>
    </xf>
    <xf numFmtId="0" fontId="11" fillId="23" borderId="0" xfId="0" applyFont="1" applyFill="1" applyBorder="1" applyAlignment="1" applyProtection="1">
      <alignment horizontal="right"/>
      <protection hidden="1"/>
    </xf>
    <xf numFmtId="0" fontId="1" fillId="23" borderId="0" xfId="0" applyFont="1" applyFill="1" applyAlignment="1" applyProtection="1">
      <alignment horizontal="right"/>
      <protection hidden="1"/>
    </xf>
    <xf numFmtId="0" fontId="0" fillId="23" borderId="0" xfId="0" applyFill="1" applyProtection="1">
      <protection hidden="1"/>
    </xf>
    <xf numFmtId="0" fontId="5" fillId="23" borderId="0" xfId="0" applyFont="1" applyFill="1" applyProtection="1">
      <protection hidden="1"/>
    </xf>
    <xf numFmtId="0" fontId="1" fillId="23" borderId="0" xfId="0" applyFont="1" applyFill="1" applyBorder="1" applyAlignment="1" applyProtection="1">
      <alignment vertical="center"/>
      <protection hidden="1"/>
    </xf>
    <xf numFmtId="0" fontId="9" fillId="23" borderId="0" xfId="0" applyFont="1" applyFill="1" applyBorder="1" applyProtection="1">
      <protection hidden="1"/>
    </xf>
    <xf numFmtId="0" fontId="4" fillId="23" borderId="0" xfId="0" applyFont="1" applyFill="1" applyBorder="1" applyAlignment="1" applyProtection="1">
      <alignment horizontal="center"/>
      <protection hidden="1"/>
    </xf>
    <xf numFmtId="0" fontId="1" fillId="23" borderId="1" xfId="0" applyFont="1" applyFill="1" applyBorder="1" applyAlignment="1" applyProtection="1">
      <alignment horizontal="right"/>
      <protection hidden="1"/>
    </xf>
    <xf numFmtId="0" fontId="0" fillId="23" borderId="1" xfId="0" applyFill="1" applyBorder="1" applyProtection="1">
      <protection hidden="1"/>
    </xf>
    <xf numFmtId="0" fontId="5" fillId="23" borderId="1" xfId="0" applyFont="1" applyFill="1" applyBorder="1" applyProtection="1">
      <protection hidden="1"/>
    </xf>
    <xf numFmtId="0" fontId="8" fillId="23" borderId="1" xfId="0" applyFont="1" applyFill="1" applyBorder="1" applyProtection="1">
      <protection hidden="1"/>
    </xf>
    <xf numFmtId="0" fontId="8" fillId="23" borderId="0" xfId="0" applyFont="1" applyFill="1" applyBorder="1" applyAlignment="1" applyProtection="1">
      <alignment horizontal="left"/>
      <protection hidden="1"/>
    </xf>
    <xf numFmtId="0" fontId="8" fillId="23" borderId="0" xfId="0" applyFont="1" applyFill="1" applyBorder="1" applyAlignment="1" applyProtection="1">
      <alignment wrapText="1"/>
      <protection hidden="1"/>
    </xf>
    <xf numFmtId="0" fontId="8" fillId="23" borderId="0" xfId="0" applyFont="1" applyFill="1" applyBorder="1" applyAlignment="1" applyProtection="1">
      <alignment horizontal="center" wrapText="1"/>
      <protection hidden="1"/>
    </xf>
    <xf numFmtId="0" fontId="165" fillId="23" borderId="0" xfId="0" applyFont="1" applyFill="1" applyBorder="1" applyAlignment="1" applyProtection="1">
      <alignment horizontal="center" wrapText="1"/>
      <protection hidden="1"/>
    </xf>
    <xf numFmtId="0" fontId="31" fillId="23" borderId="0" xfId="0" applyFont="1" applyFill="1" applyBorder="1" applyAlignment="1" applyProtection="1">
      <alignment horizontal="center" wrapText="1"/>
      <protection hidden="1"/>
    </xf>
    <xf numFmtId="0" fontId="4" fillId="23" borderId="25" xfId="0" applyFont="1" applyFill="1" applyBorder="1" applyAlignment="1" applyProtection="1">
      <alignment horizontal="centerContinuous" wrapText="1"/>
      <protection hidden="1"/>
    </xf>
    <xf numFmtId="0" fontId="10" fillId="23" borderId="0" xfId="0" applyFont="1" applyFill="1" applyBorder="1" applyAlignment="1" applyProtection="1">
      <alignment horizontal="left"/>
      <protection hidden="1"/>
    </xf>
    <xf numFmtId="0" fontId="8" fillId="23" borderId="36" xfId="0" applyFont="1" applyFill="1" applyBorder="1" applyAlignment="1" applyProtection="1">
      <alignment horizontal="left"/>
      <protection hidden="1"/>
    </xf>
    <xf numFmtId="0" fontId="8" fillId="23" borderId="14" xfId="0" applyFont="1" applyFill="1" applyBorder="1" applyAlignment="1" applyProtection="1">
      <alignment horizontal="left"/>
      <protection hidden="1"/>
    </xf>
    <xf numFmtId="0" fontId="0" fillId="23" borderId="14" xfId="0" applyFill="1" applyBorder="1" applyAlignment="1">
      <alignment horizontal="left"/>
    </xf>
    <xf numFmtId="0" fontId="0" fillId="23" borderId="18" xfId="0" applyFill="1" applyBorder="1" applyAlignment="1">
      <alignment horizontal="left"/>
    </xf>
    <xf numFmtId="0" fontId="62" fillId="23" borderId="0" xfId="0" applyFont="1" applyFill="1" applyBorder="1" applyAlignment="1" applyProtection="1">
      <alignment horizontal="center" vertical="center"/>
      <protection hidden="1"/>
    </xf>
    <xf numFmtId="0" fontId="8" fillId="23" borderId="0" xfId="0" applyFont="1" applyFill="1" applyBorder="1" applyAlignment="1" applyProtection="1">
      <alignment horizontal="left" vertical="top"/>
      <protection hidden="1"/>
    </xf>
    <xf numFmtId="0" fontId="4" fillId="23" borderId="0" xfId="0" applyFont="1" applyFill="1" applyBorder="1" applyAlignment="1" applyProtection="1">
      <alignment horizontal="center" vertical="center"/>
      <protection hidden="1"/>
    </xf>
    <xf numFmtId="0" fontId="1" fillId="23" borderId="1" xfId="0" applyFont="1" applyFill="1" applyBorder="1" applyAlignment="1" applyProtection="1">
      <alignment horizontal="center"/>
      <protection hidden="1"/>
    </xf>
    <xf numFmtId="0" fontId="11" fillId="23" borderId="0" xfId="0" applyFont="1" applyFill="1" applyBorder="1" applyAlignment="1" applyProtection="1">
      <alignment horizontal="left" vertical="center"/>
      <protection hidden="1"/>
    </xf>
    <xf numFmtId="0" fontId="15" fillId="23" borderId="1" xfId="0" applyFont="1" applyFill="1" applyBorder="1" applyAlignment="1" applyProtection="1">
      <alignment horizontal="left"/>
      <protection hidden="1"/>
    </xf>
    <xf numFmtId="0" fontId="4" fillId="23" borderId="0" xfId="0" applyFont="1" applyFill="1" applyBorder="1" applyAlignment="1" applyProtection="1">
      <alignment horizontal="left" vertical="center"/>
      <protection hidden="1"/>
    </xf>
    <xf numFmtId="0" fontId="92" fillId="23" borderId="1" xfId="0" applyFont="1" applyFill="1" applyBorder="1" applyAlignment="1" applyProtection="1">
      <alignment horizontal="left"/>
      <protection hidden="1"/>
    </xf>
    <xf numFmtId="0" fontId="8" fillId="23" borderId="1" xfId="0" applyFont="1" applyFill="1" applyBorder="1" applyAlignment="1" applyProtection="1">
      <alignment horizontal="left"/>
      <protection hidden="1"/>
    </xf>
    <xf numFmtId="0" fontId="0" fillId="23" borderId="0" xfId="0" applyFill="1" applyBorder="1" applyAlignment="1" applyProtection="1">
      <alignment horizontal="left"/>
      <protection hidden="1"/>
    </xf>
    <xf numFmtId="0" fontId="1" fillId="23" borderId="0" xfId="0" applyFont="1" applyFill="1" applyBorder="1" applyAlignment="1" applyProtection="1">
      <alignment horizontal="center"/>
      <protection hidden="1"/>
    </xf>
    <xf numFmtId="0" fontId="15" fillId="23" borderId="0" xfId="0" applyFont="1" applyFill="1" applyBorder="1" applyAlignment="1" applyProtection="1">
      <alignment horizontal="left"/>
      <protection hidden="1"/>
    </xf>
    <xf numFmtId="0" fontId="92" fillId="23" borderId="0" xfId="0" applyFont="1" applyFill="1" applyBorder="1" applyAlignment="1" applyProtection="1">
      <alignment horizontal="left"/>
      <protection hidden="1"/>
    </xf>
    <xf numFmtId="0" fontId="1" fillId="23" borderId="0" xfId="0" applyFont="1" applyFill="1" applyAlignment="1" applyProtection="1">
      <alignment horizontal="center" vertical="center"/>
      <protection hidden="1"/>
    </xf>
    <xf numFmtId="0" fontId="1" fillId="23" borderId="1" xfId="0" applyFont="1" applyFill="1" applyBorder="1" applyProtection="1">
      <protection hidden="1"/>
    </xf>
    <xf numFmtId="0" fontId="4" fillId="23" borderId="26" xfId="0" applyFont="1" applyFill="1" applyBorder="1" applyProtection="1">
      <protection hidden="1"/>
    </xf>
    <xf numFmtId="0" fontId="8" fillId="23" borderId="0" xfId="0" applyFont="1" applyFill="1" applyProtection="1">
      <protection hidden="1"/>
    </xf>
    <xf numFmtId="0" fontId="19" fillId="23" borderId="0" xfId="0" applyFont="1" applyFill="1" applyBorder="1" applyProtection="1">
      <protection hidden="1"/>
    </xf>
    <xf numFmtId="0" fontId="83" fillId="23" borderId="0" xfId="0" applyFont="1" applyFill="1" applyBorder="1" applyAlignment="1" applyProtection="1">
      <alignment horizontal="center" vertical="center"/>
      <protection hidden="1"/>
    </xf>
    <xf numFmtId="0" fontId="83" fillId="23" borderId="0" xfId="0" applyFont="1" applyFill="1" applyBorder="1" applyProtection="1">
      <protection hidden="1"/>
    </xf>
    <xf numFmtId="0" fontId="8" fillId="23" borderId="1" xfId="0" applyFont="1" applyFill="1" applyBorder="1" applyAlignment="1" applyProtection="1">
      <alignment horizontal="right"/>
      <protection hidden="1"/>
    </xf>
    <xf numFmtId="49" fontId="15" fillId="23" borderId="1" xfId="0" applyNumberFormat="1" applyFont="1" applyFill="1" applyBorder="1" applyAlignment="1" applyProtection="1">
      <alignment horizontal="center" vertical="center"/>
      <protection hidden="1"/>
    </xf>
    <xf numFmtId="0" fontId="12" fillId="23" borderId="1" xfId="0" applyFont="1" applyFill="1" applyBorder="1" applyAlignment="1" applyProtection="1">
      <alignment horizontal="left"/>
      <protection hidden="1"/>
    </xf>
    <xf numFmtId="4" fontId="8" fillId="23" borderId="1" xfId="0" applyNumberFormat="1" applyFont="1" applyFill="1" applyBorder="1" applyProtection="1">
      <protection hidden="1"/>
    </xf>
    <xf numFmtId="1" fontId="1" fillId="23" borderId="1" xfId="0" applyNumberFormat="1" applyFont="1" applyFill="1" applyBorder="1" applyProtection="1">
      <protection hidden="1"/>
    </xf>
    <xf numFmtId="0" fontId="4" fillId="23" borderId="0" xfId="0" applyFont="1" applyFill="1" applyBorder="1" applyProtection="1">
      <protection hidden="1"/>
    </xf>
    <xf numFmtId="0" fontId="4" fillId="23" borderId="0" xfId="0" applyFont="1" applyFill="1" applyProtection="1">
      <protection hidden="1"/>
    </xf>
    <xf numFmtId="0" fontId="23" fillId="23" borderId="0" xfId="0" applyFont="1" applyFill="1" applyProtection="1">
      <protection hidden="1"/>
    </xf>
    <xf numFmtId="0" fontId="41" fillId="23" borderId="0" xfId="0" applyFont="1" applyFill="1" applyAlignment="1" applyProtection="1">
      <alignment vertical="center"/>
      <protection hidden="1"/>
    </xf>
    <xf numFmtId="0" fontId="4" fillId="23" borderId="0" xfId="0" applyFont="1" applyFill="1" applyAlignment="1" applyProtection="1">
      <alignment horizontal="right"/>
      <protection hidden="1"/>
    </xf>
    <xf numFmtId="4" fontId="5" fillId="23" borderId="0" xfId="0" applyNumberFormat="1" applyFont="1" applyFill="1" applyBorder="1" applyProtection="1">
      <protection hidden="1"/>
    </xf>
    <xf numFmtId="1" fontId="1" fillId="23" borderId="0" xfId="0" applyNumberFormat="1" applyFont="1" applyFill="1" applyBorder="1" applyProtection="1">
      <protection hidden="1"/>
    </xf>
    <xf numFmtId="0" fontId="23" fillId="23" borderId="0" xfId="0" applyFont="1" applyFill="1" applyBorder="1" applyProtection="1">
      <protection hidden="1"/>
    </xf>
    <xf numFmtId="1" fontId="93" fillId="23" borderId="0" xfId="0" applyNumberFormat="1" applyFont="1" applyFill="1" applyBorder="1" applyProtection="1">
      <protection hidden="1"/>
    </xf>
    <xf numFmtId="3" fontId="23" fillId="23" borderId="0" xfId="0" applyNumberFormat="1" applyFont="1" applyFill="1" applyBorder="1" applyProtection="1">
      <protection hidden="1"/>
    </xf>
    <xf numFmtId="0" fontId="8" fillId="23" borderId="0" xfId="0" applyFont="1" applyFill="1" applyBorder="1" applyAlignment="1" applyProtection="1">
      <alignment horizontal="right"/>
      <protection hidden="1"/>
    </xf>
    <xf numFmtId="49" fontId="15" fillId="23" borderId="0" xfId="0" applyNumberFormat="1" applyFont="1" applyFill="1" applyBorder="1" applyAlignment="1" applyProtection="1">
      <alignment horizontal="center" vertical="center"/>
      <protection hidden="1"/>
    </xf>
    <xf numFmtId="0" fontId="12" fillId="23" borderId="9" xfId="0" applyFont="1" applyFill="1" applyBorder="1" applyAlignment="1" applyProtection="1">
      <alignment horizontal="left"/>
      <protection hidden="1"/>
    </xf>
    <xf numFmtId="0" fontId="11" fillId="23" borderId="0" xfId="0" applyFont="1" applyFill="1" applyProtection="1">
      <protection hidden="1"/>
    </xf>
    <xf numFmtId="0" fontId="4" fillId="23" borderId="0" xfId="0" applyFont="1" applyFill="1" applyBorder="1" applyAlignment="1" applyProtection="1">
      <alignment horizontal="right"/>
      <protection hidden="1"/>
    </xf>
    <xf numFmtId="0" fontId="38" fillId="23" borderId="0" xfId="0" applyFont="1" applyFill="1" applyAlignment="1" applyProtection="1">
      <alignment horizontal="right"/>
      <protection hidden="1"/>
    </xf>
    <xf numFmtId="0" fontId="15" fillId="23" borderId="0" xfId="0" applyFont="1" applyFill="1" applyAlignment="1" applyProtection="1">
      <alignment horizontal="left"/>
      <protection hidden="1"/>
    </xf>
    <xf numFmtId="0" fontId="15" fillId="23" borderId="1" xfId="0" applyFont="1" applyFill="1" applyBorder="1" applyProtection="1">
      <protection hidden="1"/>
    </xf>
    <xf numFmtId="0" fontId="4" fillId="23" borderId="1" xfId="0" applyFont="1" applyFill="1" applyBorder="1" applyAlignment="1" applyProtection="1">
      <alignment horizontal="right"/>
      <protection hidden="1"/>
    </xf>
    <xf numFmtId="0" fontId="8" fillId="23" borderId="31" xfId="0" applyFont="1" applyFill="1" applyBorder="1" applyAlignment="1" applyProtection="1">
      <alignment horizontal="center"/>
      <protection hidden="1"/>
    </xf>
    <xf numFmtId="0" fontId="8" fillId="23" borderId="9" xfId="0" applyFont="1" applyFill="1" applyBorder="1" applyAlignment="1" applyProtection="1">
      <alignment horizontal="center"/>
      <protection hidden="1"/>
    </xf>
    <xf numFmtId="0" fontId="11" fillId="23" borderId="15" xfId="0" applyFont="1" applyFill="1" applyBorder="1" applyAlignment="1" applyProtection="1">
      <alignment vertical="center"/>
      <protection hidden="1"/>
    </xf>
    <xf numFmtId="0" fontId="8" fillId="23" borderId="3" xfId="0" applyFont="1" applyFill="1" applyBorder="1" applyAlignment="1" applyProtection="1">
      <alignment horizontal="center"/>
      <protection hidden="1"/>
    </xf>
    <xf numFmtId="0" fontId="8" fillId="23" borderId="0" xfId="0" applyFont="1" applyFill="1" applyBorder="1" applyAlignment="1" applyProtection="1">
      <alignment horizontal="center"/>
      <protection hidden="1"/>
    </xf>
    <xf numFmtId="0" fontId="17" fillId="23" borderId="25" xfId="0" applyFont="1" applyFill="1" applyBorder="1" applyProtection="1">
      <protection hidden="1"/>
    </xf>
    <xf numFmtId="0" fontId="11" fillId="23" borderId="0" xfId="0" applyFont="1" applyFill="1" applyBorder="1" applyProtection="1">
      <protection hidden="1"/>
    </xf>
    <xf numFmtId="0" fontId="17" fillId="23" borderId="0" xfId="0" applyFont="1" applyFill="1" applyBorder="1" applyProtection="1">
      <protection hidden="1"/>
    </xf>
    <xf numFmtId="0" fontId="17" fillId="23" borderId="0" xfId="0" applyFont="1" applyFill="1" applyBorder="1" applyAlignment="1" applyProtection="1">
      <alignment horizontal="center"/>
      <protection hidden="1"/>
    </xf>
    <xf numFmtId="4" fontId="20" fillId="23" borderId="0" xfId="0" applyNumberFormat="1" applyFont="1" applyFill="1" applyBorder="1" applyAlignment="1" applyProtection="1">
      <alignment vertical="center"/>
      <protection hidden="1"/>
    </xf>
    <xf numFmtId="0" fontId="20" fillId="23" borderId="76" xfId="0" applyFont="1" applyFill="1" applyBorder="1" applyAlignment="1" applyProtection="1">
      <alignment vertical="center" wrapText="1"/>
      <protection hidden="1"/>
    </xf>
    <xf numFmtId="1" fontId="1" fillId="23" borderId="9" xfId="0" applyNumberFormat="1" applyFont="1" applyFill="1" applyBorder="1" applyProtection="1">
      <protection hidden="1"/>
    </xf>
    <xf numFmtId="1" fontId="7" fillId="23" borderId="9" xfId="0" applyNumberFormat="1" applyFont="1" applyFill="1" applyBorder="1" applyAlignment="1" applyProtection="1">
      <alignment horizontal="center"/>
      <protection hidden="1"/>
    </xf>
    <xf numFmtId="1" fontId="5" fillId="23" borderId="0" xfId="0" applyNumberFormat="1" applyFont="1" applyFill="1" applyBorder="1" applyAlignment="1" applyProtection="1">
      <alignment horizontal="center"/>
      <protection hidden="1"/>
    </xf>
    <xf numFmtId="0" fontId="6" fillId="23" borderId="9" xfId="0" applyFont="1" applyFill="1" applyBorder="1" applyAlignment="1" applyProtection="1">
      <alignment horizontal="center"/>
      <protection locked="0"/>
    </xf>
    <xf numFmtId="0" fontId="0" fillId="23" borderId="0" xfId="0" applyFill="1" applyBorder="1" applyAlignment="1" applyProtection="1">
      <protection hidden="1"/>
    </xf>
    <xf numFmtId="49" fontId="11" fillId="23" borderId="0" xfId="0" applyNumberFormat="1" applyFont="1" applyFill="1" applyBorder="1" applyAlignment="1" applyProtection="1">
      <protection locked="0"/>
    </xf>
    <xf numFmtId="166" fontId="11" fillId="23" borderId="0" xfId="0" applyNumberFormat="1" applyFont="1" applyFill="1" applyBorder="1" applyAlignment="1" applyProtection="1">
      <alignment horizontal="center"/>
      <protection locked="0"/>
    </xf>
    <xf numFmtId="166" fontId="11" fillId="23" borderId="0" xfId="0" applyNumberFormat="1" applyFont="1" applyFill="1" applyBorder="1" applyAlignment="1" applyProtection="1">
      <alignment horizontal="center"/>
      <protection hidden="1"/>
    </xf>
    <xf numFmtId="166" fontId="166" fillId="23" borderId="0" xfId="0" applyNumberFormat="1" applyFont="1" applyFill="1" applyBorder="1" applyAlignment="1" applyProtection="1">
      <alignment horizontal="center"/>
      <protection hidden="1"/>
    </xf>
    <xf numFmtId="0" fontId="1" fillId="23" borderId="5" xfId="0" applyFont="1" applyFill="1" applyBorder="1" applyAlignment="1" applyProtection="1">
      <alignment horizontal="right"/>
      <protection hidden="1"/>
    </xf>
    <xf numFmtId="0" fontId="5" fillId="23" borderId="5" xfId="0" applyFont="1" applyFill="1" applyBorder="1" applyProtection="1">
      <protection hidden="1"/>
    </xf>
    <xf numFmtId="0" fontId="15" fillId="23" borderId="5" xfId="0" applyFont="1" applyFill="1" applyBorder="1" applyProtection="1">
      <protection hidden="1"/>
    </xf>
    <xf numFmtId="0" fontId="7" fillId="23" borderId="5" xfId="0" applyFont="1" applyFill="1" applyBorder="1" applyAlignment="1" applyProtection="1">
      <alignment horizontal="center"/>
      <protection hidden="1"/>
    </xf>
    <xf numFmtId="1" fontId="167" fillId="23" borderId="5" xfId="0" applyNumberFormat="1" applyFont="1" applyFill="1" applyBorder="1" applyAlignment="1" applyProtection="1">
      <alignment horizontal="center"/>
      <protection hidden="1"/>
    </xf>
    <xf numFmtId="1" fontId="1" fillId="23" borderId="13" xfId="0" applyNumberFormat="1" applyFont="1" applyFill="1" applyBorder="1" applyAlignment="1" applyProtection="1">
      <alignment horizontal="center"/>
      <protection hidden="1"/>
    </xf>
    <xf numFmtId="0" fontId="1" fillId="23" borderId="11" xfId="0" applyFont="1" applyFill="1" applyBorder="1" applyAlignment="1" applyProtection="1">
      <alignment horizontal="center"/>
      <protection hidden="1"/>
    </xf>
    <xf numFmtId="0" fontId="0" fillId="23" borderId="10" xfId="0" applyFill="1" applyBorder="1" applyProtection="1">
      <protection hidden="1"/>
    </xf>
    <xf numFmtId="0" fontId="0" fillId="23" borderId="12" xfId="0" applyFill="1" applyBorder="1" applyProtection="1">
      <protection hidden="1"/>
    </xf>
    <xf numFmtId="0" fontId="5" fillId="23" borderId="0" xfId="0" applyFont="1" applyFill="1" applyAlignment="1" applyProtection="1">
      <alignment horizontal="right" vertical="center"/>
      <protection hidden="1"/>
    </xf>
    <xf numFmtId="0" fontId="0" fillId="23" borderId="0" xfId="0" applyFill="1" applyBorder="1" applyAlignment="1" applyProtection="1">
      <alignment horizontal="right"/>
      <protection hidden="1"/>
    </xf>
    <xf numFmtId="0" fontId="1" fillId="23" borderId="11" xfId="0" applyFont="1" applyFill="1" applyBorder="1" applyAlignment="1" applyProtection="1">
      <alignment horizontal="right"/>
      <protection hidden="1"/>
    </xf>
    <xf numFmtId="0" fontId="27" fillId="23" borderId="0" xfId="0" applyFont="1" applyFill="1" applyBorder="1" applyAlignment="1" applyProtection="1">
      <alignment horizontal="right"/>
      <protection hidden="1"/>
    </xf>
    <xf numFmtId="0" fontId="1" fillId="23" borderId="0" xfId="0" applyFont="1" applyFill="1" applyBorder="1" applyAlignment="1" applyProtection="1">
      <alignment horizontal="left"/>
      <protection hidden="1"/>
    </xf>
    <xf numFmtId="0" fontId="4" fillId="23" borderId="0" xfId="0" applyFont="1" applyFill="1" applyBorder="1" applyAlignment="1" applyProtection="1">
      <alignment horizontal="left"/>
      <protection hidden="1"/>
    </xf>
    <xf numFmtId="37" fontId="1" fillId="23" borderId="0" xfId="0" applyNumberFormat="1" applyFont="1" applyFill="1" applyBorder="1" applyAlignment="1" applyProtection="1">
      <alignment horizontal="right"/>
      <protection locked="0"/>
    </xf>
    <xf numFmtId="37" fontId="4" fillId="23" borderId="0" xfId="0" applyNumberFormat="1" applyFont="1" applyFill="1" applyBorder="1" applyAlignment="1" applyProtection="1">
      <alignment horizontal="right"/>
      <protection locked="0"/>
    </xf>
    <xf numFmtId="0" fontId="5" fillId="23" borderId="0" xfId="0" applyFont="1" applyFill="1" applyBorder="1" applyAlignment="1" applyProtection="1">
      <alignment horizontal="left"/>
      <protection hidden="1"/>
    </xf>
    <xf numFmtId="0" fontId="5" fillId="23" borderId="0" xfId="0" applyFont="1" applyFill="1" applyBorder="1" applyAlignment="1" applyProtection="1">
      <alignment horizontal="right"/>
      <protection hidden="1"/>
    </xf>
    <xf numFmtId="0" fontId="0" fillId="23" borderId="0" xfId="0" applyFill="1" applyAlignment="1">
      <alignment horizontal="right"/>
    </xf>
    <xf numFmtId="1" fontId="1" fillId="23" borderId="13" xfId="0" applyNumberFormat="1" applyFont="1" applyFill="1" applyBorder="1" applyAlignment="1" applyProtection="1">
      <alignment horizontal="center" vertical="center"/>
      <protection hidden="1"/>
    </xf>
    <xf numFmtId="0" fontId="6" fillId="23" borderId="0" xfId="0" applyFont="1" applyFill="1" applyBorder="1" applyAlignment="1" applyProtection="1">
      <alignment horizontal="right"/>
      <protection hidden="1"/>
    </xf>
    <xf numFmtId="0" fontId="0" fillId="23" borderId="25" xfId="0" applyFill="1" applyBorder="1" applyProtection="1">
      <protection locked="0"/>
    </xf>
    <xf numFmtId="0" fontId="43" fillId="23" borderId="1" xfId="0" applyFont="1" applyFill="1" applyBorder="1" applyAlignment="1" applyProtection="1">
      <alignment horizontal="right" vertical="center"/>
      <protection hidden="1"/>
    </xf>
    <xf numFmtId="0" fontId="5" fillId="23" borderId="9" xfId="0" applyFont="1" applyFill="1" applyBorder="1" applyAlignment="1" applyProtection="1">
      <alignment vertical="center"/>
      <protection hidden="1"/>
    </xf>
    <xf numFmtId="0" fontId="15" fillId="23" borderId="0" xfId="0" applyFont="1" applyFill="1" applyBorder="1" applyAlignment="1" applyProtection="1">
      <alignment horizontal="right"/>
      <protection locked="0"/>
    </xf>
    <xf numFmtId="0" fontId="1" fillId="23" borderId="13" xfId="0" applyFont="1" applyFill="1" applyBorder="1" applyAlignment="1" applyProtection="1">
      <alignment horizontal="center"/>
      <protection hidden="1"/>
    </xf>
    <xf numFmtId="0" fontId="1" fillId="23" borderId="0" xfId="0" applyFont="1" applyFill="1" applyAlignment="1" applyProtection="1">
      <alignment horizontal="right" vertical="top"/>
      <protection hidden="1"/>
    </xf>
    <xf numFmtId="0" fontId="5" fillId="23" borderId="0" xfId="0" applyFont="1" applyFill="1" applyBorder="1" applyAlignment="1" applyProtection="1">
      <alignment horizontal="left"/>
      <protection locked="0"/>
    </xf>
    <xf numFmtId="0" fontId="1" fillId="23" borderId="1" xfId="0" applyFont="1" applyFill="1" applyBorder="1" applyAlignment="1" applyProtection="1">
      <alignment horizontal="left"/>
      <protection hidden="1"/>
    </xf>
    <xf numFmtId="0" fontId="27" fillId="23" borderId="1" xfId="0" applyFont="1" applyFill="1" applyBorder="1" applyAlignment="1" applyProtection="1">
      <alignment horizontal="right"/>
      <protection hidden="1"/>
    </xf>
    <xf numFmtId="3" fontId="6" fillId="23" borderId="0" xfId="0" applyNumberFormat="1" applyFont="1" applyFill="1" applyBorder="1" applyAlignment="1" applyProtection="1">
      <alignment horizontal="center"/>
      <protection locked="0"/>
    </xf>
    <xf numFmtId="0" fontId="48" fillId="23" borderId="1" xfId="0" applyFont="1" applyFill="1" applyBorder="1" applyAlignment="1" applyProtection="1">
      <alignment horizontal="right"/>
      <protection hidden="1"/>
    </xf>
    <xf numFmtId="0" fontId="15" fillId="23" borderId="9" xfId="0" applyFont="1" applyFill="1" applyBorder="1" applyAlignment="1" applyProtection="1">
      <alignment horizontal="left" vertical="center"/>
      <protection hidden="1"/>
    </xf>
    <xf numFmtId="0" fontId="1" fillId="23" borderId="0" xfId="0" applyFont="1" applyFill="1" applyBorder="1" applyAlignment="1" applyProtection="1">
      <alignment horizontal="right" vertical="center"/>
      <protection hidden="1"/>
    </xf>
    <xf numFmtId="0" fontId="0" fillId="23" borderId="0" xfId="0" applyFill="1" applyBorder="1" applyAlignment="1" applyProtection="1">
      <alignment vertical="center"/>
      <protection hidden="1"/>
    </xf>
    <xf numFmtId="0" fontId="8" fillId="23" borderId="0" xfId="0" applyFont="1" applyFill="1" applyBorder="1" applyAlignment="1" applyProtection="1">
      <alignment vertical="center"/>
      <protection hidden="1"/>
    </xf>
    <xf numFmtId="0" fontId="17" fillId="23" borderId="0" xfId="0" applyFont="1" applyFill="1" applyBorder="1" applyAlignment="1" applyProtection="1">
      <alignment horizontal="left" vertical="center"/>
      <protection hidden="1"/>
    </xf>
    <xf numFmtId="0" fontId="8" fillId="23" borderId="0" xfId="0" applyFont="1" applyFill="1" applyBorder="1" applyAlignment="1" applyProtection="1">
      <alignment horizontal="center" vertical="center"/>
      <protection hidden="1"/>
    </xf>
    <xf numFmtId="0" fontId="4" fillId="23" borderId="0" xfId="0" applyFont="1" applyFill="1" applyBorder="1" applyAlignment="1" applyProtection="1">
      <alignment horizontal="right" vertical="center"/>
      <protection hidden="1"/>
    </xf>
    <xf numFmtId="1" fontId="12" fillId="23" borderId="0" xfId="0" applyNumberFormat="1" applyFont="1" applyFill="1" applyBorder="1" applyAlignment="1" applyProtection="1">
      <alignment horizontal="center" vertical="center"/>
      <protection hidden="1"/>
    </xf>
    <xf numFmtId="1" fontId="12" fillId="23" borderId="0" xfId="0" applyNumberFormat="1" applyFont="1" applyFill="1" applyBorder="1" applyAlignment="1" applyProtection="1">
      <alignment horizontal="right" vertical="center"/>
      <protection hidden="1"/>
    </xf>
    <xf numFmtId="0" fontId="12" fillId="23" borderId="14" xfId="0" applyFont="1" applyFill="1" applyBorder="1" applyProtection="1">
      <protection hidden="1"/>
    </xf>
    <xf numFmtId="0" fontId="1" fillId="23" borderId="14" xfId="0" applyFont="1" applyFill="1" applyBorder="1" applyAlignment="1" applyProtection="1">
      <alignment horizontal="right"/>
      <protection hidden="1"/>
    </xf>
    <xf numFmtId="0" fontId="0" fillId="23" borderId="14" xfId="0" applyFill="1" applyBorder="1" applyProtection="1">
      <protection hidden="1"/>
    </xf>
    <xf numFmtId="0" fontId="8" fillId="23" borderId="14" xfId="0" applyFont="1" applyFill="1" applyBorder="1" applyProtection="1">
      <protection hidden="1"/>
    </xf>
    <xf numFmtId="0" fontId="90" fillId="23" borderId="14" xfId="0" applyFont="1" applyFill="1" applyBorder="1" applyProtection="1">
      <protection hidden="1"/>
    </xf>
    <xf numFmtId="0" fontId="4" fillId="23" borderId="14" xfId="0" applyFont="1" applyFill="1" applyBorder="1" applyAlignment="1" applyProtection="1">
      <alignment horizontal="right"/>
      <protection hidden="1"/>
    </xf>
    <xf numFmtId="4" fontId="5" fillId="23" borderId="14" xfId="0" applyNumberFormat="1" applyFont="1" applyFill="1" applyBorder="1" applyProtection="1">
      <protection hidden="1"/>
    </xf>
    <xf numFmtId="4" fontId="8" fillId="23" borderId="14" xfId="0" applyNumberFormat="1" applyFont="1" applyFill="1" applyBorder="1" applyAlignment="1" applyProtection="1">
      <alignment horizontal="right"/>
      <protection hidden="1"/>
    </xf>
    <xf numFmtId="0" fontId="75" fillId="23" borderId="0" xfId="0" applyFont="1" applyFill="1" applyBorder="1" applyProtection="1">
      <protection hidden="1"/>
    </xf>
    <xf numFmtId="0" fontId="168" fillId="23" borderId="0" xfId="0" applyFont="1" applyFill="1" applyBorder="1" applyAlignment="1" applyProtection="1">
      <alignment horizontal="right"/>
      <protection hidden="1"/>
    </xf>
    <xf numFmtId="0" fontId="169" fillId="23" borderId="0" xfId="0" applyFont="1" applyFill="1" applyBorder="1" applyProtection="1">
      <protection hidden="1"/>
    </xf>
    <xf numFmtId="0" fontId="1" fillId="23" borderId="0" xfId="0" applyFont="1" applyFill="1" applyAlignment="1" applyProtection="1">
      <alignment horizontal="left"/>
      <protection hidden="1"/>
    </xf>
    <xf numFmtId="0" fontId="6" fillId="23" borderId="21" xfId="0" applyFont="1" applyFill="1" applyBorder="1" applyAlignment="1" applyProtection="1">
      <alignment horizontal="center"/>
      <protection hidden="1"/>
    </xf>
    <xf numFmtId="0" fontId="0" fillId="23" borderId="0" xfId="0" applyFill="1" applyAlignment="1"/>
    <xf numFmtId="0" fontId="0" fillId="23" borderId="0" xfId="0" applyFill="1" applyAlignment="1" applyProtection="1">
      <alignment horizontal="left"/>
      <protection hidden="1"/>
    </xf>
    <xf numFmtId="0" fontId="1" fillId="23" borderId="0" xfId="0" applyFont="1" applyFill="1" applyAlignment="1" applyProtection="1">
      <alignment horizontal="left" vertical="center"/>
      <protection hidden="1"/>
    </xf>
    <xf numFmtId="0" fontId="4" fillId="23" borderId="26" xfId="0" applyFont="1" applyFill="1" applyBorder="1" applyAlignment="1"/>
    <xf numFmtId="0" fontId="6" fillId="23" borderId="0" xfId="0" applyFont="1" applyFill="1" applyProtection="1">
      <protection hidden="1"/>
    </xf>
    <xf numFmtId="0" fontId="8" fillId="23" borderId="0" xfId="0" applyFont="1" applyFill="1" applyAlignment="1" applyProtection="1">
      <alignment horizontal="left"/>
      <protection hidden="1"/>
    </xf>
    <xf numFmtId="0" fontId="1" fillId="23" borderId="31" xfId="0" applyFont="1" applyFill="1" applyBorder="1" applyAlignment="1" applyProtection="1">
      <alignment horizontal="right"/>
      <protection hidden="1"/>
    </xf>
    <xf numFmtId="0" fontId="1" fillId="23" borderId="3" xfId="0" applyFont="1" applyFill="1" applyBorder="1" applyAlignment="1" applyProtection="1">
      <alignment horizontal="right"/>
      <protection hidden="1"/>
    </xf>
    <xf numFmtId="3" fontId="6" fillId="23" borderId="0" xfId="0" applyNumberFormat="1" applyFont="1" applyFill="1" applyProtection="1">
      <protection hidden="1"/>
    </xf>
    <xf numFmtId="0" fontId="15" fillId="23" borderId="0" xfId="0" applyFont="1" applyFill="1" applyProtection="1">
      <protection hidden="1"/>
    </xf>
    <xf numFmtId="0" fontId="1" fillId="23" borderId="10" xfId="0" applyFont="1" applyFill="1" applyBorder="1" applyAlignment="1" applyProtection="1">
      <alignment horizontal="right"/>
      <protection hidden="1"/>
    </xf>
    <xf numFmtId="0" fontId="1" fillId="23" borderId="9" xfId="0" applyFont="1" applyFill="1" applyBorder="1" applyAlignment="1" applyProtection="1">
      <alignment horizontal="right"/>
      <protection hidden="1"/>
    </xf>
    <xf numFmtId="0" fontId="0" fillId="23" borderId="9" xfId="0" applyFill="1" applyBorder="1" applyProtection="1">
      <protection hidden="1"/>
    </xf>
    <xf numFmtId="0" fontId="5" fillId="23" borderId="9" xfId="0" applyFont="1" applyFill="1" applyBorder="1" applyProtection="1">
      <protection hidden="1"/>
    </xf>
    <xf numFmtId="4" fontId="5" fillId="23" borderId="0" xfId="0" applyNumberFormat="1" applyFont="1" applyFill="1" applyProtection="1">
      <protection hidden="1"/>
    </xf>
    <xf numFmtId="4" fontId="5" fillId="23" borderId="1" xfId="0" applyNumberFormat="1" applyFont="1" applyFill="1" applyBorder="1" applyProtection="1">
      <protection hidden="1"/>
    </xf>
    <xf numFmtId="0" fontId="11" fillId="23" borderId="0" xfId="0" applyFont="1" applyFill="1" applyBorder="1" applyAlignment="1" applyProtection="1">
      <alignment horizontal="center"/>
      <protection hidden="1"/>
    </xf>
    <xf numFmtId="0" fontId="4" fillId="23" borderId="25" xfId="0" applyFont="1" applyFill="1" applyBorder="1" applyAlignment="1" applyProtection="1">
      <alignment horizontal="center" vertical="center"/>
      <protection hidden="1"/>
    </xf>
    <xf numFmtId="4" fontId="6" fillId="23" borderId="0" xfId="0" applyNumberFormat="1" applyFont="1" applyFill="1" applyAlignment="1" applyProtection="1">
      <alignment horizontal="right"/>
      <protection hidden="1"/>
    </xf>
    <xf numFmtId="4" fontId="6" fillId="23" borderId="0" xfId="0" applyNumberFormat="1" applyFont="1" applyFill="1" applyBorder="1" applyAlignment="1" applyProtection="1">
      <alignment horizontal="center"/>
      <protection locked="0"/>
    </xf>
    <xf numFmtId="0" fontId="9" fillId="23" borderId="6" xfId="0" applyFont="1" applyFill="1" applyBorder="1" applyAlignment="1" applyProtection="1">
      <alignment horizontal="left"/>
      <protection hidden="1"/>
    </xf>
    <xf numFmtId="0" fontId="0" fillId="23" borderId="0" xfId="0" applyFill="1" applyAlignment="1">
      <alignment horizontal="left"/>
    </xf>
    <xf numFmtId="0" fontId="5" fillId="23" borderId="0" xfId="0" applyFont="1" applyFill="1" applyAlignment="1">
      <alignment horizontal="left"/>
    </xf>
    <xf numFmtId="0" fontId="9" fillId="23" borderId="0" xfId="0" applyFont="1" applyFill="1" applyAlignment="1" applyProtection="1">
      <alignment horizontal="right"/>
      <protection hidden="1"/>
    </xf>
    <xf numFmtId="0" fontId="6" fillId="23" borderId="21" xfId="0" applyFont="1" applyFill="1" applyBorder="1" applyAlignment="1" applyProtection="1">
      <alignment horizontal="center"/>
      <protection locked="0"/>
    </xf>
    <xf numFmtId="0" fontId="6" fillId="23" borderId="0" xfId="0" applyFont="1" applyFill="1" applyAlignment="1" applyProtection="1">
      <alignment horizontal="right"/>
      <protection hidden="1"/>
    </xf>
    <xf numFmtId="0" fontId="6" fillId="23" borderId="0" xfId="0" applyFont="1" applyFill="1" applyAlignment="1" applyProtection="1">
      <alignment horizontal="right" vertical="top"/>
      <protection hidden="1"/>
    </xf>
    <xf numFmtId="0" fontId="15" fillId="23" borderId="0" xfId="0" applyFont="1" applyFill="1" applyAlignment="1" applyProtection="1">
      <alignment horizontal="right"/>
      <protection hidden="1"/>
    </xf>
    <xf numFmtId="0" fontId="11" fillId="23" borderId="0" xfId="0" applyFont="1" applyFill="1" applyAlignment="1" applyProtection="1">
      <alignment horizontal="right"/>
      <protection hidden="1"/>
    </xf>
    <xf numFmtId="0" fontId="43" fillId="23" borderId="0" xfId="0" applyFont="1" applyFill="1" applyBorder="1" applyAlignment="1" applyProtection="1">
      <alignment horizontal="right" vertical="center"/>
      <protection hidden="1"/>
    </xf>
    <xf numFmtId="0" fontId="15" fillId="23" borderId="0" xfId="0" applyFont="1" applyFill="1" applyAlignment="1" applyProtection="1">
      <alignment horizontal="right" vertical="center"/>
      <protection hidden="1"/>
    </xf>
    <xf numFmtId="0" fontId="4" fillId="23" borderId="0" xfId="0" applyFont="1" applyFill="1" applyBorder="1" applyAlignment="1" applyProtection="1">
      <alignment horizontal="center"/>
      <protection locked="0"/>
    </xf>
    <xf numFmtId="0" fontId="5" fillId="23" borderId="0" xfId="0" applyFont="1" applyFill="1" applyAlignment="1" applyProtection="1">
      <alignment horizontal="left"/>
      <protection hidden="1"/>
    </xf>
    <xf numFmtId="0" fontId="4" fillId="23" borderId="13" xfId="0" applyFont="1" applyFill="1" applyBorder="1" applyAlignment="1" applyProtection="1">
      <alignment horizontal="center"/>
      <protection hidden="1"/>
    </xf>
    <xf numFmtId="0" fontId="4" fillId="23" borderId="40" xfId="0" applyFont="1" applyFill="1" applyBorder="1" applyAlignment="1" applyProtection="1">
      <alignment horizontal="center"/>
      <protection hidden="1"/>
    </xf>
    <xf numFmtId="0" fontId="0" fillId="23" borderId="55" xfId="0" applyFill="1" applyBorder="1" applyProtection="1">
      <protection hidden="1"/>
    </xf>
    <xf numFmtId="0" fontId="4" fillId="23" borderId="11" xfId="0" applyFont="1" applyFill="1" applyBorder="1" applyAlignment="1" applyProtection="1">
      <alignment horizontal="center"/>
      <protection hidden="1"/>
    </xf>
    <xf numFmtId="0" fontId="4" fillId="23" borderId="10" xfId="0" applyFont="1" applyFill="1" applyBorder="1" applyAlignment="1" applyProtection="1">
      <alignment horizontal="center"/>
      <protection hidden="1"/>
    </xf>
    <xf numFmtId="0" fontId="11" fillId="23" borderId="3" xfId="0" applyFont="1" applyFill="1" applyBorder="1" applyAlignment="1" applyProtection="1">
      <alignment horizontal="left"/>
      <protection hidden="1"/>
    </xf>
    <xf numFmtId="0" fontId="27" fillId="23" borderId="9" xfId="0" applyFont="1" applyFill="1" applyBorder="1" applyAlignment="1" applyProtection="1">
      <alignment horizontal="right"/>
      <protection hidden="1"/>
    </xf>
    <xf numFmtId="0" fontId="43" fillId="23" borderId="9" xfId="0" applyFont="1" applyFill="1" applyBorder="1" applyAlignment="1" applyProtection="1">
      <alignment horizontal="right" vertical="center"/>
      <protection hidden="1"/>
    </xf>
    <xf numFmtId="0" fontId="43" fillId="23" borderId="15" xfId="0" applyFont="1" applyFill="1" applyBorder="1" applyAlignment="1" applyProtection="1">
      <alignment horizontal="right" vertical="center"/>
      <protection hidden="1"/>
    </xf>
    <xf numFmtId="0" fontId="6" fillId="23" borderId="0" xfId="0" applyFont="1" applyFill="1" applyBorder="1" applyAlignment="1" applyProtection="1">
      <alignment horizontal="right" vertical="center"/>
      <protection hidden="1"/>
    </xf>
    <xf numFmtId="1" fontId="1" fillId="23" borderId="11" xfId="0" applyNumberFormat="1" applyFont="1" applyFill="1" applyBorder="1" applyAlignment="1" applyProtection="1">
      <alignment horizontal="center"/>
      <protection hidden="1"/>
    </xf>
    <xf numFmtId="1" fontId="4" fillId="23" borderId="13" xfId="0" applyNumberFormat="1" applyFont="1" applyFill="1" applyBorder="1" applyAlignment="1" applyProtection="1">
      <alignment horizontal="center"/>
      <protection hidden="1"/>
    </xf>
    <xf numFmtId="4" fontId="5" fillId="23" borderId="0" xfId="0" quotePrefix="1" applyNumberFormat="1" applyFont="1" applyFill="1" applyAlignment="1" applyProtection="1">
      <alignment horizontal="right"/>
      <protection hidden="1"/>
    </xf>
    <xf numFmtId="4" fontId="6" fillId="23" borderId="0" xfId="0" applyNumberFormat="1" applyFont="1" applyFill="1" applyBorder="1" applyAlignment="1" applyProtection="1">
      <alignment horizontal="right"/>
      <protection hidden="1"/>
    </xf>
    <xf numFmtId="4" fontId="6" fillId="23" borderId="0" xfId="0" applyNumberFormat="1" applyFont="1" applyFill="1" applyBorder="1" applyAlignment="1" applyProtection="1">
      <alignment horizontal="center" vertical="center"/>
      <protection locked="0"/>
    </xf>
    <xf numFmtId="0" fontId="6" fillId="23" borderId="9" xfId="0" applyFont="1" applyFill="1" applyBorder="1" applyAlignment="1" applyProtection="1">
      <alignment horizontal="left"/>
      <protection hidden="1"/>
    </xf>
    <xf numFmtId="0" fontId="6" fillId="23" borderId="9" xfId="0" applyFont="1" applyFill="1" applyBorder="1" applyAlignment="1" applyProtection="1">
      <alignment horizontal="right"/>
      <protection hidden="1"/>
    </xf>
    <xf numFmtId="4" fontId="5" fillId="23" borderId="0" xfId="0" quotePrefix="1" applyNumberFormat="1" applyFont="1" applyFill="1" applyProtection="1">
      <protection hidden="1"/>
    </xf>
    <xf numFmtId="4" fontId="5" fillId="23" borderId="0" xfId="0" applyNumberFormat="1" applyFont="1" applyFill="1" applyAlignment="1" applyProtection="1">
      <alignment horizontal="right"/>
      <protection hidden="1"/>
    </xf>
    <xf numFmtId="4" fontId="5" fillId="23" borderId="0" xfId="0" applyNumberFormat="1" applyFont="1" applyFill="1" applyBorder="1" applyAlignment="1" applyProtection="1">
      <alignment horizontal="right" vertical="top"/>
      <protection hidden="1"/>
    </xf>
    <xf numFmtId="4" fontId="15" fillId="23" borderId="0" xfId="0" applyNumberFormat="1" applyFont="1" applyFill="1" applyAlignment="1" applyProtection="1">
      <alignment horizontal="right"/>
      <protection hidden="1"/>
    </xf>
    <xf numFmtId="4" fontId="8" fillId="23" borderId="1" xfId="0" applyNumberFormat="1" applyFont="1" applyFill="1" applyBorder="1" applyProtection="1">
      <protection locked="0"/>
    </xf>
    <xf numFmtId="0" fontId="8" fillId="23" borderId="0" xfId="0" applyFont="1" applyFill="1" applyAlignment="1" applyProtection="1">
      <alignment horizontal="right"/>
      <protection locked="0"/>
    </xf>
    <xf numFmtId="0" fontId="1" fillId="23" borderId="0" xfId="0" applyFont="1" applyFill="1" applyProtection="1">
      <protection hidden="1"/>
    </xf>
    <xf numFmtId="0" fontId="4" fillId="23" borderId="1" xfId="0" applyFont="1" applyFill="1" applyBorder="1" applyAlignment="1" applyProtection="1">
      <alignment horizontal="center" vertical="center"/>
      <protection hidden="1"/>
    </xf>
    <xf numFmtId="0" fontId="8" fillId="23" borderId="0" xfId="0" applyFont="1" applyFill="1" applyBorder="1" applyAlignment="1" applyProtection="1">
      <alignment horizontal="left" vertical="center"/>
      <protection hidden="1"/>
    </xf>
    <xf numFmtId="0" fontId="6" fillId="23" borderId="11" xfId="0" applyFont="1" applyFill="1" applyBorder="1" applyAlignment="1" applyProtection="1">
      <alignment horizontal="right"/>
      <protection hidden="1"/>
    </xf>
    <xf numFmtId="0" fontId="4" fillId="23" borderId="1" xfId="0" applyFont="1" applyFill="1" applyBorder="1" applyAlignment="1" applyProtection="1">
      <alignment horizontal="center"/>
      <protection hidden="1"/>
    </xf>
    <xf numFmtId="4" fontId="5" fillId="23" borderId="55" xfId="0" applyNumberFormat="1" applyFont="1" applyFill="1" applyBorder="1" applyProtection="1">
      <protection hidden="1"/>
    </xf>
    <xf numFmtId="0" fontId="0" fillId="23" borderId="15" xfId="0" applyFill="1" applyBorder="1" applyAlignment="1" applyProtection="1">
      <protection hidden="1"/>
    </xf>
    <xf numFmtId="0" fontId="0" fillId="23" borderId="12" xfId="0" applyFill="1" applyBorder="1" applyAlignment="1" applyProtection="1">
      <protection hidden="1"/>
    </xf>
    <xf numFmtId="0" fontId="4" fillId="23" borderId="16" xfId="0" applyFont="1" applyFill="1" applyBorder="1" applyAlignment="1" applyProtection="1">
      <alignment horizontal="center"/>
      <protection hidden="1"/>
    </xf>
    <xf numFmtId="0" fontId="4" fillId="23" borderId="31" xfId="0" applyFont="1" applyFill="1" applyBorder="1" applyAlignment="1" applyProtection="1">
      <alignment horizontal="center"/>
      <protection hidden="1"/>
    </xf>
    <xf numFmtId="4" fontId="5" fillId="23" borderId="9" xfId="0" applyNumberFormat="1" applyFont="1" applyFill="1" applyBorder="1" applyProtection="1">
      <protection hidden="1"/>
    </xf>
    <xf numFmtId="167" fontId="1" fillId="23" borderId="1" xfId="0" applyNumberFormat="1" applyFont="1" applyFill="1" applyBorder="1" applyAlignment="1" applyProtection="1">
      <alignment horizontal="center"/>
      <protection hidden="1"/>
    </xf>
    <xf numFmtId="0" fontId="5" fillId="23" borderId="1" xfId="0" applyFont="1" applyFill="1" applyBorder="1" applyAlignment="1" applyProtection="1">
      <alignment horizontal="left"/>
      <protection hidden="1"/>
    </xf>
    <xf numFmtId="0" fontId="6" fillId="23" borderId="1" xfId="0" applyFont="1" applyFill="1" applyBorder="1" applyAlignment="1" applyProtection="1">
      <alignment horizontal="left"/>
      <protection hidden="1"/>
    </xf>
    <xf numFmtId="0" fontId="6" fillId="23" borderId="1" xfId="0" applyFont="1" applyFill="1" applyBorder="1" applyAlignment="1" applyProtection="1">
      <alignment horizontal="right"/>
      <protection hidden="1"/>
    </xf>
    <xf numFmtId="167" fontId="1" fillId="23" borderId="9" xfId="0" applyNumberFormat="1" applyFont="1" applyFill="1" applyBorder="1" applyAlignment="1" applyProtection="1">
      <alignment horizontal="center"/>
      <protection hidden="1"/>
    </xf>
    <xf numFmtId="0" fontId="4" fillId="23" borderId="9" xfId="0" applyFont="1" applyFill="1" applyBorder="1" applyAlignment="1" applyProtection="1">
      <alignment horizontal="right"/>
      <protection hidden="1"/>
    </xf>
    <xf numFmtId="167" fontId="48" fillId="23" borderId="25" xfId="0" applyNumberFormat="1" applyFont="1" applyFill="1" applyBorder="1" applyAlignment="1" applyProtection="1">
      <alignment horizontal="right"/>
      <protection hidden="1"/>
    </xf>
    <xf numFmtId="167" fontId="5" fillId="23" borderId="0" xfId="0" applyNumberFormat="1" applyFont="1" applyFill="1" applyBorder="1" applyAlignment="1" applyProtection="1">
      <alignment horizontal="left"/>
      <protection hidden="1"/>
    </xf>
    <xf numFmtId="4" fontId="8" fillId="23" borderId="0" xfId="0" applyNumberFormat="1" applyFont="1" applyFill="1" applyProtection="1">
      <protection hidden="1"/>
    </xf>
    <xf numFmtId="0" fontId="5" fillId="23" borderId="0" xfId="0" applyFont="1" applyFill="1" applyAlignment="1" applyProtection="1">
      <alignment horizontal="right"/>
      <protection hidden="1"/>
    </xf>
    <xf numFmtId="0" fontId="0" fillId="23" borderId="5" xfId="0" applyFill="1" applyBorder="1" applyProtection="1">
      <protection hidden="1"/>
    </xf>
    <xf numFmtId="0" fontId="8" fillId="23" borderId="5" xfId="0" applyFont="1" applyFill="1" applyBorder="1" applyProtection="1">
      <protection hidden="1"/>
    </xf>
    <xf numFmtId="0" fontId="15" fillId="23" borderId="5" xfId="0" applyFont="1" applyFill="1" applyBorder="1" applyAlignment="1" applyProtection="1">
      <alignment horizontal="right"/>
      <protection hidden="1"/>
    </xf>
    <xf numFmtId="0" fontId="4" fillId="23" borderId="29" xfId="0" applyFont="1" applyFill="1" applyBorder="1" applyAlignment="1" applyProtection="1">
      <alignment horizontal="center"/>
      <protection hidden="1"/>
    </xf>
    <xf numFmtId="0" fontId="4" fillId="23" borderId="72" xfId="0" applyFont="1" applyFill="1" applyBorder="1" applyAlignment="1" applyProtection="1">
      <alignment horizontal="center"/>
      <protection hidden="1"/>
    </xf>
    <xf numFmtId="0" fontId="0" fillId="23" borderId="73" xfId="0" applyFill="1" applyBorder="1" applyProtection="1">
      <protection hidden="1"/>
    </xf>
    <xf numFmtId="1" fontId="1" fillId="23" borderId="7" xfId="0" applyNumberFormat="1" applyFont="1" applyFill="1" applyBorder="1" applyAlignment="1" applyProtection="1">
      <alignment horizontal="center"/>
      <protection hidden="1"/>
    </xf>
    <xf numFmtId="4" fontId="5" fillId="23" borderId="0" xfId="0" applyNumberFormat="1" applyFont="1" applyFill="1" applyBorder="1" applyAlignment="1" applyProtection="1">
      <alignment vertical="center"/>
      <protection hidden="1"/>
    </xf>
    <xf numFmtId="1" fontId="8" fillId="23" borderId="0" xfId="0" applyNumberFormat="1" applyFont="1" applyFill="1" applyBorder="1" applyProtection="1">
      <protection hidden="1"/>
    </xf>
    <xf numFmtId="4" fontId="6" fillId="23" borderId="8" xfId="0" applyNumberFormat="1" applyFont="1" applyFill="1" applyBorder="1" applyAlignment="1" applyProtection="1">
      <alignment horizontal="center" vertical="center"/>
      <protection hidden="1"/>
    </xf>
    <xf numFmtId="49" fontId="11" fillId="23" borderId="1" xfId="0" applyNumberFormat="1" applyFont="1" applyFill="1" applyBorder="1" applyAlignment="1" applyProtection="1">
      <alignment horizontal="right"/>
      <protection locked="0"/>
    </xf>
    <xf numFmtId="49" fontId="7" fillId="23" borderId="1" xfId="0" applyNumberFormat="1" applyFont="1" applyFill="1" applyBorder="1" applyAlignment="1" applyProtection="1">
      <alignment horizontal="left"/>
      <protection locked="0"/>
    </xf>
    <xf numFmtId="49" fontId="7" fillId="23" borderId="1" xfId="0" applyNumberFormat="1" applyFont="1" applyFill="1" applyBorder="1" applyAlignment="1" applyProtection="1">
      <alignment horizontal="left"/>
      <protection hidden="1"/>
    </xf>
    <xf numFmtId="1" fontId="8" fillId="23" borderId="1" xfId="0" applyNumberFormat="1" applyFont="1" applyFill="1" applyBorder="1" applyAlignment="1" applyProtection="1">
      <alignment horizontal="right" vertical="center"/>
      <protection hidden="1"/>
    </xf>
    <xf numFmtId="0" fontId="43" fillId="23" borderId="12" xfId="0" applyFont="1" applyFill="1" applyBorder="1" applyAlignment="1" applyProtection="1">
      <alignment horizontal="right" vertical="center"/>
      <protection hidden="1"/>
    </xf>
    <xf numFmtId="0" fontId="0" fillId="24" borderId="40" xfId="0" applyFill="1" applyBorder="1" applyProtection="1">
      <protection hidden="1"/>
    </xf>
    <xf numFmtId="0" fontId="0" fillId="24" borderId="55" xfId="0" applyFill="1" applyBorder="1" applyProtection="1">
      <protection hidden="1"/>
    </xf>
    <xf numFmtId="0" fontId="6" fillId="3" borderId="1" xfId="0" applyFont="1" applyFill="1" applyBorder="1" applyAlignment="1" applyProtection="1">
      <alignment horizontal="left" vertical="center"/>
      <protection hidden="1"/>
    </xf>
    <xf numFmtId="0" fontId="6" fillId="3" borderId="1" xfId="0" applyFont="1" applyFill="1" applyBorder="1" applyAlignment="1" applyProtection="1">
      <alignment horizontal="center" vertical="center"/>
      <protection hidden="1"/>
    </xf>
    <xf numFmtId="0" fontId="11" fillId="2" borderId="13" xfId="0" applyFont="1" applyFill="1" applyBorder="1" applyAlignment="1" applyProtection="1">
      <alignment horizontal="center" vertical="center" wrapText="1"/>
      <protection locked="0"/>
    </xf>
    <xf numFmtId="0" fontId="0" fillId="20" borderId="0" xfId="0" applyFill="1" applyBorder="1" applyProtection="1">
      <protection hidden="1"/>
    </xf>
    <xf numFmtId="0" fontId="8" fillId="20" borderId="0" xfId="0" applyFont="1" applyFill="1" applyProtection="1">
      <protection hidden="1"/>
    </xf>
    <xf numFmtId="3" fontId="7" fillId="25" borderId="10" xfId="0" applyNumberFormat="1" applyFont="1" applyFill="1" applyBorder="1" applyProtection="1">
      <protection locked="0"/>
    </xf>
    <xf numFmtId="0" fontId="1" fillId="25" borderId="2" xfId="0" applyFont="1" applyFill="1" applyBorder="1" applyAlignment="1" applyProtection="1">
      <alignment horizontal="center" vertical="center"/>
      <protection locked="0"/>
    </xf>
    <xf numFmtId="4" fontId="6" fillId="3" borderId="25" xfId="0" applyNumberFormat="1" applyFont="1" applyFill="1" applyBorder="1" applyAlignment="1" applyProtection="1">
      <alignment horizontal="right"/>
      <protection hidden="1"/>
    </xf>
    <xf numFmtId="3" fontId="6" fillId="3" borderId="31" xfId="0" applyNumberFormat="1" applyFont="1" applyFill="1" applyBorder="1" applyAlignment="1" applyProtection="1">
      <alignment horizontal="right"/>
      <protection locked="0"/>
    </xf>
    <xf numFmtId="0" fontId="171" fillId="2" borderId="0" xfId="0" applyFont="1" applyFill="1" applyBorder="1" applyAlignment="1" applyProtection="1">
      <alignment horizontal="left"/>
      <protection hidden="1"/>
    </xf>
    <xf numFmtId="0" fontId="171" fillId="2" borderId="0" xfId="0" applyFont="1" applyFill="1" applyBorder="1" applyAlignment="1" applyProtection="1">
      <alignment horizontal="left" vertical="top"/>
      <protection hidden="1"/>
    </xf>
    <xf numFmtId="0" fontId="20" fillId="3" borderId="22" xfId="0" applyFont="1" applyFill="1" applyBorder="1" applyAlignment="1" applyProtection="1">
      <alignment horizontal="left" vertical="center"/>
      <protection hidden="1"/>
    </xf>
    <xf numFmtId="0" fontId="11" fillId="3" borderId="6" xfId="0" applyFont="1" applyFill="1" applyBorder="1" applyAlignment="1" applyProtection="1">
      <alignment horizontal="center"/>
      <protection hidden="1"/>
    </xf>
    <xf numFmtId="0" fontId="5" fillId="3" borderId="9" xfId="0" applyFont="1" applyFill="1" applyBorder="1" applyProtection="1">
      <protection hidden="1"/>
    </xf>
    <xf numFmtId="49" fontId="1" fillId="25" borderId="18" xfId="0" applyNumberFormat="1" applyFont="1" applyFill="1" applyBorder="1" applyAlignment="1" applyProtection="1">
      <alignment horizontal="center"/>
      <protection locked="0"/>
    </xf>
    <xf numFmtId="49" fontId="4" fillId="21" borderId="34" xfId="0" applyNumberFormat="1" applyFont="1" applyFill="1" applyBorder="1" applyAlignment="1" applyProtection="1">
      <alignment horizontal="center"/>
      <protection locked="0"/>
    </xf>
    <xf numFmtId="166" fontId="19" fillId="21" borderId="0" xfId="0" applyNumberFormat="1" applyFont="1" applyFill="1" applyBorder="1" applyAlignment="1" applyProtection="1">
      <alignment horizontal="center" vertical="center"/>
      <protection locked="0"/>
    </xf>
    <xf numFmtId="49" fontId="1" fillId="25" borderId="11" xfId="0" applyNumberFormat="1" applyFont="1" applyFill="1" applyBorder="1" applyAlignment="1" applyProtection="1">
      <alignment horizontal="center" vertical="center"/>
      <protection locked="0"/>
    </xf>
    <xf numFmtId="49" fontId="1" fillId="25" borderId="19" xfId="0" applyNumberFormat="1" applyFont="1" applyFill="1" applyBorder="1" applyAlignment="1" applyProtection="1">
      <alignment horizontal="center" vertical="center"/>
      <protection locked="0"/>
    </xf>
    <xf numFmtId="49" fontId="1" fillId="25" borderId="12" xfId="0" applyNumberFormat="1" applyFont="1" applyFill="1" applyBorder="1" applyAlignment="1" applyProtection="1">
      <alignment horizontal="center" vertical="center"/>
      <protection locked="0"/>
    </xf>
    <xf numFmtId="49" fontId="4" fillId="21" borderId="10" xfId="0" applyNumberFormat="1" applyFont="1" applyFill="1" applyBorder="1" applyAlignment="1" applyProtection="1">
      <alignment horizontal="center" vertical="center"/>
      <protection locked="0"/>
    </xf>
    <xf numFmtId="0" fontId="4" fillId="25" borderId="2" xfId="0" applyFont="1" applyFill="1" applyBorder="1" applyAlignment="1" applyProtection="1">
      <alignment horizontal="center" vertical="center"/>
      <protection locked="0"/>
    </xf>
    <xf numFmtId="0" fontId="6" fillId="3" borderId="73" xfId="0" applyFont="1" applyFill="1" applyBorder="1" applyAlignment="1" applyProtection="1">
      <alignment horizontal="right"/>
      <protection hidden="1"/>
    </xf>
    <xf numFmtId="3" fontId="6" fillId="25" borderId="30" xfId="0" applyNumberFormat="1" applyFont="1" applyFill="1" applyBorder="1" applyAlignment="1" applyProtection="1">
      <alignment horizontal="right"/>
      <protection locked="0"/>
    </xf>
    <xf numFmtId="3" fontId="6" fillId="21" borderId="85" xfId="0" applyNumberFormat="1" applyFont="1" applyFill="1" applyBorder="1" applyAlignment="1" applyProtection="1">
      <alignment horizontal="right"/>
      <protection locked="0"/>
    </xf>
    <xf numFmtId="3" fontId="6" fillId="21" borderId="30" xfId="0" applyNumberFormat="1" applyFont="1" applyFill="1" applyBorder="1" applyAlignment="1" applyProtection="1">
      <alignment horizontal="right"/>
      <protection locked="0"/>
    </xf>
    <xf numFmtId="3" fontId="6" fillId="21" borderId="87" xfId="0" applyNumberFormat="1" applyFont="1" applyFill="1" applyBorder="1" applyAlignment="1" applyProtection="1">
      <alignment horizontal="right"/>
      <protection locked="0"/>
    </xf>
    <xf numFmtId="37" fontId="4" fillId="25" borderId="4" xfId="0" applyNumberFormat="1" applyFont="1" applyFill="1" applyBorder="1" applyAlignment="1" applyProtection="1">
      <alignment horizontal="center"/>
      <protection locked="0"/>
    </xf>
    <xf numFmtId="177" fontId="174" fillId="3" borderId="3"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1" fillId="3" borderId="9" xfId="0" applyNumberFormat="1" applyFont="1" applyFill="1" applyBorder="1" applyAlignment="1" applyProtection="1">
      <alignment horizontal="right" vertical="top" wrapText="1"/>
      <protection hidden="1"/>
    </xf>
    <xf numFmtId="0" fontId="1" fillId="3" borderId="1" xfId="0" applyNumberFormat="1" applyFont="1" applyFill="1" applyBorder="1" applyAlignment="1" applyProtection="1">
      <alignment horizontal="right" vertical="top" wrapText="1"/>
      <protection hidden="1"/>
    </xf>
    <xf numFmtId="37" fontId="6" fillId="25" borderId="11" xfId="0" applyNumberFormat="1" applyFont="1" applyFill="1" applyBorder="1" applyAlignment="1" applyProtection="1">
      <alignment horizontal="right"/>
      <protection locked="0"/>
    </xf>
    <xf numFmtId="37" fontId="6" fillId="21" borderId="11" xfId="0" applyNumberFormat="1" applyFont="1" applyFill="1" applyBorder="1" applyAlignment="1" applyProtection="1">
      <alignment horizontal="right"/>
      <protection locked="0"/>
    </xf>
    <xf numFmtId="37" fontId="6" fillId="25" borderId="12" xfId="0" applyNumberFormat="1" applyFont="1" applyFill="1" applyBorder="1" applyAlignment="1" applyProtection="1">
      <alignment horizontal="right"/>
      <protection locked="0"/>
    </xf>
    <xf numFmtId="0" fontId="0" fillId="26" borderId="0" xfId="0" applyFill="1" applyProtection="1">
      <protection hidden="1"/>
    </xf>
    <xf numFmtId="4" fontId="17" fillId="26" borderId="0" xfId="0" applyNumberFormat="1" applyFont="1" applyFill="1" applyBorder="1" applyProtection="1">
      <protection hidden="1"/>
    </xf>
    <xf numFmtId="0" fontId="5" fillId="26" borderId="0" xfId="0" applyFont="1" applyFill="1" applyBorder="1" applyProtection="1">
      <protection hidden="1"/>
    </xf>
    <xf numFmtId="0" fontId="8" fillId="26" borderId="0" xfId="0" applyFont="1" applyFill="1" applyBorder="1" applyProtection="1">
      <protection hidden="1"/>
    </xf>
    <xf numFmtId="4" fontId="8" fillId="26" borderId="0" xfId="0" applyNumberFormat="1" applyFont="1" applyFill="1" applyBorder="1" applyProtection="1">
      <protection hidden="1"/>
    </xf>
    <xf numFmtId="0" fontId="12" fillId="26" borderId="0" xfId="0" applyFont="1" applyFill="1" applyBorder="1" applyProtection="1">
      <protection hidden="1"/>
    </xf>
    <xf numFmtId="0" fontId="0" fillId="26" borderId="0" xfId="0" applyFill="1" applyBorder="1" applyAlignment="1"/>
    <xf numFmtId="4" fontId="55" fillId="26" borderId="0" xfId="0" applyNumberFormat="1" applyFont="1" applyFill="1" applyBorder="1" applyProtection="1">
      <protection hidden="1"/>
    </xf>
    <xf numFmtId="4" fontId="58" fillId="26" borderId="0" xfId="0" applyNumberFormat="1" applyFont="1" applyFill="1" applyBorder="1" applyAlignment="1" applyProtection="1">
      <alignment horizontal="center"/>
      <protection hidden="1"/>
    </xf>
    <xf numFmtId="4" fontId="100" fillId="26" borderId="0" xfId="0" applyNumberFormat="1" applyFont="1" applyFill="1" applyBorder="1" applyAlignment="1" applyProtection="1">
      <alignment horizontal="center"/>
      <protection hidden="1"/>
    </xf>
    <xf numFmtId="4" fontId="17" fillId="26" borderId="0" xfId="0" applyNumberFormat="1" applyFont="1" applyFill="1" applyBorder="1" applyAlignment="1" applyProtection="1">
      <alignment horizontal="center"/>
      <protection hidden="1"/>
    </xf>
    <xf numFmtId="39" fontId="5" fillId="26" borderId="0" xfId="0" applyNumberFormat="1" applyFont="1" applyFill="1" applyBorder="1" applyAlignment="1" applyProtection="1">
      <alignment horizontal="right"/>
      <protection locked="0"/>
    </xf>
    <xf numFmtId="39" fontId="5" fillId="26" borderId="0" xfId="0" applyNumberFormat="1" applyFont="1" applyFill="1" applyBorder="1" applyAlignment="1" applyProtection="1">
      <protection locked="0"/>
    </xf>
    <xf numFmtId="39" fontId="8" fillId="26" borderId="0" xfId="0" applyNumberFormat="1" applyFont="1" applyFill="1" applyBorder="1" applyAlignment="1" applyProtection="1">
      <alignment horizontal="center"/>
      <protection hidden="1"/>
    </xf>
    <xf numFmtId="39" fontId="5" fillId="26" borderId="0" xfId="0" applyNumberFormat="1" applyFont="1" applyFill="1" applyBorder="1" applyAlignment="1" applyProtection="1">
      <protection hidden="1"/>
    </xf>
    <xf numFmtId="4" fontId="0" fillId="26" borderId="0" xfId="0" applyNumberFormat="1" applyFill="1" applyBorder="1" applyAlignment="1" applyProtection="1">
      <protection hidden="1"/>
    </xf>
    <xf numFmtId="4" fontId="11" fillId="26" borderId="0" xfId="0" applyNumberFormat="1" applyFont="1" applyFill="1" applyBorder="1" applyAlignment="1" applyProtection="1">
      <protection hidden="1"/>
    </xf>
    <xf numFmtId="39" fontId="8" fillId="26" borderId="0" xfId="0" applyNumberFormat="1" applyFont="1" applyFill="1" applyBorder="1" applyAlignment="1" applyProtection="1">
      <protection hidden="1"/>
    </xf>
    <xf numFmtId="4" fontId="4" fillId="26" borderId="0" xfId="0" applyNumberFormat="1" applyFont="1" applyFill="1" applyBorder="1" applyAlignment="1" applyProtection="1">
      <protection hidden="1"/>
    </xf>
    <xf numFmtId="4" fontId="19" fillId="26" borderId="0" xfId="0" applyNumberFormat="1" applyFont="1" applyFill="1" applyBorder="1" applyAlignment="1" applyProtection="1">
      <protection hidden="1"/>
    </xf>
    <xf numFmtId="4" fontId="19" fillId="26" borderId="0" xfId="0" applyNumberFormat="1" applyFont="1" applyFill="1" applyBorder="1" applyAlignment="1" applyProtection="1">
      <alignment vertical="center"/>
      <protection hidden="1"/>
    </xf>
    <xf numFmtId="0" fontId="19" fillId="0" borderId="0" xfId="0" applyFont="1" applyFill="1" applyProtection="1"/>
    <xf numFmtId="37" fontId="6" fillId="19" borderId="31" xfId="0" applyNumberFormat="1" applyFont="1" applyFill="1" applyBorder="1" applyAlignment="1" applyProtection="1">
      <alignment horizontal="right"/>
      <protection hidden="1"/>
    </xf>
    <xf numFmtId="0" fontId="0" fillId="20" borderId="9" xfId="0" applyFill="1" applyBorder="1" applyAlignment="1" applyProtection="1">
      <alignment horizontal="right"/>
      <protection hidden="1"/>
    </xf>
    <xf numFmtId="0" fontId="1" fillId="3" borderId="29" xfId="0" applyFont="1" applyFill="1" applyBorder="1" applyAlignment="1" applyProtection="1">
      <alignment horizontal="right"/>
      <protection hidden="1"/>
    </xf>
    <xf numFmtId="0" fontId="175" fillId="5" borderId="0" xfId="0" applyFont="1" applyFill="1" applyProtection="1">
      <protection hidden="1"/>
    </xf>
    <xf numFmtId="39" fontId="0" fillId="27" borderId="7" xfId="0" applyNumberFormat="1" applyFill="1" applyBorder="1" applyProtection="1">
      <protection hidden="1"/>
    </xf>
    <xf numFmtId="0" fontId="0" fillId="0" borderId="0" xfId="0" applyAlignment="1" applyProtection="1">
      <alignment horizontal="center"/>
      <protection hidden="1"/>
    </xf>
    <xf numFmtId="0" fontId="0" fillId="0" borderId="0" xfId="0" applyAlignment="1" applyProtection="1">
      <protection hidden="1"/>
    </xf>
    <xf numFmtId="0" fontId="59" fillId="11" borderId="1" xfId="0" applyFont="1" applyFill="1" applyBorder="1" applyProtection="1">
      <protection hidden="1"/>
    </xf>
    <xf numFmtId="0" fontId="0" fillId="2" borderId="14" xfId="0" applyFill="1" applyBorder="1" applyProtection="1">
      <protection hidden="1"/>
    </xf>
    <xf numFmtId="0" fontId="0" fillId="2" borderId="75" xfId="0" applyFill="1" applyBorder="1" applyProtection="1">
      <protection hidden="1"/>
    </xf>
    <xf numFmtId="0" fontId="0" fillId="2" borderId="34" xfId="0" applyFill="1" applyBorder="1" applyProtection="1">
      <protection hidden="1"/>
    </xf>
    <xf numFmtId="0" fontId="3" fillId="2" borderId="1" xfId="0" applyFont="1" applyFill="1" applyBorder="1" applyProtection="1">
      <protection hidden="1"/>
    </xf>
    <xf numFmtId="0" fontId="138" fillId="20" borderId="0" xfId="0" applyFont="1" applyFill="1" applyAlignment="1" applyProtection="1">
      <alignment horizontal="center"/>
      <protection hidden="1"/>
    </xf>
    <xf numFmtId="0" fontId="11" fillId="2" borderId="3" xfId="0" applyFont="1" applyFill="1" applyBorder="1" applyProtection="1">
      <protection hidden="1"/>
    </xf>
    <xf numFmtId="0" fontId="6" fillId="0" borderId="13" xfId="0" applyFont="1" applyBorder="1" applyAlignment="1" applyProtection="1">
      <alignment horizontal="left" wrapText="1"/>
      <protection locked="0"/>
    </xf>
    <xf numFmtId="4" fontId="0" fillId="0" borderId="13" xfId="0" applyNumberFormat="1" applyBorder="1" applyAlignment="1" applyProtection="1">
      <alignment wrapText="1"/>
      <protection locked="0"/>
    </xf>
    <xf numFmtId="3" fontId="0" fillId="0" borderId="13" xfId="0" applyNumberFormat="1" applyBorder="1" applyAlignment="1" applyProtection="1">
      <alignment wrapText="1"/>
      <protection locked="0"/>
    </xf>
    <xf numFmtId="4" fontId="3" fillId="0" borderId="40" xfId="0" applyNumberFormat="1" applyFont="1" applyBorder="1" applyAlignment="1" applyProtection="1">
      <alignment horizontal="center" wrapText="1"/>
      <protection locked="0"/>
    </xf>
    <xf numFmtId="174" fontId="0" fillId="0" borderId="13" xfId="0" applyNumberFormat="1" applyBorder="1" applyAlignment="1" applyProtection="1">
      <alignment horizontal="center" wrapText="1"/>
      <protection locked="0"/>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3" fontId="80" fillId="2" borderId="0" xfId="0" applyNumberFormat="1" applyFont="1" applyFill="1" applyAlignment="1" applyProtection="1">
      <alignment horizontal="left"/>
      <protection hidden="1"/>
    </xf>
    <xf numFmtId="0" fontId="6" fillId="25" borderId="13" xfId="0" applyFont="1" applyFill="1" applyBorder="1" applyAlignment="1" applyProtection="1">
      <alignment horizontal="center" vertical="center"/>
      <protection locked="0"/>
    </xf>
    <xf numFmtId="4" fontId="1" fillId="3" borderId="25" xfId="0" applyNumberFormat="1" applyFont="1" applyFill="1" applyBorder="1" applyAlignment="1" applyProtection="1">
      <alignment horizontal="right"/>
      <protection hidden="1"/>
    </xf>
    <xf numFmtId="0" fontId="0" fillId="20" borderId="21" xfId="0" applyFill="1" applyBorder="1" applyProtection="1">
      <protection hidden="1"/>
    </xf>
    <xf numFmtId="0" fontId="0" fillId="20" borderId="0" xfId="0" applyFill="1" applyBorder="1" applyAlignment="1" applyProtection="1">
      <protection hidden="1"/>
    </xf>
    <xf numFmtId="0" fontId="1" fillId="20" borderId="13" xfId="0" applyFont="1" applyFill="1" applyBorder="1" applyAlignment="1" applyProtection="1">
      <alignment horizontal="center" vertical="center"/>
      <protection locked="0"/>
    </xf>
    <xf numFmtId="0" fontId="11" fillId="29" borderId="24" xfId="0" applyFont="1" applyFill="1" applyBorder="1" applyAlignment="1" applyProtection="1">
      <alignment horizontal="right"/>
      <protection hidden="1"/>
    </xf>
    <xf numFmtId="0" fontId="5" fillId="29" borderId="8" xfId="0" applyFont="1" applyFill="1" applyBorder="1" applyAlignment="1" applyProtection="1">
      <alignment vertical="center"/>
      <protection hidden="1"/>
    </xf>
    <xf numFmtId="0" fontId="0" fillId="29" borderId="8" xfId="0" applyFill="1" applyBorder="1" applyAlignment="1" applyProtection="1">
      <protection hidden="1"/>
    </xf>
    <xf numFmtId="0" fontId="0" fillId="29" borderId="20" xfId="0" applyFill="1" applyBorder="1" applyProtection="1">
      <protection hidden="1"/>
    </xf>
    <xf numFmtId="0" fontId="11" fillId="29" borderId="6" xfId="0" applyFont="1" applyFill="1" applyBorder="1" applyAlignment="1" applyProtection="1">
      <alignment horizontal="right"/>
      <protection hidden="1"/>
    </xf>
    <xf numFmtId="0" fontId="5" fillId="29" borderId="0" xfId="0" applyFont="1" applyFill="1" applyBorder="1" applyAlignment="1" applyProtection="1">
      <alignment vertical="center"/>
      <protection hidden="1"/>
    </xf>
    <xf numFmtId="0" fontId="3" fillId="29" borderId="0" xfId="0" applyFont="1" applyFill="1" applyBorder="1" applyAlignment="1" applyProtection="1">
      <alignment horizontal="center"/>
      <protection hidden="1"/>
    </xf>
    <xf numFmtId="0" fontId="0" fillId="29" borderId="0" xfId="0" applyFill="1" applyBorder="1" applyAlignment="1" applyProtection="1">
      <protection hidden="1"/>
    </xf>
    <xf numFmtId="0" fontId="0" fillId="29" borderId="21" xfId="0" applyFill="1" applyBorder="1" applyProtection="1">
      <protection hidden="1"/>
    </xf>
    <xf numFmtId="0" fontId="6" fillId="29" borderId="6" xfId="0" applyFont="1" applyFill="1" applyBorder="1" applyAlignment="1" applyProtection="1">
      <alignment horizontal="right"/>
      <protection hidden="1"/>
    </xf>
    <xf numFmtId="0" fontId="161" fillId="29" borderId="21" xfId="0" applyFont="1" applyFill="1" applyBorder="1" applyProtection="1">
      <protection hidden="1"/>
    </xf>
    <xf numFmtId="0" fontId="1" fillId="29" borderId="9" xfId="0" applyFont="1" applyFill="1" applyBorder="1" applyAlignment="1" applyProtection="1">
      <alignment vertical="center"/>
      <protection hidden="1"/>
    </xf>
    <xf numFmtId="0" fontId="5" fillId="29" borderId="6" xfId="0" applyFont="1" applyFill="1" applyBorder="1" applyAlignment="1" applyProtection="1">
      <alignment horizontal="right" wrapText="1"/>
      <protection hidden="1"/>
    </xf>
    <xf numFmtId="0" fontId="5" fillId="29" borderId="0" xfId="0" applyFont="1" applyFill="1" applyBorder="1" applyAlignment="1" applyProtection="1">
      <alignment horizontal="right"/>
      <protection hidden="1"/>
    </xf>
    <xf numFmtId="0" fontId="1" fillId="29" borderId="1" xfId="0" applyFont="1" applyFill="1" applyBorder="1" applyAlignment="1" applyProtection="1">
      <alignment vertical="center"/>
      <protection hidden="1"/>
    </xf>
    <xf numFmtId="0" fontId="1" fillId="29" borderId="0" xfId="0" applyFont="1" applyFill="1" applyBorder="1" applyAlignment="1" applyProtection="1">
      <alignment vertical="center"/>
      <protection hidden="1"/>
    </xf>
    <xf numFmtId="0" fontId="11" fillId="29" borderId="22" xfId="0" applyFont="1" applyFill="1" applyBorder="1" applyAlignment="1" applyProtection="1">
      <alignment horizontal="right"/>
      <protection hidden="1"/>
    </xf>
    <xf numFmtId="0" fontId="5" fillId="29" borderId="5" xfId="0" applyFont="1" applyFill="1" applyBorder="1" applyAlignment="1" applyProtection="1">
      <alignment vertical="center"/>
      <protection hidden="1"/>
    </xf>
    <xf numFmtId="0" fontId="0" fillId="29" borderId="5" xfId="0" applyFill="1" applyBorder="1" applyAlignment="1" applyProtection="1">
      <protection hidden="1"/>
    </xf>
    <xf numFmtId="0" fontId="179" fillId="2" borderId="0" xfId="0" applyFont="1" applyFill="1" applyBorder="1" applyAlignment="1" applyProtection="1">
      <alignment horizontal="left"/>
      <protection hidden="1"/>
    </xf>
    <xf numFmtId="0" fontId="179" fillId="2" borderId="0" xfId="0" applyFont="1" applyFill="1" applyBorder="1" applyAlignment="1" applyProtection="1">
      <alignment horizontal="left" vertical="top"/>
      <protection hidden="1"/>
    </xf>
    <xf numFmtId="0" fontId="45" fillId="3" borderId="0" xfId="0" applyFont="1" applyFill="1" applyBorder="1" applyAlignment="1" applyProtection="1">
      <alignment horizontal="center"/>
      <protection hidden="1"/>
    </xf>
    <xf numFmtId="0" fontId="1" fillId="3" borderId="55" xfId="0" quotePrefix="1" applyFont="1" applyFill="1" applyBorder="1" applyAlignment="1" applyProtection="1">
      <alignment horizontal="center"/>
      <protection locked="0"/>
    </xf>
    <xf numFmtId="0" fontId="11" fillId="3" borderId="3" xfId="0" applyFont="1" applyFill="1" applyBorder="1" applyAlignment="1" applyProtection="1">
      <alignment horizontal="center" vertical="center" wrapText="1"/>
      <protection locked="0"/>
    </xf>
    <xf numFmtId="0" fontId="11" fillId="3" borderId="10" xfId="0" applyFont="1" applyFill="1" applyBorder="1" applyAlignment="1" applyProtection="1">
      <alignment horizontal="center" vertical="center" wrapText="1"/>
      <protection locked="0"/>
    </xf>
    <xf numFmtId="0" fontId="4" fillId="3" borderId="13" xfId="0" quotePrefix="1" applyFont="1" applyFill="1" applyBorder="1" applyAlignment="1" applyProtection="1">
      <alignment horizontal="center"/>
      <protection locked="0"/>
    </xf>
    <xf numFmtId="0" fontId="1" fillId="3" borderId="15" xfId="0" quotePrefix="1" applyFont="1" applyFill="1" applyBorder="1" applyAlignment="1" applyProtection="1">
      <alignment horizontal="center"/>
      <protection locked="0"/>
    </xf>
    <xf numFmtId="0" fontId="1" fillId="3" borderId="1" xfId="0" applyFont="1" applyFill="1" applyBorder="1" applyAlignment="1" applyProtection="1">
      <alignment horizontal="center" vertical="top"/>
      <protection hidden="1"/>
    </xf>
    <xf numFmtId="0" fontId="1" fillId="3" borderId="3" xfId="0" applyFont="1" applyFill="1" applyBorder="1" applyAlignment="1" applyProtection="1">
      <alignment horizontal="right" vertical="top"/>
      <protection hidden="1"/>
    </xf>
    <xf numFmtId="0" fontId="4" fillId="3" borderId="12" xfId="0" applyFont="1" applyFill="1" applyBorder="1" applyAlignment="1" applyProtection="1">
      <alignment vertical="top"/>
      <protection hidden="1"/>
    </xf>
    <xf numFmtId="0" fontId="6" fillId="3" borderId="11" xfId="0" applyFont="1" applyFill="1" applyBorder="1" applyAlignment="1" applyProtection="1">
      <alignment vertical="center" wrapText="1"/>
      <protection hidden="1"/>
    </xf>
    <xf numFmtId="0" fontId="11" fillId="3" borderId="26" xfId="0" applyFont="1" applyFill="1" applyBorder="1" applyAlignment="1" applyProtection="1">
      <alignment horizontal="center" vertical="top"/>
      <protection hidden="1"/>
    </xf>
    <xf numFmtId="0" fontId="5" fillId="3" borderId="26" xfId="0" applyFont="1" applyFill="1" applyBorder="1" applyAlignment="1" applyProtection="1">
      <alignment horizontal="left"/>
      <protection hidden="1"/>
    </xf>
    <xf numFmtId="0" fontId="5" fillId="3" borderId="55" xfId="0" applyFont="1" applyFill="1" applyBorder="1" applyAlignment="1" applyProtection="1">
      <alignment horizontal="left"/>
      <protection hidden="1"/>
    </xf>
    <xf numFmtId="38" fontId="6" fillId="3" borderId="115" xfId="0" applyNumberFormat="1" applyFont="1" applyFill="1" applyBorder="1" applyProtection="1">
      <protection hidden="1"/>
    </xf>
    <xf numFmtId="0" fontId="157" fillId="20" borderId="7" xfId="0" applyFont="1" applyFill="1" applyBorder="1" applyAlignment="1">
      <alignment horizontal="center" wrapText="1"/>
    </xf>
    <xf numFmtId="0" fontId="157" fillId="19" borderId="7" xfId="0" applyFont="1" applyFill="1" applyBorder="1" applyAlignment="1" applyProtection="1">
      <alignment horizontal="center" wrapText="1"/>
      <protection hidden="1"/>
    </xf>
    <xf numFmtId="166" fontId="4" fillId="21" borderId="52" xfId="0" applyNumberFormat="1" applyFont="1" applyFill="1" applyBorder="1" applyAlignment="1" applyProtection="1">
      <alignment horizontal="center" vertical="center"/>
      <protection locked="0"/>
    </xf>
    <xf numFmtId="38" fontId="4" fillId="2" borderId="40" xfId="0" applyNumberFormat="1" applyFont="1" applyFill="1" applyBorder="1" applyAlignment="1" applyProtection="1">
      <alignment horizontal="center"/>
      <protection hidden="1"/>
    </xf>
    <xf numFmtId="0" fontId="0" fillId="0" borderId="26" xfId="0" applyBorder="1" applyAlignment="1" applyProtection="1">
      <alignment horizontal="center"/>
      <protection hidden="1"/>
    </xf>
    <xf numFmtId="0" fontId="0" fillId="0" borderId="13" xfId="0" applyBorder="1" applyAlignment="1" applyProtection="1">
      <alignment horizontal="center" vertical="center"/>
      <protection locked="0"/>
    </xf>
    <xf numFmtId="38" fontId="4" fillId="2" borderId="29" xfId="0" applyNumberFormat="1" applyFont="1" applyFill="1" applyBorder="1" applyAlignment="1" applyProtection="1">
      <alignment horizontal="right"/>
      <protection hidden="1"/>
    </xf>
    <xf numFmtId="38" fontId="0" fillId="2" borderId="0" xfId="0" applyNumberFormat="1" applyFill="1" applyBorder="1" applyAlignment="1" applyProtection="1">
      <alignment vertical="center"/>
      <protection hidden="1"/>
    </xf>
    <xf numFmtId="38" fontId="4" fillId="2" borderId="0" xfId="0" applyNumberFormat="1" applyFont="1" applyFill="1" applyBorder="1" applyAlignment="1" applyProtection="1">
      <alignment vertical="center"/>
      <protection hidden="1"/>
    </xf>
    <xf numFmtId="38" fontId="57" fillId="16" borderId="116" xfId="0" applyNumberFormat="1" applyFont="1" applyFill="1" applyBorder="1" applyAlignment="1" applyProtection="1">
      <alignment horizontal="left"/>
      <protection hidden="1"/>
    </xf>
    <xf numFmtId="38" fontId="59" fillId="16" borderId="116" xfId="0" applyNumberFormat="1" applyFont="1" applyFill="1" applyBorder="1" applyAlignment="1" applyProtection="1">
      <alignment horizontal="left"/>
      <protection hidden="1"/>
    </xf>
    <xf numFmtId="38" fontId="16" fillId="2" borderId="116" xfId="0" applyNumberFormat="1" applyFont="1" applyFill="1" applyBorder="1" applyProtection="1">
      <protection hidden="1"/>
    </xf>
    <xf numFmtId="38" fontId="0" fillId="5" borderId="25" xfId="0" applyNumberFormat="1" applyFill="1" applyBorder="1" applyProtection="1">
      <protection hidden="1"/>
    </xf>
    <xf numFmtId="38" fontId="0" fillId="5" borderId="31" xfId="0" applyNumberFormat="1" applyFill="1" applyBorder="1" applyProtection="1">
      <protection hidden="1"/>
    </xf>
    <xf numFmtId="38" fontId="0" fillId="5" borderId="15" xfId="0" applyNumberFormat="1" applyFill="1" applyBorder="1" applyProtection="1">
      <protection hidden="1"/>
    </xf>
    <xf numFmtId="38" fontId="0" fillId="5" borderId="3" xfId="0" applyNumberFormat="1" applyFill="1" applyBorder="1" applyProtection="1">
      <protection hidden="1"/>
    </xf>
    <xf numFmtId="38" fontId="4" fillId="2" borderId="11" xfId="0" applyNumberFormat="1" applyFont="1" applyFill="1" applyBorder="1" applyAlignment="1" applyProtection="1">
      <alignment horizontal="center" vertical="center"/>
      <protection hidden="1"/>
    </xf>
    <xf numFmtId="38" fontId="1" fillId="2" borderId="0" xfId="0" applyNumberFormat="1" applyFont="1" applyFill="1" applyBorder="1" applyProtection="1">
      <protection hidden="1"/>
    </xf>
    <xf numFmtId="38" fontId="4" fillId="21" borderId="2" xfId="0" applyNumberFormat="1" applyFont="1" applyFill="1" applyBorder="1" applyAlignment="1" applyProtection="1">
      <alignment horizontal="center" vertical="center"/>
      <protection locked="0"/>
    </xf>
    <xf numFmtId="38" fontId="0" fillId="20" borderId="0" xfId="0" applyNumberFormat="1" applyFill="1" applyProtection="1">
      <protection hidden="1"/>
    </xf>
    <xf numFmtId="38" fontId="0" fillId="20" borderId="5" xfId="0" applyNumberFormat="1" applyFill="1" applyBorder="1" applyProtection="1">
      <protection hidden="1"/>
    </xf>
    <xf numFmtId="38" fontId="1" fillId="2" borderId="0" xfId="0" applyNumberFormat="1" applyFont="1" applyFill="1" applyProtection="1">
      <protection hidden="1"/>
    </xf>
    <xf numFmtId="38" fontId="4" fillId="2" borderId="13" xfId="0" applyNumberFormat="1" applyFont="1" applyFill="1" applyBorder="1" applyAlignment="1" applyProtection="1">
      <alignment horizontal="center" vertical="center"/>
      <protection hidden="1"/>
    </xf>
    <xf numFmtId="38" fontId="4" fillId="2" borderId="52" xfId="0" applyNumberFormat="1" applyFont="1" applyFill="1" applyBorder="1" applyAlignment="1" applyProtection="1">
      <alignment horizontal="center" vertical="center"/>
      <protection hidden="1"/>
    </xf>
    <xf numFmtId="38" fontId="4" fillId="21" borderId="13" xfId="0" applyNumberFormat="1" applyFont="1" applyFill="1" applyBorder="1" applyAlignment="1" applyProtection="1">
      <alignment horizontal="center"/>
      <protection locked="0"/>
    </xf>
    <xf numFmtId="0" fontId="0" fillId="21" borderId="13" xfId="0" applyFill="1" applyBorder="1" applyAlignment="1" applyProtection="1">
      <alignment horizontal="center" vertical="center"/>
      <protection locked="0"/>
    </xf>
    <xf numFmtId="0" fontId="4" fillId="2" borderId="0" xfId="0" applyNumberFormat="1" applyFont="1" applyFill="1" applyBorder="1" applyProtection="1">
      <protection hidden="1"/>
    </xf>
    <xf numFmtId="38" fontId="4" fillId="2" borderId="0" xfId="0" applyNumberFormat="1" applyFont="1" applyFill="1" applyBorder="1" applyAlignment="1" applyProtection="1">
      <alignment horizontal="left"/>
      <protection hidden="1"/>
    </xf>
    <xf numFmtId="38" fontId="0" fillId="7" borderId="118" xfId="0" applyNumberFormat="1" applyFill="1" applyBorder="1" applyProtection="1">
      <protection hidden="1"/>
    </xf>
    <xf numFmtId="38" fontId="4" fillId="2" borderId="92" xfId="0" applyNumberFormat="1" applyFont="1" applyFill="1" applyBorder="1" applyAlignment="1" applyProtection="1">
      <alignment horizontal="center"/>
      <protection hidden="1"/>
    </xf>
    <xf numFmtId="38" fontId="4" fillId="2" borderId="13" xfId="0" applyNumberFormat="1" applyFont="1" applyFill="1" applyBorder="1" applyAlignment="1" applyProtection="1">
      <alignment horizontal="right" vertical="center"/>
      <protection hidden="1"/>
    </xf>
    <xf numFmtId="38" fontId="6" fillId="21" borderId="52" xfId="0" applyNumberFormat="1" applyFont="1" applyFill="1" applyBorder="1" applyProtection="1">
      <protection locked="0"/>
    </xf>
    <xf numFmtId="38" fontId="6" fillId="21" borderId="13" xfId="0" applyNumberFormat="1" applyFont="1" applyFill="1" applyBorder="1" applyProtection="1">
      <protection locked="0"/>
    </xf>
    <xf numFmtId="38" fontId="17" fillId="3" borderId="8" xfId="0" applyNumberFormat="1" applyFont="1" applyFill="1" applyBorder="1" applyProtection="1">
      <protection hidden="1"/>
    </xf>
    <xf numFmtId="38" fontId="152" fillId="3" borderId="8" xfId="0" applyNumberFormat="1" applyFont="1" applyFill="1" applyBorder="1" applyAlignment="1" applyProtection="1">
      <alignment horizontal="left"/>
      <protection hidden="1"/>
    </xf>
    <xf numFmtId="38" fontId="0" fillId="3" borderId="8" xfId="0" applyNumberFormat="1" applyFill="1" applyBorder="1" applyProtection="1">
      <protection hidden="1"/>
    </xf>
    <xf numFmtId="0" fontId="0" fillId="0" borderId="0" xfId="0" applyAlignment="1"/>
    <xf numFmtId="0" fontId="0" fillId="0" borderId="0" xfId="0" applyAlignment="1" applyProtection="1">
      <protection hidden="1"/>
    </xf>
    <xf numFmtId="164" fontId="13" fillId="4" borderId="0" xfId="0" applyNumberFormat="1" applyFont="1" applyFill="1" applyBorder="1" applyAlignment="1" applyProtection="1">
      <alignment vertical="center"/>
      <protection locked="0" hidden="1"/>
    </xf>
    <xf numFmtId="40" fontId="84" fillId="2" borderId="0" xfId="0" applyNumberFormat="1" applyFont="1" applyFill="1" applyBorder="1" applyAlignment="1" applyProtection="1">
      <alignment horizontal="right" vertical="center"/>
      <protection hidden="1"/>
    </xf>
    <xf numFmtId="0" fontId="3" fillId="2" borderId="0" xfId="0" applyFont="1" applyFill="1" applyBorder="1" applyAlignment="1" applyProtection="1">
      <alignment horizontal="left" vertical="top"/>
      <protection hidden="1"/>
    </xf>
    <xf numFmtId="0" fontId="1" fillId="0" borderId="0" xfId="0" applyFont="1" applyAlignment="1" applyProtection="1">
      <protection hidden="1"/>
    </xf>
    <xf numFmtId="0" fontId="3" fillId="2" borderId="0" xfId="4" applyFill="1" applyBorder="1" applyAlignment="1" applyProtection="1">
      <alignment horizontal="left" vertical="center"/>
      <protection hidden="1"/>
    </xf>
    <xf numFmtId="3" fontId="7" fillId="25" borderId="119" xfId="0" applyNumberFormat="1" applyFont="1" applyFill="1" applyBorder="1" applyProtection="1">
      <protection locked="0"/>
    </xf>
    <xf numFmtId="0" fontId="10" fillId="2" borderId="17" xfId="4" applyFont="1" applyFill="1" applyBorder="1" applyAlignment="1" applyProtection="1">
      <alignment horizontal="left" vertical="center"/>
      <protection hidden="1"/>
    </xf>
    <xf numFmtId="0" fontId="72" fillId="2" borderId="17" xfId="4" applyFont="1" applyFill="1" applyBorder="1" applyAlignment="1" applyProtection="1">
      <alignment horizontal="center" vertical="center"/>
      <protection hidden="1"/>
    </xf>
    <xf numFmtId="0" fontId="4" fillId="2" borderId="17" xfId="4" applyNumberFormat="1" applyFont="1" applyFill="1" applyBorder="1" applyAlignment="1" applyProtection="1">
      <alignment horizontal="center"/>
      <protection hidden="1"/>
    </xf>
    <xf numFmtId="0" fontId="42" fillId="2" borderId="17" xfId="4" applyFont="1" applyFill="1" applyBorder="1" applyAlignment="1" applyProtection="1">
      <alignment horizontal="left" vertical="center"/>
      <protection hidden="1"/>
    </xf>
    <xf numFmtId="0" fontId="8" fillId="2" borderId="17" xfId="4" applyFont="1" applyFill="1" applyBorder="1" applyAlignment="1" applyProtection="1">
      <alignment horizontal="left" vertical="center"/>
      <protection hidden="1"/>
    </xf>
    <xf numFmtId="0" fontId="3" fillId="2" borderId="17" xfId="4" applyFill="1" applyBorder="1" applyAlignment="1" applyProtection="1">
      <alignment horizontal="left" vertical="center"/>
      <protection hidden="1"/>
    </xf>
    <xf numFmtId="49" fontId="6" fillId="2" borderId="17" xfId="4" applyNumberFormat="1" applyFont="1" applyFill="1" applyBorder="1" applyAlignment="1" applyProtection="1">
      <alignment horizontal="left" vertical="center"/>
      <protection hidden="1"/>
    </xf>
    <xf numFmtId="40" fontId="21" fillId="2" borderId="17" xfId="4" applyNumberFormat="1" applyFont="1" applyFill="1" applyBorder="1" applyAlignment="1" applyProtection="1">
      <alignment horizontal="left" vertical="center"/>
      <protection hidden="1"/>
    </xf>
    <xf numFmtId="0" fontId="3" fillId="2" borderId="9" xfId="4" applyFont="1" applyFill="1" applyBorder="1" applyAlignment="1" applyProtection="1">
      <alignment horizontal="center" vertical="center"/>
      <protection locked="0"/>
    </xf>
    <xf numFmtId="3" fontId="3" fillId="2" borderId="0" xfId="4" applyNumberFormat="1" applyFont="1" applyFill="1" applyBorder="1" applyAlignment="1" applyProtection="1">
      <alignment horizontal="right"/>
      <protection locked="0"/>
    </xf>
    <xf numFmtId="49" fontId="1" fillId="2" borderId="13" xfId="4" applyNumberFormat="1" applyFont="1" applyFill="1" applyBorder="1" applyAlignment="1" applyProtection="1">
      <alignment horizontal="center" vertical="center"/>
      <protection hidden="1"/>
    </xf>
    <xf numFmtId="0" fontId="0" fillId="2" borderId="25" xfId="0" applyFill="1" applyBorder="1" applyAlignment="1" applyProtection="1">
      <protection hidden="1"/>
    </xf>
    <xf numFmtId="0" fontId="1" fillId="2" borderId="0" xfId="0" applyFont="1" applyFill="1" applyAlignment="1" applyProtection="1">
      <alignment horizontal="left"/>
      <protection hidden="1"/>
    </xf>
    <xf numFmtId="0" fontId="0" fillId="0" borderId="0" xfId="0" applyAlignment="1">
      <alignment vertical="center"/>
    </xf>
    <xf numFmtId="0" fontId="10" fillId="21" borderId="2" xfId="0" applyFont="1" applyFill="1" applyBorder="1" applyAlignment="1" applyProtection="1">
      <alignment horizontal="center" vertical="center"/>
      <protection locked="0"/>
    </xf>
    <xf numFmtId="0" fontId="161" fillId="20" borderId="0" xfId="0" applyFont="1" applyFill="1" applyAlignment="1" applyProtection="1">
      <alignment horizontal="center"/>
      <protection hidden="1"/>
    </xf>
    <xf numFmtId="0" fontId="8" fillId="0" borderId="0" xfId="0" applyFont="1" applyAlignment="1" applyProtection="1">
      <alignment vertical="center"/>
      <protection hidden="1"/>
    </xf>
    <xf numFmtId="0" fontId="11" fillId="0" borderId="0" xfId="0" applyFont="1" applyAlignment="1" applyProtection="1">
      <alignment vertical="center"/>
      <protection hidden="1"/>
    </xf>
    <xf numFmtId="0" fontId="11" fillId="0" borderId="0" xfId="0" applyFont="1" applyAlignment="1" applyProtection="1">
      <protection hidden="1"/>
    </xf>
    <xf numFmtId="37" fontId="182" fillId="3" borderId="15" xfId="0" applyNumberFormat="1" applyFont="1" applyFill="1" applyBorder="1" applyAlignment="1" applyProtection="1">
      <alignment horizontal="right"/>
      <protection hidden="1"/>
    </xf>
    <xf numFmtId="0" fontId="5" fillId="20" borderId="0" xfId="0" applyFont="1" applyFill="1" applyProtection="1">
      <protection hidden="1"/>
    </xf>
    <xf numFmtId="0" fontId="179" fillId="20" borderId="0" xfId="0" applyFont="1" applyFill="1" applyAlignment="1" applyProtection="1">
      <alignment horizontal="left"/>
      <protection hidden="1"/>
    </xf>
    <xf numFmtId="0" fontId="0" fillId="0" borderId="0" xfId="0" applyAlignment="1">
      <alignment vertical="center"/>
    </xf>
    <xf numFmtId="0" fontId="8" fillId="0" borderId="0" xfId="0" applyFont="1" applyAlignment="1">
      <alignment vertical="center"/>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157" fillId="5" borderId="0" xfId="0" applyFont="1" applyFill="1" applyAlignment="1" applyProtection="1">
      <alignment horizontal="center"/>
      <protection hidden="1"/>
    </xf>
    <xf numFmtId="37" fontId="6" fillId="3" borderId="16" xfId="0" applyNumberFormat="1" applyFont="1" applyFill="1" applyBorder="1" applyAlignment="1" applyProtection="1">
      <alignment horizontal="right"/>
      <protection hidden="1"/>
    </xf>
    <xf numFmtId="37" fontId="6" fillId="0" borderId="16" xfId="0" applyNumberFormat="1" applyFont="1" applyBorder="1" applyAlignment="1" applyProtection="1">
      <alignment horizontal="right"/>
      <protection hidden="1"/>
    </xf>
    <xf numFmtId="37" fontId="6" fillId="3" borderId="15" xfId="0" applyNumberFormat="1" applyFont="1" applyFill="1" applyBorder="1" applyAlignment="1" applyProtection="1">
      <alignment horizontal="right"/>
      <protection hidden="1"/>
    </xf>
    <xf numFmtId="37" fontId="6" fillId="20" borderId="16" xfId="0" applyNumberFormat="1" applyFont="1" applyFill="1" applyBorder="1" applyAlignment="1" applyProtection="1">
      <alignment horizontal="right"/>
      <protection hidden="1"/>
    </xf>
    <xf numFmtId="164" fontId="1" fillId="2" borderId="2" xfId="0" applyNumberFormat="1" applyFont="1" applyFill="1" applyBorder="1" applyAlignment="1" applyProtection="1">
      <alignment horizontal="center" vertical="center"/>
      <protection locked="0"/>
    </xf>
    <xf numFmtId="0" fontId="161" fillId="0" borderId="0" xfId="0" applyFont="1"/>
    <xf numFmtId="40" fontId="67" fillId="2" borderId="0" xfId="0" applyNumberFormat="1" applyFont="1" applyFill="1" applyBorder="1" applyAlignment="1" applyProtection="1">
      <alignment horizontal="right" vertical="center"/>
      <protection hidden="1"/>
    </xf>
    <xf numFmtId="3" fontId="0" fillId="2" borderId="2" xfId="0" applyNumberFormat="1" applyFill="1" applyBorder="1" applyProtection="1">
      <protection locked="0"/>
    </xf>
    <xf numFmtId="0" fontId="0" fillId="20" borderId="24" xfId="0" applyFill="1" applyBorder="1" applyProtection="1">
      <protection hidden="1"/>
    </xf>
    <xf numFmtId="0" fontId="0" fillId="20" borderId="8" xfId="0" applyFill="1" applyBorder="1" applyProtection="1">
      <protection hidden="1"/>
    </xf>
    <xf numFmtId="0" fontId="0" fillId="20" borderId="20" xfId="0" applyFill="1" applyBorder="1" applyProtection="1">
      <protection hidden="1"/>
    </xf>
    <xf numFmtId="0" fontId="0" fillId="20" borderId="6" xfId="0" applyFill="1" applyBorder="1" applyAlignment="1" applyProtection="1">
      <alignment vertical="top"/>
      <protection hidden="1"/>
    </xf>
    <xf numFmtId="0" fontId="3" fillId="20" borderId="0" xfId="0" applyFont="1" applyFill="1" applyBorder="1" applyProtection="1">
      <protection hidden="1"/>
    </xf>
    <xf numFmtId="0" fontId="0" fillId="20" borderId="0" xfId="0" applyFill="1" applyBorder="1" applyAlignment="1" applyProtection="1">
      <alignment vertical="top"/>
      <protection hidden="1"/>
    </xf>
    <xf numFmtId="0" fontId="0" fillId="20" borderId="21" xfId="0" applyFill="1" applyBorder="1" applyAlignment="1" applyProtection="1">
      <alignment vertical="top"/>
      <protection hidden="1"/>
    </xf>
    <xf numFmtId="0" fontId="0" fillId="20" borderId="6" xfId="0" applyFill="1" applyBorder="1" applyProtection="1">
      <protection hidden="1"/>
    </xf>
    <xf numFmtId="0" fontId="0" fillId="20" borderId="22" xfId="0" applyFill="1" applyBorder="1" applyProtection="1">
      <protection hidden="1"/>
    </xf>
    <xf numFmtId="0" fontId="0" fillId="20" borderId="5" xfId="0" applyFill="1" applyBorder="1" applyProtection="1">
      <protection hidden="1"/>
    </xf>
    <xf numFmtId="0" fontId="0" fillId="20" borderId="23" xfId="0" applyFill="1" applyBorder="1" applyProtection="1">
      <protection hidden="1"/>
    </xf>
    <xf numFmtId="0" fontId="16" fillId="2" borderId="5" xfId="0" applyFont="1" applyFill="1" applyBorder="1" applyAlignment="1" applyProtection="1">
      <alignment horizontal="center" wrapText="1"/>
      <protection hidden="1"/>
    </xf>
    <xf numFmtId="0" fontId="16" fillId="2" borderId="0" xfId="0" applyFont="1" applyFill="1" applyBorder="1" applyAlignment="1" applyProtection="1">
      <alignment horizontal="center" wrapText="1"/>
      <protection hidden="1"/>
    </xf>
    <xf numFmtId="0" fontId="16" fillId="2" borderId="26" xfId="0" applyFont="1" applyFill="1" applyBorder="1" applyAlignment="1" applyProtection="1">
      <alignment horizontal="center" wrapText="1"/>
      <protection hidden="1"/>
    </xf>
    <xf numFmtId="0" fontId="16" fillId="2" borderId="1" xfId="0" applyFont="1" applyFill="1" applyBorder="1" applyAlignment="1" applyProtection="1">
      <alignment horizontal="center" wrapText="1"/>
      <protection hidden="1"/>
    </xf>
    <xf numFmtId="0" fontId="1" fillId="20" borderId="0" xfId="0" applyFont="1" applyFill="1" applyProtection="1">
      <protection hidden="1"/>
    </xf>
    <xf numFmtId="0" fontId="161" fillId="20" borderId="0" xfId="0" applyFont="1" applyFill="1" applyProtection="1">
      <protection hidden="1"/>
    </xf>
    <xf numFmtId="0" fontId="3" fillId="20" borderId="0" xfId="0" applyFont="1" applyFill="1" applyProtection="1">
      <protection hidden="1"/>
    </xf>
    <xf numFmtId="0" fontId="181" fillId="20" borderId="0" xfId="0" applyFont="1" applyFill="1" applyProtection="1">
      <protection hidden="1"/>
    </xf>
    <xf numFmtId="0" fontId="161" fillId="0" borderId="0" xfId="0" applyFont="1" applyProtection="1">
      <protection hidden="1"/>
    </xf>
    <xf numFmtId="0" fontId="1" fillId="20" borderId="2" xfId="0" applyFont="1" applyFill="1" applyBorder="1" applyAlignment="1" applyProtection="1">
      <alignment horizontal="center" vertical="center"/>
      <protection locked="0"/>
    </xf>
    <xf numFmtId="3" fontId="0" fillId="20" borderId="31" xfId="0" applyNumberFormat="1" applyFill="1" applyBorder="1" applyAlignment="1" applyProtection="1">
      <alignment vertical="center"/>
      <protection hidden="1"/>
    </xf>
    <xf numFmtId="0" fontId="0" fillId="20" borderId="9" xfId="0" applyFill="1" applyBorder="1" applyAlignment="1" applyProtection="1">
      <alignment vertical="center"/>
      <protection hidden="1"/>
    </xf>
    <xf numFmtId="3" fontId="161" fillId="0" borderId="0" xfId="0" applyNumberFormat="1" applyFont="1" applyFill="1"/>
    <xf numFmtId="0" fontId="13" fillId="2" borderId="0" xfId="0" applyFont="1" applyFill="1" applyBorder="1" applyAlignment="1" applyProtection="1">
      <alignment horizontal="center" wrapText="1"/>
      <protection hidden="1"/>
    </xf>
    <xf numFmtId="172" fontId="5" fillId="3" borderId="0" xfId="0" applyNumberFormat="1" applyFont="1" applyFill="1" applyBorder="1" applyProtection="1">
      <protection hidden="1"/>
    </xf>
    <xf numFmtId="0" fontId="0" fillId="0" borderId="0" xfId="0" applyAlignment="1" applyProtection="1">
      <protection hidden="1"/>
    </xf>
    <xf numFmtId="0" fontId="3" fillId="0" borderId="0" xfId="0" applyFont="1" applyFill="1" applyAlignment="1" applyProtection="1">
      <alignment horizontal="center"/>
      <protection hidden="1"/>
    </xf>
    <xf numFmtId="0" fontId="3" fillId="0" borderId="0" xfId="0" applyFont="1" applyAlignment="1" applyProtection="1">
      <alignment horizontal="center"/>
      <protection hidden="1"/>
    </xf>
    <xf numFmtId="0" fontId="3" fillId="0" borderId="1" xfId="0" applyFont="1" applyBorder="1" applyAlignment="1" applyProtection="1">
      <alignment horizontal="center"/>
      <protection hidden="1"/>
    </xf>
    <xf numFmtId="0" fontId="3" fillId="0" borderId="0" xfId="0" applyFont="1" applyAlignment="1">
      <alignment horizontal="center"/>
    </xf>
    <xf numFmtId="0" fontId="3" fillId="0" borderId="1" xfId="0" applyFont="1" applyBorder="1" applyAlignment="1">
      <alignment horizontal="center"/>
    </xf>
    <xf numFmtId="0" fontId="175" fillId="5" borderId="0" xfId="0" applyFont="1" applyFill="1" applyAlignment="1" applyProtection="1">
      <alignment horizontal="center"/>
      <protection hidden="1"/>
    </xf>
    <xf numFmtId="0" fontId="3" fillId="0" borderId="1" xfId="0" applyFont="1" applyFill="1" applyBorder="1" applyAlignment="1">
      <alignment horizontal="center"/>
    </xf>
    <xf numFmtId="0" fontId="183" fillId="3" borderId="31" xfId="0" applyFont="1" applyFill="1" applyBorder="1" applyAlignment="1" applyProtection="1">
      <alignment horizontal="right" vertical="center"/>
      <protection hidden="1"/>
    </xf>
    <xf numFmtId="0" fontId="164" fillId="5" borderId="0" xfId="0" applyFont="1" applyFill="1" applyProtection="1">
      <protection hidden="1"/>
    </xf>
    <xf numFmtId="0" fontId="1" fillId="0" borderId="2" xfId="0" applyFont="1" applyBorder="1" applyAlignment="1" applyProtection="1">
      <alignment horizontal="center"/>
      <protection locked="0"/>
    </xf>
    <xf numFmtId="0" fontId="164" fillId="5" borderId="0" xfId="0" applyFont="1" applyFill="1" applyAlignment="1" applyProtection="1">
      <alignment horizontal="center"/>
      <protection hidden="1"/>
    </xf>
    <xf numFmtId="0" fontId="1" fillId="3" borderId="7" xfId="0" applyFont="1" applyFill="1" applyBorder="1" applyAlignment="1" applyProtection="1">
      <alignment horizontal="center"/>
      <protection hidden="1"/>
    </xf>
    <xf numFmtId="1" fontId="7" fillId="30" borderId="1" xfId="0" applyNumberFormat="1" applyFont="1" applyFill="1" applyBorder="1" applyAlignment="1" applyProtection="1">
      <alignment horizontal="center"/>
      <protection hidden="1"/>
    </xf>
    <xf numFmtId="1" fontId="7" fillId="30" borderId="60" xfId="0" applyNumberFormat="1" applyFont="1" applyFill="1" applyBorder="1" applyAlignment="1" applyProtection="1">
      <alignment horizontal="center"/>
      <protection hidden="1"/>
    </xf>
    <xf numFmtId="4" fontId="6" fillId="30" borderId="2" xfId="0" applyNumberFormat="1" applyFont="1" applyFill="1" applyBorder="1" applyAlignment="1" applyProtection="1">
      <alignment horizontal="center" vertical="center"/>
      <protection hidden="1"/>
    </xf>
    <xf numFmtId="0" fontId="10" fillId="31" borderId="1" xfId="0" quotePrefix="1" applyFont="1" applyFill="1" applyBorder="1" applyProtection="1">
      <protection hidden="1"/>
    </xf>
    <xf numFmtId="0" fontId="1" fillId="31" borderId="1" xfId="0" applyFont="1" applyFill="1" applyBorder="1" applyProtection="1">
      <protection hidden="1"/>
    </xf>
    <xf numFmtId="0" fontId="7" fillId="31" borderId="1" xfId="0" applyFont="1" applyFill="1" applyBorder="1" applyAlignment="1" applyProtection="1">
      <alignment horizontal="left"/>
      <protection hidden="1"/>
    </xf>
    <xf numFmtId="0" fontId="6" fillId="21" borderId="13" xfId="0" applyFont="1" applyFill="1" applyBorder="1" applyAlignment="1" applyProtection="1">
      <alignment horizontal="center" vertical="center" wrapText="1"/>
      <protection locked="0"/>
    </xf>
    <xf numFmtId="0" fontId="0" fillId="0" borderId="0" xfId="0" applyAlignment="1">
      <alignment horizontal="center"/>
    </xf>
    <xf numFmtId="0" fontId="0" fillId="0" borderId="7" xfId="0" applyBorder="1" applyAlignment="1">
      <alignment horizontal="center" wrapText="1"/>
    </xf>
    <xf numFmtId="0" fontId="17" fillId="0" borderId="7" xfId="0" applyFont="1" applyBorder="1" applyAlignment="1">
      <alignment horizontal="center" wrapText="1"/>
    </xf>
    <xf numFmtId="0" fontId="0" fillId="0" borderId="7" xfId="0" applyBorder="1" applyAlignment="1">
      <alignment horizontal="center"/>
    </xf>
    <xf numFmtId="4" fontId="35" fillId="23" borderId="0" xfId="0" applyNumberFormat="1" applyFont="1" applyFill="1" applyBorder="1" applyAlignment="1" applyProtection="1">
      <protection hidden="1"/>
    </xf>
    <xf numFmtId="4" fontId="35" fillId="23" borderId="0" xfId="0" applyNumberFormat="1" applyFont="1" applyFill="1" applyBorder="1" applyProtection="1">
      <protection hidden="1"/>
    </xf>
    <xf numFmtId="4" fontId="8" fillId="23" borderId="0" xfId="0" applyNumberFormat="1" applyFont="1" applyFill="1" applyBorder="1" applyAlignment="1" applyProtection="1">
      <alignment horizontal="left" vertical="center" wrapText="1"/>
      <protection hidden="1"/>
    </xf>
    <xf numFmtId="4" fontId="8" fillId="23" borderId="0" xfId="0" applyNumberFormat="1" applyFont="1" applyFill="1" applyBorder="1" applyProtection="1">
      <protection hidden="1"/>
    </xf>
    <xf numFmtId="4" fontId="8" fillId="23" borderId="0" xfId="0" applyNumberFormat="1" applyFont="1" applyFill="1" applyBorder="1" applyAlignment="1" applyProtection="1">
      <alignment vertical="center"/>
      <protection hidden="1"/>
    </xf>
    <xf numFmtId="0" fontId="6" fillId="23" borderId="1" xfId="0" applyFont="1" applyFill="1" applyBorder="1" applyProtection="1">
      <protection hidden="1"/>
    </xf>
    <xf numFmtId="4" fontId="8" fillId="23" borderId="0" xfId="0" applyNumberFormat="1" applyFont="1" applyFill="1" applyAlignment="1" applyProtection="1">
      <alignment horizontal="left"/>
      <protection hidden="1"/>
    </xf>
    <xf numFmtId="4" fontId="8" fillId="23" borderId="0" xfId="0" applyNumberFormat="1" applyFont="1" applyFill="1" applyBorder="1" applyAlignment="1" applyProtection="1">
      <alignment wrapText="1"/>
      <protection hidden="1"/>
    </xf>
    <xf numFmtId="0" fontId="8" fillId="20" borderId="3" xfId="0" applyFont="1" applyFill="1" applyBorder="1" applyProtection="1">
      <protection hidden="1"/>
    </xf>
    <xf numFmtId="0" fontId="8" fillId="20" borderId="25" xfId="0" applyFont="1" applyFill="1" applyBorder="1" applyProtection="1">
      <protection hidden="1"/>
    </xf>
    <xf numFmtId="4" fontId="8" fillId="20" borderId="3" xfId="0" applyNumberFormat="1" applyFont="1" applyFill="1" applyBorder="1" applyProtection="1">
      <protection hidden="1"/>
    </xf>
    <xf numFmtId="1" fontId="8" fillId="20" borderId="0" xfId="0" applyNumberFormat="1" applyFont="1" applyFill="1" applyBorder="1" applyProtection="1">
      <protection hidden="1"/>
    </xf>
    <xf numFmtId="0" fontId="4" fillId="20" borderId="0" xfId="0" applyFont="1" applyFill="1" applyBorder="1" applyAlignment="1" applyProtection="1">
      <alignment horizontal="right"/>
      <protection hidden="1"/>
    </xf>
    <xf numFmtId="0" fontId="8" fillId="3" borderId="0" xfId="0" applyFont="1" applyFill="1" applyAlignment="1" applyProtection="1">
      <protection hidden="1"/>
    </xf>
    <xf numFmtId="0" fontId="1" fillId="8" borderId="7" xfId="0" applyFont="1" applyFill="1" applyBorder="1" applyProtection="1">
      <protection hidden="1"/>
    </xf>
    <xf numFmtId="0" fontId="161" fillId="0" borderId="0" xfId="0" applyFont="1" applyAlignment="1">
      <alignment horizontal="center"/>
    </xf>
    <xf numFmtId="0" fontId="5" fillId="20" borderId="0" xfId="0" applyFont="1" applyFill="1" applyBorder="1" applyAlignment="1">
      <alignment horizontal="left" vertical="top"/>
    </xf>
    <xf numFmtId="0" fontId="3" fillId="20" borderId="3" xfId="0" applyFont="1" applyFill="1" applyBorder="1" applyAlignment="1">
      <alignment horizontal="center"/>
    </xf>
    <xf numFmtId="0" fontId="3" fillId="20" borderId="25" xfId="0" applyFont="1" applyFill="1" applyBorder="1" applyAlignment="1">
      <alignment horizontal="center"/>
    </xf>
    <xf numFmtId="4" fontId="17" fillId="19" borderId="25" xfId="0" applyNumberFormat="1" applyFont="1" applyFill="1" applyBorder="1" applyAlignment="1" applyProtection="1">
      <alignment horizontal="center" vertical="center"/>
      <protection hidden="1"/>
    </xf>
    <xf numFmtId="0" fontId="17" fillId="20" borderId="3" xfId="0" applyFont="1" applyFill="1" applyBorder="1" applyAlignment="1"/>
    <xf numFmtId="0" fontId="17" fillId="20" borderId="0" xfId="0" applyFont="1" applyFill="1" applyBorder="1" applyAlignment="1"/>
    <xf numFmtId="0" fontId="3" fillId="24" borderId="25" xfId="0" applyFont="1" applyFill="1" applyBorder="1" applyAlignment="1" applyProtection="1">
      <alignment horizontal="center" wrapText="1"/>
      <protection hidden="1"/>
    </xf>
    <xf numFmtId="37" fontId="5" fillId="27" borderId="12" xfId="0" applyNumberFormat="1" applyFont="1" applyFill="1" applyBorder="1" applyAlignment="1" applyProtection="1">
      <alignment horizontal="right"/>
      <protection hidden="1"/>
    </xf>
    <xf numFmtId="0" fontId="3" fillId="24" borderId="3" xfId="0" applyFont="1" applyFill="1" applyBorder="1" applyAlignment="1" applyProtection="1">
      <alignment horizontal="center" wrapText="1"/>
      <protection hidden="1"/>
    </xf>
    <xf numFmtId="0" fontId="3" fillId="24" borderId="0" xfId="0" applyFont="1" applyFill="1" applyBorder="1" applyAlignment="1" applyProtection="1">
      <alignment horizontal="center" wrapText="1"/>
      <protection hidden="1"/>
    </xf>
    <xf numFmtId="0" fontId="0" fillId="24" borderId="25" xfId="0" applyFill="1" applyBorder="1" applyAlignment="1" applyProtection="1">
      <alignment horizontal="center" wrapText="1"/>
      <protection hidden="1"/>
    </xf>
    <xf numFmtId="37" fontId="6" fillId="33" borderId="12" xfId="0" applyNumberFormat="1" applyFont="1" applyFill="1" applyBorder="1" applyAlignment="1" applyProtection="1">
      <alignment horizontal="right"/>
      <protection hidden="1"/>
    </xf>
    <xf numFmtId="0" fontId="10" fillId="33" borderId="1" xfId="0" quotePrefix="1" applyFont="1" applyFill="1" applyBorder="1" applyProtection="1">
      <protection hidden="1"/>
    </xf>
    <xf numFmtId="0" fontId="7" fillId="33" borderId="1" xfId="0" quotePrefix="1" applyFont="1" applyFill="1" applyBorder="1" applyProtection="1">
      <protection hidden="1"/>
    </xf>
    <xf numFmtId="0" fontId="6" fillId="33" borderId="1" xfId="0" applyFont="1" applyFill="1" applyBorder="1" applyProtection="1">
      <protection hidden="1"/>
    </xf>
    <xf numFmtId="0" fontId="0" fillId="33" borderId="1" xfId="0" applyFill="1" applyBorder="1" applyProtection="1">
      <protection hidden="1"/>
    </xf>
    <xf numFmtId="4" fontId="0" fillId="33" borderId="1" xfId="0" applyNumberFormat="1" applyFill="1" applyBorder="1" applyProtection="1">
      <protection hidden="1"/>
    </xf>
    <xf numFmtId="39" fontId="3" fillId="33" borderId="1" xfId="0" applyNumberFormat="1" applyFont="1" applyFill="1" applyBorder="1" applyProtection="1">
      <protection hidden="1"/>
    </xf>
    <xf numFmtId="0" fontId="6" fillId="33" borderId="13" xfId="0" applyFont="1" applyFill="1" applyBorder="1" applyAlignment="1" applyProtection="1">
      <alignment horizontal="center" vertical="center"/>
      <protection hidden="1"/>
    </xf>
    <xf numFmtId="0" fontId="7" fillId="19" borderId="31" xfId="0" applyFont="1" applyFill="1" applyBorder="1" applyAlignment="1" applyProtection="1">
      <alignment horizontal="center"/>
      <protection hidden="1"/>
    </xf>
    <xf numFmtId="0" fontId="7" fillId="19" borderId="3" xfId="0" applyFont="1" applyFill="1" applyBorder="1" applyAlignment="1" applyProtection="1">
      <alignment horizontal="center"/>
      <protection hidden="1"/>
    </xf>
    <xf numFmtId="39" fontId="3" fillId="3" borderId="0" xfId="0" applyNumberFormat="1" applyFont="1" applyFill="1" applyBorder="1" applyProtection="1">
      <protection hidden="1"/>
    </xf>
    <xf numFmtId="0" fontId="179" fillId="3" borderId="0" xfId="0" applyFont="1" applyFill="1" applyBorder="1" applyAlignment="1" applyProtection="1">
      <alignment horizontal="left"/>
      <protection hidden="1"/>
    </xf>
    <xf numFmtId="178" fontId="0" fillId="2" borderId="1" xfId="0" applyNumberFormat="1" applyFill="1" applyBorder="1" applyProtection="1">
      <protection locked="0"/>
    </xf>
    <xf numFmtId="37" fontId="4" fillId="2" borderId="1" xfId="0" applyNumberFormat="1" applyFont="1" applyFill="1" applyBorder="1" applyProtection="1">
      <protection locked="0"/>
    </xf>
    <xf numFmtId="37" fontId="5" fillId="31" borderId="1" xfId="0" applyNumberFormat="1" applyFont="1" applyFill="1" applyBorder="1" applyAlignment="1" applyProtection="1">
      <alignment horizontal="right"/>
      <protection hidden="1"/>
    </xf>
    <xf numFmtId="37" fontId="3" fillId="2" borderId="1" xfId="0" applyNumberFormat="1" applyFont="1" applyFill="1" applyBorder="1" applyAlignment="1" applyProtection="1">
      <protection locked="0"/>
    </xf>
    <xf numFmtId="1" fontId="1" fillId="3" borderId="0" xfId="0" applyNumberFormat="1" applyFont="1" applyFill="1" applyBorder="1" applyAlignment="1" applyProtection="1">
      <alignment horizontal="right"/>
      <protection hidden="1"/>
    </xf>
    <xf numFmtId="0" fontId="0" fillId="0" borderId="0" xfId="0" applyAlignment="1">
      <alignment horizontal="center"/>
    </xf>
    <xf numFmtId="177" fontId="34" fillId="0" borderId="0" xfId="0" applyNumberFormat="1" applyFont="1" applyFill="1" applyBorder="1" applyProtection="1">
      <protection hidden="1"/>
    </xf>
    <xf numFmtId="3" fontId="1" fillId="0" borderId="31" xfId="0" applyNumberFormat="1" applyFont="1" applyBorder="1" applyAlignment="1" applyProtection="1">
      <alignment horizontal="center"/>
      <protection hidden="1"/>
    </xf>
    <xf numFmtId="4" fontId="34" fillId="0" borderId="0" xfId="0" quotePrefix="1" applyNumberFormat="1" applyFont="1" applyFill="1" applyBorder="1" applyAlignment="1" applyProtection="1">
      <alignment horizontal="center"/>
      <protection hidden="1"/>
    </xf>
    <xf numFmtId="4" fontId="3" fillId="0" borderId="25" xfId="0" applyNumberFormat="1" applyFont="1" applyBorder="1" applyProtection="1">
      <protection hidden="1"/>
    </xf>
    <xf numFmtId="0" fontId="1" fillId="21" borderId="13" xfId="0" applyFont="1" applyFill="1" applyBorder="1" applyAlignment="1" applyProtection="1">
      <alignment horizontal="center"/>
      <protection locked="0"/>
    </xf>
    <xf numFmtId="3" fontId="19" fillId="2" borderId="0" xfId="0" applyNumberFormat="1" applyFont="1" applyFill="1" applyBorder="1" applyAlignment="1" applyProtection="1">
      <alignment horizontal="right"/>
      <protection hidden="1"/>
    </xf>
    <xf numFmtId="0" fontId="1" fillId="2" borderId="6" xfId="0" quotePrefix="1" applyFont="1" applyFill="1" applyBorder="1" applyAlignment="1" applyProtection="1">
      <alignment horizontal="right"/>
      <protection hidden="1"/>
    </xf>
    <xf numFmtId="0" fontId="161" fillId="2" borderId="0" xfId="0" applyFont="1" applyFill="1" applyBorder="1" applyProtection="1">
      <protection hidden="1"/>
    </xf>
    <xf numFmtId="4" fontId="161" fillId="2" borderId="0" xfId="0" applyNumberFormat="1" applyFont="1" applyFill="1" applyBorder="1" applyProtection="1">
      <protection hidden="1"/>
    </xf>
    <xf numFmtId="3" fontId="161" fillId="2" borderId="0" xfId="0" applyNumberFormat="1" applyFont="1" applyFill="1" applyBorder="1" applyProtection="1">
      <protection hidden="1"/>
    </xf>
    <xf numFmtId="1" fontId="161" fillId="2" borderId="0" xfId="0" applyNumberFormat="1" applyFont="1" applyFill="1" applyBorder="1" applyProtection="1">
      <protection hidden="1"/>
    </xf>
    <xf numFmtId="0" fontId="186" fillId="2" borderId="0" xfId="0" applyFont="1" applyFill="1" applyBorder="1" applyProtection="1">
      <protection hidden="1"/>
    </xf>
    <xf numFmtId="177" fontId="0" fillId="0" borderId="0" xfId="0" applyNumberFormat="1"/>
    <xf numFmtId="3" fontId="1" fillId="2" borderId="0" xfId="0" quotePrefix="1" applyNumberFormat="1" applyFont="1" applyFill="1" applyBorder="1" applyAlignment="1" applyProtection="1">
      <alignment horizontal="right"/>
      <protection hidden="1"/>
    </xf>
    <xf numFmtId="3" fontId="187" fillId="2" borderId="0" xfId="0" applyNumberFormat="1" applyFont="1" applyFill="1" applyBorder="1" applyProtection="1">
      <protection hidden="1"/>
    </xf>
    <xf numFmtId="0" fontId="186" fillId="2" borderId="0" xfId="0" applyFont="1" applyFill="1" applyBorder="1" applyAlignment="1" applyProtection="1">
      <alignment horizontal="center"/>
      <protection hidden="1"/>
    </xf>
    <xf numFmtId="1" fontId="23" fillId="2" borderId="0" xfId="0" applyNumberFormat="1" applyFont="1" applyFill="1" applyBorder="1" applyAlignment="1" applyProtection="1">
      <alignment horizontal="right"/>
      <protection hidden="1"/>
    </xf>
    <xf numFmtId="179" fontId="31" fillId="2" borderId="0" xfId="0" applyNumberFormat="1" applyFont="1" applyFill="1" applyBorder="1" applyAlignment="1" applyProtection="1">
      <alignment horizontal="center"/>
      <protection hidden="1"/>
    </xf>
    <xf numFmtId="0" fontId="161" fillId="2" borderId="5" xfId="0" applyFont="1" applyFill="1" applyBorder="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4" fillId="32" borderId="11" xfId="0" applyFont="1" applyFill="1" applyBorder="1" applyAlignment="1" applyProtection="1">
      <alignment horizontal="center" vertical="center"/>
      <protection hidden="1"/>
    </xf>
    <xf numFmtId="0" fontId="163" fillId="0" borderId="0" xfId="0" applyFont="1" applyAlignment="1" applyProtection="1">
      <alignment horizontal="right"/>
      <protection hidden="1"/>
    </xf>
    <xf numFmtId="37" fontId="5" fillId="3" borderId="9" xfId="0" applyNumberFormat="1" applyFont="1" applyFill="1" applyBorder="1" applyAlignment="1" applyProtection="1">
      <alignment horizontal="right"/>
      <protection locked="0"/>
    </xf>
    <xf numFmtId="0" fontId="6" fillId="3" borderId="2" xfId="0" applyFont="1" applyFill="1" applyBorder="1" applyAlignment="1" applyProtection="1">
      <alignment horizontal="center" vertical="center"/>
      <protection hidden="1"/>
    </xf>
    <xf numFmtId="4" fontId="174" fillId="3" borderId="3" xfId="0" applyNumberFormat="1" applyFont="1" applyFill="1" applyBorder="1" applyProtection="1">
      <protection hidden="1"/>
    </xf>
    <xf numFmtId="3" fontId="7" fillId="33" borderId="10" xfId="0" applyNumberFormat="1" applyFont="1" applyFill="1" applyBorder="1" applyProtection="1">
      <protection hidden="1"/>
    </xf>
    <xf numFmtId="3" fontId="191" fillId="5" borderId="0" xfId="0" applyNumberFormat="1" applyFont="1" applyFill="1" applyProtection="1">
      <protection hidden="1"/>
    </xf>
    <xf numFmtId="0" fontId="191" fillId="5" borderId="0" xfId="0" applyFont="1" applyFill="1" applyProtection="1">
      <protection hidden="1"/>
    </xf>
    <xf numFmtId="37" fontId="174" fillId="3" borderId="31" xfId="0" applyNumberFormat="1" applyFont="1" applyFill="1" applyBorder="1" applyAlignment="1" applyProtection="1">
      <alignment horizontal="right"/>
      <protection hidden="1"/>
    </xf>
    <xf numFmtId="37" fontId="191" fillId="5" borderId="0" xfId="0" applyNumberFormat="1" applyFont="1" applyFill="1" applyProtection="1">
      <protection hidden="1"/>
    </xf>
    <xf numFmtId="4" fontId="163" fillId="0" borderId="0" xfId="0" applyNumberFormat="1" applyFont="1" applyAlignment="1" applyProtection="1">
      <alignment horizontal="left"/>
      <protection hidden="1"/>
    </xf>
    <xf numFmtId="168" fontId="8" fillId="3" borderId="0" xfId="0" applyNumberFormat="1" applyFont="1" applyFill="1" applyBorder="1" applyAlignment="1" applyProtection="1">
      <alignment horizontal="center"/>
      <protection hidden="1"/>
    </xf>
    <xf numFmtId="3" fontId="163" fillId="0" borderId="0" xfId="0" applyNumberFormat="1" applyFont="1" applyAlignment="1" applyProtection="1">
      <alignment horizontal="right"/>
      <protection hidden="1"/>
    </xf>
    <xf numFmtId="3" fontId="163" fillId="0" borderId="0" xfId="0" applyNumberFormat="1" applyFont="1" applyBorder="1" applyAlignment="1" applyProtection="1">
      <alignment horizontal="right"/>
      <protection hidden="1"/>
    </xf>
    <xf numFmtId="4" fontId="163" fillId="0" borderId="0" xfId="0" applyNumberFormat="1" applyFont="1" applyAlignment="1" applyProtection="1">
      <alignment horizontal="right"/>
      <protection hidden="1"/>
    </xf>
    <xf numFmtId="37" fontId="163" fillId="3" borderId="31" xfId="0" applyNumberFormat="1" applyFont="1" applyFill="1" applyBorder="1" applyAlignment="1" applyProtection="1">
      <alignment horizontal="right"/>
      <protection hidden="1"/>
    </xf>
    <xf numFmtId="37" fontId="163" fillId="3" borderId="3" xfId="0" applyNumberFormat="1" applyFont="1" applyFill="1" applyBorder="1" applyAlignment="1" applyProtection="1">
      <alignment horizontal="right"/>
      <protection hidden="1"/>
    </xf>
    <xf numFmtId="0" fontId="16" fillId="2" borderId="2" xfId="0" applyFont="1" applyFill="1" applyBorder="1" applyAlignment="1" applyProtection="1">
      <alignment horizontal="center" vertical="center"/>
      <protection locked="0"/>
    </xf>
    <xf numFmtId="3" fontId="163" fillId="0" borderId="0" xfId="0" applyNumberFormat="1" applyFont="1" applyProtection="1">
      <protection hidden="1"/>
    </xf>
    <xf numFmtId="3" fontId="163" fillId="0" borderId="0" xfId="0" applyNumberFormat="1" applyFont="1" applyFill="1" applyProtection="1">
      <protection hidden="1"/>
    </xf>
    <xf numFmtId="39" fontId="163" fillId="3" borderId="3" xfId="0" applyNumberFormat="1" applyFont="1" applyFill="1" applyBorder="1" applyAlignment="1" applyProtection="1">
      <alignment horizontal="right"/>
      <protection hidden="1"/>
    </xf>
    <xf numFmtId="0" fontId="171" fillId="5" borderId="0" xfId="0" applyFont="1" applyFill="1" applyProtection="1">
      <protection hidden="1"/>
    </xf>
    <xf numFmtId="3" fontId="174" fillId="3" borderId="0" xfId="0" applyNumberFormat="1" applyFont="1" applyFill="1" applyBorder="1" applyAlignment="1" applyProtection="1">
      <alignment horizontal="right"/>
      <protection hidden="1"/>
    </xf>
    <xf numFmtId="0" fontId="186" fillId="3" borderId="3" xfId="0" applyFont="1" applyFill="1" applyBorder="1" applyAlignment="1" applyProtection="1">
      <alignment horizontal="right"/>
      <protection hidden="1"/>
    </xf>
    <xf numFmtId="39" fontId="163" fillId="3" borderId="0" xfId="0" applyNumberFormat="1" applyFont="1" applyFill="1" applyBorder="1" applyAlignment="1" applyProtection="1">
      <alignment horizontal="right"/>
      <protection hidden="1"/>
    </xf>
    <xf numFmtId="4" fontId="1" fillId="3" borderId="0" xfId="0" applyNumberFormat="1" applyFont="1" applyFill="1" applyBorder="1" applyAlignment="1" applyProtection="1">
      <alignment horizontal="right"/>
      <protection hidden="1"/>
    </xf>
    <xf numFmtId="37" fontId="6" fillId="3" borderId="0" xfId="0" applyNumberFormat="1" applyFont="1" applyFill="1" applyBorder="1" applyAlignment="1" applyProtection="1">
      <alignment horizontal="left"/>
      <protection hidden="1"/>
    </xf>
    <xf numFmtId="4" fontId="6" fillId="3" borderId="0" xfId="0" applyNumberFormat="1" applyFont="1" applyFill="1" applyBorder="1" applyAlignment="1" applyProtection="1">
      <alignment horizontal="left"/>
      <protection hidden="1"/>
    </xf>
    <xf numFmtId="0" fontId="1" fillId="5" borderId="0" xfId="0" applyFont="1" applyFill="1" applyAlignment="1" applyProtection="1">
      <alignment horizontal="center"/>
      <protection hidden="1"/>
    </xf>
    <xf numFmtId="0" fontId="193" fillId="5" borderId="0" xfId="0" applyFont="1" applyFill="1" applyProtection="1">
      <protection hidden="1"/>
    </xf>
    <xf numFmtId="0" fontId="194" fillId="5" borderId="0" xfId="0" applyFont="1" applyFill="1" applyProtection="1">
      <protection hidden="1"/>
    </xf>
    <xf numFmtId="0" fontId="5" fillId="2" borderId="0" xfId="0" applyFont="1" applyFill="1" applyBorder="1" applyAlignment="1" applyProtection="1">
      <protection hidden="1"/>
    </xf>
    <xf numFmtId="0" fontId="5" fillId="2" borderId="3" xfId="0" applyFont="1" applyFill="1" applyBorder="1" applyAlignment="1" applyProtection="1">
      <protection hidden="1"/>
    </xf>
    <xf numFmtId="38" fontId="160" fillId="7" borderId="13" xfId="0" applyNumberFormat="1" applyFont="1" applyFill="1" applyBorder="1" applyProtection="1">
      <protection hidden="1"/>
    </xf>
    <xf numFmtId="38" fontId="160" fillId="7" borderId="40" xfId="0" applyNumberFormat="1" applyFont="1" applyFill="1" applyBorder="1" applyProtection="1">
      <protection hidden="1"/>
    </xf>
    <xf numFmtId="3" fontId="6" fillId="2" borderId="2" xfId="0" applyNumberFormat="1" applyFont="1" applyFill="1" applyBorder="1" applyAlignment="1" applyProtection="1">
      <alignment horizontal="right"/>
      <protection locked="0"/>
    </xf>
    <xf numFmtId="38" fontId="6" fillId="32" borderId="13" xfId="0" applyNumberFormat="1" applyFont="1" applyFill="1" applyBorder="1" applyProtection="1">
      <protection hidden="1"/>
    </xf>
    <xf numFmtId="4" fontId="1" fillId="3" borderId="0" xfId="0" applyNumberFormat="1" applyFont="1" applyFill="1" applyBorder="1" applyAlignment="1" applyProtection="1">
      <alignment horizontal="center"/>
      <protection hidden="1"/>
    </xf>
    <xf numFmtId="4" fontId="8" fillId="7" borderId="25" xfId="0" applyNumberFormat="1" applyFont="1" applyFill="1" applyBorder="1" applyProtection="1">
      <protection hidden="1"/>
    </xf>
    <xf numFmtId="0" fontId="3" fillId="5" borderId="0" xfId="0" applyFont="1" applyFill="1"/>
    <xf numFmtId="0" fontId="2" fillId="2" borderId="26" xfId="0" applyFont="1" applyFill="1" applyBorder="1" applyAlignment="1" applyProtection="1">
      <alignment vertical="center"/>
      <protection hidden="1"/>
    </xf>
    <xf numFmtId="0" fontId="1" fillId="2" borderId="5" xfId="0" applyFont="1" applyFill="1" applyBorder="1" applyAlignment="1" applyProtection="1">
      <alignment vertical="center"/>
      <protection hidden="1"/>
    </xf>
    <xf numFmtId="0" fontId="1" fillId="2" borderId="73" xfId="0" applyFont="1" applyFill="1" applyBorder="1" applyAlignment="1" applyProtection="1">
      <alignment horizontal="right" vertical="center"/>
      <protection hidden="1"/>
    </xf>
    <xf numFmtId="0" fontId="1" fillId="2" borderId="0" xfId="0" applyFont="1" applyFill="1" applyAlignment="1" applyProtection="1">
      <alignment horizontal="right" vertical="center"/>
      <protection hidden="1"/>
    </xf>
    <xf numFmtId="0" fontId="1" fillId="2" borderId="0" xfId="0" applyFont="1" applyFill="1" applyAlignment="1" applyProtection="1">
      <protection hidden="1"/>
    </xf>
    <xf numFmtId="0" fontId="0" fillId="2" borderId="5" xfId="0" applyFill="1" applyBorder="1" applyAlignment="1" applyProtection="1">
      <alignment vertical="top"/>
      <protection hidden="1"/>
    </xf>
    <xf numFmtId="0" fontId="3" fillId="2" borderId="0" xfId="0" applyFont="1" applyFill="1" applyBorder="1" applyAlignment="1" applyProtection="1">
      <protection hidden="1"/>
    </xf>
    <xf numFmtId="0" fontId="181" fillId="20" borderId="0" xfId="0" applyFont="1" applyFill="1" applyBorder="1" applyProtection="1">
      <protection hidden="1"/>
    </xf>
    <xf numFmtId="0" fontId="3" fillId="0" borderId="0" xfId="0" applyFont="1"/>
    <xf numFmtId="0" fontId="0" fillId="20" borderId="74" xfId="0" applyFill="1" applyBorder="1" applyProtection="1">
      <protection hidden="1"/>
    </xf>
    <xf numFmtId="0" fontId="0" fillId="20" borderId="17" xfId="0" applyFill="1" applyBorder="1" applyProtection="1">
      <protection hidden="1"/>
    </xf>
    <xf numFmtId="0" fontId="0" fillId="20" borderId="33" xfId="0" applyFill="1" applyBorder="1" applyProtection="1">
      <protection hidden="1"/>
    </xf>
    <xf numFmtId="0" fontId="0" fillId="20" borderId="113" xfId="0" applyFill="1" applyBorder="1" applyProtection="1">
      <protection hidden="1"/>
    </xf>
    <xf numFmtId="0" fontId="0" fillId="20" borderId="79" xfId="0" applyFill="1" applyBorder="1" applyProtection="1">
      <protection hidden="1"/>
    </xf>
    <xf numFmtId="0" fontId="195" fillId="20" borderId="0" xfId="0" applyFont="1" applyFill="1" applyBorder="1" applyAlignment="1" applyProtection="1">
      <alignment horizontal="center" vertical="center"/>
      <protection hidden="1"/>
    </xf>
    <xf numFmtId="0" fontId="0" fillId="20" borderId="0" xfId="0" applyFill="1" applyBorder="1" applyAlignment="1" applyProtection="1">
      <alignment horizontal="center" vertical="center"/>
      <protection hidden="1"/>
    </xf>
    <xf numFmtId="0" fontId="0" fillId="20" borderId="75" xfId="0" applyFill="1" applyBorder="1" applyProtection="1">
      <protection hidden="1"/>
    </xf>
    <xf numFmtId="0" fontId="0" fillId="20" borderId="14" xfId="0" applyFill="1" applyBorder="1" applyProtection="1">
      <protection hidden="1"/>
    </xf>
    <xf numFmtId="0" fontId="0" fillId="20" borderId="34" xfId="0" applyFill="1" applyBorder="1" applyProtection="1">
      <protection hidden="1"/>
    </xf>
    <xf numFmtId="0" fontId="196" fillId="20" borderId="0" xfId="0" applyFont="1" applyFill="1" applyProtection="1">
      <protection hidden="1"/>
    </xf>
    <xf numFmtId="0" fontId="8" fillId="2" borderId="0" xfId="0" applyFont="1" applyFill="1" applyBorder="1" applyAlignment="1">
      <alignment horizontal="left" vertical="top"/>
    </xf>
    <xf numFmtId="0" fontId="8" fillId="2" borderId="0" xfId="0" applyFont="1" applyFill="1" applyBorder="1" applyAlignment="1" applyProtection="1">
      <alignment horizontal="left" vertical="center"/>
      <protection hidden="1"/>
    </xf>
    <xf numFmtId="0" fontId="8" fillId="2" borderId="0" xfId="0" applyFont="1" applyFill="1" applyBorder="1" applyAlignment="1" applyProtection="1">
      <alignment horizontal="left" vertical="top"/>
      <protection hidden="1"/>
    </xf>
    <xf numFmtId="38" fontId="5" fillId="32" borderId="1" xfId="0" applyNumberFormat="1" applyFont="1" applyFill="1" applyBorder="1" applyProtection="1">
      <protection hidden="1"/>
    </xf>
    <xf numFmtId="38" fontId="5" fillId="21" borderId="1" xfId="0" applyNumberFormat="1" applyFont="1" applyFill="1" applyBorder="1" applyProtection="1">
      <protection locked="0"/>
    </xf>
    <xf numFmtId="164" fontId="4" fillId="2" borderId="0" xfId="0" applyNumberFormat="1" applyFont="1" applyFill="1" applyBorder="1" applyAlignment="1" applyProtection="1">
      <alignment horizontal="right" vertical="center"/>
      <protection hidden="1"/>
    </xf>
    <xf numFmtId="0" fontId="1" fillId="2" borderId="0" xfId="0" applyFont="1" applyFill="1" applyBorder="1" applyAlignment="1" applyProtection="1">
      <alignment horizontal="center" vertical="center"/>
      <protection locked="0"/>
    </xf>
    <xf numFmtId="38" fontId="19" fillId="32" borderId="1" xfId="0" applyNumberFormat="1" applyFont="1" applyFill="1" applyBorder="1" applyAlignment="1" applyProtection="1">
      <alignment horizontal="right"/>
      <protection hidden="1"/>
    </xf>
    <xf numFmtId="164" fontId="4" fillId="32" borderId="2" xfId="0" applyNumberFormat="1" applyFont="1" applyFill="1" applyBorder="1" applyAlignment="1" applyProtection="1">
      <alignment horizontal="center" vertical="center"/>
      <protection hidden="1"/>
    </xf>
    <xf numFmtId="164" fontId="1" fillId="21" borderId="2" xfId="0" applyNumberFormat="1" applyFont="1" applyFill="1" applyBorder="1" applyAlignment="1" applyProtection="1">
      <alignment horizontal="center" vertical="center"/>
      <protection locked="0"/>
    </xf>
    <xf numFmtId="39" fontId="174" fillId="2" borderId="0" xfId="0" applyNumberFormat="1" applyFont="1" applyFill="1" applyBorder="1" applyProtection="1">
      <protection hidden="1"/>
    </xf>
    <xf numFmtId="37" fontId="5" fillId="32" borderId="1" xfId="0" applyNumberFormat="1" applyFont="1" applyFill="1" applyBorder="1" applyProtection="1">
      <protection hidden="1"/>
    </xf>
    <xf numFmtId="37" fontId="5" fillId="21" borderId="1" xfId="0" applyNumberFormat="1" applyFont="1" applyFill="1" applyBorder="1" applyProtection="1">
      <protection locked="0"/>
    </xf>
    <xf numFmtId="0" fontId="6" fillId="32" borderId="2" xfId="0" applyFont="1" applyFill="1" applyBorder="1" applyAlignment="1" applyProtection="1">
      <alignment horizontal="center" vertical="center"/>
      <protection hidden="1"/>
    </xf>
    <xf numFmtId="0" fontId="197" fillId="3" borderId="0" xfId="4" applyFont="1" applyFill="1" applyAlignment="1">
      <alignment horizontal="right"/>
    </xf>
    <xf numFmtId="3" fontId="1" fillId="2" borderId="80" xfId="4" applyNumberFormat="1" applyFont="1" applyFill="1" applyBorder="1" applyAlignment="1" applyProtection="1">
      <alignment horizontal="right" vertical="center"/>
      <protection locked="0"/>
    </xf>
    <xf numFmtId="3" fontId="1" fillId="2" borderId="80" xfId="4" applyNumberFormat="1" applyFont="1" applyFill="1" applyBorder="1" applyAlignment="1" applyProtection="1">
      <alignment horizontal="left" vertical="center"/>
      <protection locked="0"/>
    </xf>
    <xf numFmtId="3" fontId="3" fillId="30" borderId="13" xfId="4" applyNumberFormat="1" applyFont="1" applyFill="1" applyBorder="1" applyAlignment="1" applyProtection="1">
      <alignment horizontal="right" vertical="center"/>
      <protection hidden="1"/>
    </xf>
    <xf numFmtId="3" fontId="3" fillId="30" borderId="13" xfId="4" applyNumberFormat="1" applyFont="1" applyFill="1" applyBorder="1" applyAlignment="1" applyProtection="1">
      <alignment horizontal="right"/>
      <protection locked="0"/>
    </xf>
    <xf numFmtId="0" fontId="4" fillId="30" borderId="2" xfId="4" applyFont="1" applyFill="1" applyBorder="1" applyAlignment="1" applyProtection="1">
      <alignment horizontal="center" vertical="center"/>
      <protection hidden="1"/>
    </xf>
    <xf numFmtId="0" fontId="3" fillId="30" borderId="1" xfId="4" applyFont="1" applyFill="1" applyBorder="1" applyAlignment="1" applyProtection="1">
      <alignment horizontal="center" vertical="center"/>
      <protection locked="0"/>
    </xf>
    <xf numFmtId="0" fontId="3" fillId="30" borderId="1" xfId="4" applyFont="1" applyFill="1" applyBorder="1" applyAlignment="1" applyProtection="1">
      <alignment horizontal="right"/>
      <protection hidden="1"/>
    </xf>
    <xf numFmtId="3" fontId="3" fillId="30" borderId="1" xfId="4" applyNumberFormat="1" applyFont="1" applyFill="1" applyBorder="1" applyAlignment="1" applyProtection="1">
      <alignment horizontal="right"/>
      <protection hidden="1"/>
    </xf>
    <xf numFmtId="0" fontId="3" fillId="21" borderId="1" xfId="4" applyFont="1" applyFill="1" applyBorder="1" applyAlignment="1" applyProtection="1">
      <alignment horizontal="right"/>
      <protection locked="0"/>
    </xf>
    <xf numFmtId="3" fontId="3" fillId="32" borderId="13" xfId="4" applyNumberFormat="1" applyFont="1" applyFill="1" applyBorder="1" applyAlignment="1" applyProtection="1">
      <alignment horizontal="right" vertical="center"/>
      <protection hidden="1"/>
    </xf>
    <xf numFmtId="40" fontId="4" fillId="32" borderId="13" xfId="4" applyNumberFormat="1" applyFont="1" applyFill="1" applyBorder="1" applyAlignment="1" applyProtection="1">
      <alignment horizontal="center" vertical="center"/>
      <protection hidden="1"/>
    </xf>
    <xf numFmtId="3" fontId="3" fillId="21" borderId="13" xfId="4" applyNumberFormat="1" applyFont="1" applyFill="1" applyBorder="1" applyAlignment="1" applyProtection="1">
      <alignment horizontal="right"/>
      <protection locked="0"/>
    </xf>
    <xf numFmtId="3" fontId="3" fillId="30" borderId="60" xfId="4" applyNumberFormat="1" applyFont="1" applyFill="1" applyBorder="1" applyAlignment="1" applyProtection="1">
      <alignment horizontal="right" vertical="center"/>
      <protection hidden="1"/>
    </xf>
    <xf numFmtId="37" fontId="5" fillId="33" borderId="10" xfId="0" applyNumberFormat="1" applyFont="1" applyFill="1" applyBorder="1" applyAlignment="1" applyProtection="1">
      <alignment horizontal="right"/>
      <protection hidden="1"/>
    </xf>
    <xf numFmtId="37" fontId="5" fillId="25" borderId="10" xfId="0" applyNumberFormat="1" applyFont="1" applyFill="1" applyBorder="1" applyAlignment="1" applyProtection="1">
      <alignment horizontal="right"/>
      <protection locked="0"/>
    </xf>
    <xf numFmtId="37" fontId="5" fillId="33" borderId="3" xfId="0" applyNumberFormat="1" applyFont="1" applyFill="1" applyBorder="1" applyAlignment="1" applyProtection="1">
      <alignment horizontal="right"/>
      <protection hidden="1"/>
    </xf>
    <xf numFmtId="37" fontId="5" fillId="33" borderId="53" xfId="0" applyNumberFormat="1" applyFont="1" applyFill="1" applyBorder="1" applyAlignment="1" applyProtection="1">
      <alignment horizontal="right"/>
      <protection hidden="1"/>
    </xf>
    <xf numFmtId="0" fontId="0" fillId="2" borderId="0" xfId="0" applyFill="1" applyBorder="1" applyAlignment="1" applyProtection="1">
      <protection hidden="1"/>
    </xf>
    <xf numFmtId="0" fontId="0" fillId="2" borderId="0" xfId="0" applyFill="1" applyAlignment="1" applyProtection="1">
      <protection hidden="1"/>
    </xf>
    <xf numFmtId="0" fontId="0" fillId="0" borderId="0" xfId="0" applyAlignment="1" applyProtection="1">
      <alignment horizontal="center"/>
      <protection hidden="1"/>
    </xf>
    <xf numFmtId="0" fontId="3" fillId="2" borderId="0" xfId="0" applyFont="1" applyFill="1" applyBorder="1" applyAlignment="1" applyProtection="1">
      <protection hidden="1"/>
    </xf>
    <xf numFmtId="0" fontId="0" fillId="0" borderId="0" xfId="0" applyAlignment="1" applyProtection="1">
      <protection hidden="1"/>
    </xf>
    <xf numFmtId="0" fontId="55" fillId="2" borderId="0" xfId="0" applyFont="1" applyFill="1" applyAlignment="1" applyProtection="1">
      <protection hidden="1"/>
    </xf>
    <xf numFmtId="0" fontId="3" fillId="2" borderId="0" xfId="0" applyFont="1" applyFill="1" applyAlignment="1" applyProtection="1">
      <protection hidden="1"/>
    </xf>
    <xf numFmtId="0" fontId="3" fillId="2" borderId="0" xfId="0" applyFont="1" applyFill="1" applyBorder="1" applyAlignment="1" applyProtection="1">
      <alignment vertical="center"/>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5" fillId="23" borderId="0" xfId="0" applyFont="1" applyFill="1" applyAlignment="1" applyProtection="1">
      <protection hidden="1"/>
    </xf>
    <xf numFmtId="0" fontId="1" fillId="3" borderId="11" xfId="0" applyFont="1" applyFill="1" applyBorder="1" applyAlignment="1" applyProtection="1">
      <alignment horizontal="center"/>
      <protection hidden="1"/>
    </xf>
    <xf numFmtId="0" fontId="8" fillId="29" borderId="0" xfId="0" applyFont="1" applyFill="1" applyBorder="1" applyProtection="1">
      <protection hidden="1"/>
    </xf>
    <xf numFmtId="0" fontId="1" fillId="0" borderId="0" xfId="0" applyFont="1" applyAlignment="1" applyProtection="1">
      <alignment horizontal="right"/>
      <protection hidden="1"/>
    </xf>
    <xf numFmtId="0" fontId="1" fillId="20" borderId="8" xfId="0" applyFont="1" applyFill="1" applyBorder="1" applyAlignment="1" applyProtection="1">
      <alignment horizontal="left"/>
      <protection hidden="1"/>
    </xf>
    <xf numFmtId="0" fontId="8" fillId="20" borderId="0" xfId="0" applyFont="1" applyFill="1" applyBorder="1" applyAlignment="1" applyProtection="1">
      <alignment horizontal="left"/>
      <protection hidden="1"/>
    </xf>
    <xf numFmtId="0" fontId="1" fillId="20" borderId="22" xfId="0" applyFont="1" applyFill="1" applyBorder="1" applyAlignment="1" applyProtection="1">
      <alignment horizontal="right"/>
      <protection hidden="1"/>
    </xf>
    <xf numFmtId="0" fontId="1" fillId="20" borderId="24" xfId="0" applyFont="1" applyFill="1" applyBorder="1" applyAlignment="1" applyProtection="1">
      <alignment horizontal="right"/>
      <protection hidden="1"/>
    </xf>
    <xf numFmtId="0" fontId="10" fillId="20" borderId="6" xfId="0" applyFont="1" applyFill="1" applyBorder="1" applyAlignment="1" applyProtection="1">
      <alignment horizontal="left"/>
      <protection hidden="1"/>
    </xf>
    <xf numFmtId="0" fontId="24" fillId="20" borderId="0" xfId="0" applyFont="1" applyFill="1" applyBorder="1" applyAlignment="1" applyProtection="1">
      <alignment horizontal="right"/>
      <protection hidden="1"/>
    </xf>
    <xf numFmtId="0" fontId="1" fillId="29" borderId="24" xfId="0" applyFont="1" applyFill="1" applyBorder="1" applyAlignment="1" applyProtection="1">
      <alignment horizontal="right"/>
      <protection hidden="1"/>
    </xf>
    <xf numFmtId="0" fontId="0" fillId="29" borderId="8" xfId="0" applyFill="1" applyBorder="1" applyProtection="1">
      <protection hidden="1"/>
    </xf>
    <xf numFmtId="0" fontId="11" fillId="29" borderId="6" xfId="0" quotePrefix="1" applyFont="1" applyFill="1" applyBorder="1" applyAlignment="1" applyProtection="1">
      <alignment horizontal="right"/>
      <protection hidden="1"/>
    </xf>
    <xf numFmtId="0" fontId="0" fillId="29" borderId="0" xfId="0" applyFill="1" applyBorder="1" applyProtection="1">
      <protection hidden="1"/>
    </xf>
    <xf numFmtId="0" fontId="11" fillId="29" borderId="0" xfId="0" quotePrefix="1" applyFont="1" applyFill="1" applyBorder="1" applyAlignment="1" applyProtection="1">
      <alignment horizontal="right"/>
      <protection hidden="1"/>
    </xf>
    <xf numFmtId="0" fontId="1" fillId="29" borderId="6" xfId="0" applyFont="1" applyFill="1" applyBorder="1" applyAlignment="1" applyProtection="1">
      <alignment horizontal="right"/>
      <protection hidden="1"/>
    </xf>
    <xf numFmtId="0" fontId="0" fillId="29" borderId="5" xfId="0" applyFill="1" applyBorder="1" applyProtection="1">
      <protection hidden="1"/>
    </xf>
    <xf numFmtId="0" fontId="0" fillId="29" borderId="6" xfId="0" applyFill="1" applyBorder="1" applyProtection="1">
      <protection hidden="1"/>
    </xf>
    <xf numFmtId="0" fontId="11" fillId="29" borderId="0" xfId="0" applyFont="1" applyFill="1" applyBorder="1" applyProtection="1">
      <protection hidden="1"/>
    </xf>
    <xf numFmtId="0" fontId="190" fillId="29" borderId="0" xfId="0" applyFont="1" applyFill="1" applyBorder="1" applyAlignment="1" applyProtection="1">
      <alignment horizontal="center" vertical="center"/>
      <protection hidden="1"/>
    </xf>
    <xf numFmtId="0" fontId="8" fillId="29" borderId="0" xfId="0" applyFont="1" applyFill="1" applyBorder="1" applyAlignment="1" applyProtection="1">
      <alignment vertical="center"/>
      <protection hidden="1"/>
    </xf>
    <xf numFmtId="0" fontId="188" fillId="29" borderId="0" xfId="0" applyFont="1" applyFill="1" applyBorder="1" applyProtection="1">
      <protection hidden="1"/>
    </xf>
    <xf numFmtId="0" fontId="8" fillId="29" borderId="0" xfId="0" applyFont="1" applyFill="1" applyBorder="1" applyAlignment="1" applyProtection="1">
      <alignment vertical="top"/>
      <protection hidden="1"/>
    </xf>
    <xf numFmtId="3" fontId="189" fillId="34" borderId="9" xfId="0" applyNumberFormat="1" applyFont="1" applyFill="1" applyBorder="1" applyProtection="1">
      <protection hidden="1"/>
    </xf>
    <xf numFmtId="0" fontId="1" fillId="29" borderId="22" xfId="0" applyFont="1" applyFill="1" applyBorder="1" applyAlignment="1" applyProtection="1">
      <alignment horizontal="right"/>
      <protection hidden="1"/>
    </xf>
    <xf numFmtId="0" fontId="0" fillId="29" borderId="23" xfId="0" applyFill="1" applyBorder="1" applyProtection="1">
      <protection hidden="1"/>
    </xf>
    <xf numFmtId="3" fontId="7" fillId="33" borderId="1" xfId="0" applyNumberFormat="1" applyFont="1" applyFill="1" applyBorder="1" applyProtection="1">
      <protection hidden="1"/>
    </xf>
    <xf numFmtId="0" fontId="6" fillId="23" borderId="0" xfId="0" applyFont="1" applyFill="1" applyAlignment="1" applyProtection="1">
      <alignment vertical="center"/>
      <protection hidden="1"/>
    </xf>
    <xf numFmtId="0" fontId="8" fillId="23" borderId="9" xfId="0" applyFont="1" applyFill="1" applyBorder="1" applyAlignment="1" applyProtection="1">
      <alignment horizontal="center" vertical="center"/>
      <protection hidden="1"/>
    </xf>
    <xf numFmtId="0" fontId="6" fillId="23" borderId="9" xfId="0" applyFont="1" applyFill="1" applyBorder="1" applyAlignment="1" applyProtection="1">
      <alignment horizontal="left" vertical="center"/>
      <protection hidden="1"/>
    </xf>
    <xf numFmtId="1" fontId="8" fillId="23" borderId="0" xfId="0" applyNumberFormat="1" applyFont="1" applyFill="1" applyBorder="1" applyAlignment="1" applyProtection="1">
      <alignment horizontal="right" vertical="center"/>
      <protection hidden="1"/>
    </xf>
    <xf numFmtId="0" fontId="5" fillId="2" borderId="0" xfId="0" applyFont="1" applyFill="1" applyBorder="1" applyAlignment="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37" fontId="5" fillId="32" borderId="0"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168" fontId="5" fillId="3" borderId="0" xfId="0" applyNumberFormat="1" applyFont="1" applyFill="1" applyBorder="1" applyAlignment="1" applyProtection="1">
      <alignment horizontal="right"/>
      <protection hidden="1"/>
    </xf>
    <xf numFmtId="173" fontId="161" fillId="3" borderId="3" xfId="0" applyNumberFormat="1" applyFont="1" applyFill="1" applyBorder="1" applyAlignment="1" applyProtection="1">
      <alignment horizontal="right"/>
      <protection hidden="1"/>
    </xf>
    <xf numFmtId="4" fontId="8" fillId="3" borderId="16" xfId="0" applyNumberFormat="1" applyFont="1" applyFill="1" applyBorder="1" applyAlignment="1" applyProtection="1">
      <alignment horizontal="left"/>
      <protection hidden="1"/>
    </xf>
    <xf numFmtId="0" fontId="5" fillId="3" borderId="0" xfId="0" quotePrefix="1" applyFont="1" applyFill="1" applyBorder="1" applyAlignment="1" applyProtection="1">
      <alignment horizontal="left"/>
      <protection hidden="1"/>
    </xf>
    <xf numFmtId="0" fontId="161" fillId="3" borderId="0" xfId="0" applyFont="1" applyFill="1" applyBorder="1" applyAlignment="1" applyProtection="1">
      <alignment horizontal="right"/>
      <protection hidden="1"/>
    </xf>
    <xf numFmtId="0" fontId="198" fillId="2" borderId="3" xfId="0" applyFont="1" applyFill="1" applyBorder="1" applyProtection="1">
      <protection hidden="1"/>
    </xf>
    <xf numFmtId="0" fontId="1" fillId="2" borderId="3" xfId="0" applyFont="1" applyFill="1" applyBorder="1" applyProtection="1">
      <protection hidden="1"/>
    </xf>
    <xf numFmtId="4" fontId="160" fillId="0" borderId="0" xfId="0" applyNumberFormat="1" applyFont="1" applyFill="1" applyBorder="1" applyProtection="1">
      <protection hidden="1"/>
    </xf>
    <xf numFmtId="0" fontId="6" fillId="21" borderId="13" xfId="0" applyFont="1" applyFill="1" applyBorder="1" applyAlignment="1" applyProtection="1">
      <alignment horizontal="center" vertical="center"/>
      <protection locked="0" hidden="1"/>
    </xf>
    <xf numFmtId="0" fontId="14" fillId="20" borderId="9" xfId="0" applyFont="1" applyFill="1" applyBorder="1" applyAlignment="1" applyProtection="1">
      <protection hidden="1"/>
    </xf>
    <xf numFmtId="0" fontId="14" fillId="20" borderId="15" xfId="0" applyFont="1" applyFill="1" applyBorder="1" applyAlignment="1" applyProtection="1">
      <protection hidden="1"/>
    </xf>
    <xf numFmtId="0" fontId="14" fillId="20" borderId="1" xfId="0" applyFont="1" applyFill="1" applyBorder="1" applyAlignment="1" applyProtection="1">
      <protection hidden="1"/>
    </xf>
    <xf numFmtId="0" fontId="14" fillId="20" borderId="12" xfId="0" applyFont="1" applyFill="1" applyBorder="1" applyAlignment="1" applyProtection="1">
      <protection hidden="1"/>
    </xf>
    <xf numFmtId="0" fontId="8" fillId="20" borderId="31" xfId="0" applyFont="1" applyFill="1" applyBorder="1" applyAlignment="1" applyProtection="1">
      <protection hidden="1"/>
    </xf>
    <xf numFmtId="0" fontId="8" fillId="20" borderId="10" xfId="0" applyFont="1" applyFill="1" applyBorder="1" applyAlignment="1" applyProtection="1">
      <protection hidden="1"/>
    </xf>
    <xf numFmtId="0" fontId="63" fillId="11" borderId="9" xfId="0" applyFont="1" applyFill="1" applyBorder="1" applyAlignment="1" applyProtection="1">
      <alignment horizontal="center"/>
      <protection hidden="1"/>
    </xf>
    <xf numFmtId="39" fontId="19" fillId="3" borderId="31" xfId="0" applyNumberFormat="1" applyFont="1" applyFill="1" applyBorder="1" applyAlignment="1" applyProtection="1">
      <alignment horizontal="right"/>
      <protection hidden="1"/>
    </xf>
    <xf numFmtId="0" fontId="16" fillId="3" borderId="0" xfId="0" applyFont="1" applyFill="1" applyBorder="1" applyAlignment="1" applyProtection="1">
      <alignment horizontal="left"/>
      <protection hidden="1"/>
    </xf>
    <xf numFmtId="37" fontId="5" fillId="19" borderId="31" xfId="0" applyNumberFormat="1" applyFont="1" applyFill="1" applyBorder="1" applyAlignment="1" applyProtection="1">
      <alignment horizontal="right"/>
      <protection locked="0"/>
    </xf>
    <xf numFmtId="39" fontId="19" fillId="19" borderId="3" xfId="0" applyNumberFormat="1" applyFont="1" applyFill="1" applyBorder="1" applyAlignment="1" applyProtection="1">
      <alignment horizontal="right"/>
      <protection hidden="1"/>
    </xf>
    <xf numFmtId="4" fontId="1" fillId="25" borderId="13" xfId="0" applyNumberFormat="1" applyFont="1" applyFill="1" applyBorder="1" applyAlignment="1" applyProtection="1">
      <alignment horizontal="center" vertical="center"/>
      <protection locked="0"/>
    </xf>
    <xf numFmtId="0" fontId="0" fillId="20" borderId="24" xfId="0" applyFill="1" applyBorder="1"/>
    <xf numFmtId="0" fontId="3" fillId="20" borderId="8" xfId="0" applyFont="1" applyFill="1" applyBorder="1"/>
    <xf numFmtId="0" fontId="3" fillId="20" borderId="20" xfId="0" applyFont="1" applyFill="1" applyBorder="1"/>
    <xf numFmtId="0" fontId="0" fillId="20" borderId="6" xfId="0" applyFill="1" applyBorder="1"/>
    <xf numFmtId="0" fontId="10" fillId="20" borderId="0" xfId="0" applyFont="1" applyFill="1" applyBorder="1" applyAlignment="1">
      <alignment vertical="center"/>
    </xf>
    <xf numFmtId="0" fontId="8" fillId="20" borderId="0" xfId="0" applyFont="1" applyFill="1" applyBorder="1"/>
    <xf numFmtId="0" fontId="199" fillId="20" borderId="0" xfId="0" applyFont="1" applyFill="1" applyBorder="1"/>
    <xf numFmtId="0" fontId="8" fillId="20" borderId="21" xfId="0" applyFont="1" applyFill="1" applyBorder="1"/>
    <xf numFmtId="0" fontId="3" fillId="20" borderId="0" xfId="0" applyFont="1" applyFill="1" applyBorder="1"/>
    <xf numFmtId="0" fontId="1" fillId="20" borderId="0" xfId="0" quotePrefix="1" applyFont="1" applyFill="1" applyBorder="1" applyAlignment="1">
      <alignment horizontal="right"/>
    </xf>
    <xf numFmtId="0" fontId="3" fillId="20" borderId="21" xfId="0" applyFont="1" applyFill="1" applyBorder="1"/>
    <xf numFmtId="0" fontId="0" fillId="20" borderId="22" xfId="0" applyFill="1" applyBorder="1"/>
    <xf numFmtId="0" fontId="8" fillId="20" borderId="5" xfId="0" applyFont="1" applyFill="1" applyBorder="1"/>
    <xf numFmtId="0" fontId="8" fillId="20" borderId="23" xfId="0" applyFont="1" applyFill="1" applyBorder="1"/>
    <xf numFmtId="0" fontId="1" fillId="20" borderId="0" xfId="0" applyFont="1" applyFill="1" applyBorder="1"/>
    <xf numFmtId="0" fontId="24" fillId="20" borderId="0" xfId="0" applyFont="1" applyFill="1" applyBorder="1" applyAlignment="1">
      <alignment horizontal="right"/>
    </xf>
    <xf numFmtId="0" fontId="3" fillId="20" borderId="0" xfId="0" quotePrefix="1" applyFont="1" applyFill="1" applyBorder="1"/>
    <xf numFmtId="0" fontId="3" fillId="20" borderId="0" xfId="0" quotePrefix="1" applyFont="1" applyFill="1" applyBorder="1" applyAlignment="1">
      <alignment horizontal="right"/>
    </xf>
    <xf numFmtId="37" fontId="5" fillId="25" borderId="1" xfId="0" applyNumberFormat="1" applyFont="1" applyFill="1" applyBorder="1" applyAlignment="1" applyProtection="1">
      <alignment horizontal="right"/>
      <protection locked="0"/>
    </xf>
    <xf numFmtId="37" fontId="5" fillId="33" borderId="1" xfId="0" applyNumberFormat="1" applyFont="1" applyFill="1" applyBorder="1" applyAlignment="1" applyProtection="1">
      <alignment horizontal="right"/>
      <protection hidden="1"/>
    </xf>
    <xf numFmtId="0" fontId="0" fillId="20" borderId="88" xfId="0" applyFill="1" applyBorder="1"/>
    <xf numFmtId="0" fontId="8" fillId="20" borderId="9" xfId="0" applyFont="1" applyFill="1" applyBorder="1"/>
    <xf numFmtId="0" fontId="8" fillId="20" borderId="99" xfId="0" applyFont="1" applyFill="1" applyBorder="1"/>
    <xf numFmtId="0" fontId="24" fillId="20" borderId="0" xfId="0" applyFont="1" applyFill="1" applyBorder="1" applyAlignment="1">
      <alignment horizontal="center"/>
    </xf>
    <xf numFmtId="6" fontId="3" fillId="0" borderId="0" xfId="0" applyNumberFormat="1" applyFont="1"/>
    <xf numFmtId="6" fontId="19" fillId="0" borderId="0" xfId="0" applyNumberFormat="1" applyFont="1"/>
    <xf numFmtId="37" fontId="174" fillId="19" borderId="31" xfId="0" applyNumberFormat="1" applyFont="1" applyFill="1" applyBorder="1" applyAlignment="1" applyProtection="1">
      <alignment horizontal="right"/>
      <protection locked="0"/>
    </xf>
    <xf numFmtId="37" fontId="174" fillId="19" borderId="3" xfId="0" applyNumberFormat="1" applyFont="1" applyFill="1" applyBorder="1" applyAlignment="1" applyProtection="1">
      <alignment horizontal="right"/>
      <protection locked="0"/>
    </xf>
    <xf numFmtId="39" fontId="161" fillId="3" borderId="3" xfId="0" applyNumberFormat="1" applyFont="1" applyFill="1" applyBorder="1" applyAlignment="1" applyProtection="1">
      <alignment horizontal="right"/>
      <protection hidden="1"/>
    </xf>
    <xf numFmtId="0" fontId="1" fillId="2" borderId="10" xfId="0" applyFont="1" applyFill="1" applyBorder="1" applyProtection="1">
      <protection hidden="1"/>
    </xf>
    <xf numFmtId="0" fontId="200" fillId="2" borderId="0" xfId="0" applyFont="1" applyFill="1" applyBorder="1" applyAlignment="1" applyProtection="1">
      <alignment horizontal="left"/>
      <protection hidden="1"/>
    </xf>
    <xf numFmtId="0" fontId="161" fillId="0" borderId="0" xfId="0" applyFont="1" applyAlignment="1" applyProtection="1">
      <alignment horizontal="center"/>
      <protection hidden="1"/>
    </xf>
    <xf numFmtId="180" fontId="23" fillId="2" borderId="0" xfId="0" applyNumberFormat="1" applyFont="1" applyFill="1" applyBorder="1" applyAlignment="1" applyProtection="1">
      <protection hidden="1"/>
    </xf>
    <xf numFmtId="38" fontId="174" fillId="2" borderId="0" xfId="0" applyNumberFormat="1" applyFont="1" applyFill="1" applyBorder="1" applyProtection="1">
      <protection hidden="1"/>
    </xf>
    <xf numFmtId="0" fontId="8" fillId="5" borderId="38" xfId="0" applyFont="1" applyFill="1" applyBorder="1" applyAlignment="1" applyProtection="1">
      <alignment horizontal="center"/>
      <protection hidden="1"/>
    </xf>
    <xf numFmtId="0" fontId="8" fillId="5" borderId="121" xfId="0" applyFont="1" applyFill="1" applyBorder="1" applyAlignment="1" applyProtection="1">
      <alignment horizontal="center"/>
      <protection hidden="1"/>
    </xf>
    <xf numFmtId="37" fontId="5" fillId="3" borderId="39" xfId="0" applyNumberFormat="1" applyFont="1" applyFill="1" applyBorder="1" applyAlignment="1" applyProtection="1">
      <alignment horizontal="right"/>
      <protection locked="0"/>
    </xf>
    <xf numFmtId="3" fontId="6" fillId="20" borderId="3" xfId="0" applyNumberFormat="1" applyFont="1" applyFill="1" applyBorder="1" applyAlignment="1" applyProtection="1">
      <alignment horizontal="right"/>
      <protection hidden="1"/>
    </xf>
    <xf numFmtId="3" fontId="6" fillId="20" borderId="0" xfId="0" applyNumberFormat="1" applyFont="1" applyFill="1" applyBorder="1" applyAlignment="1" applyProtection="1">
      <alignment horizontal="right"/>
      <protection hidden="1"/>
    </xf>
    <xf numFmtId="0" fontId="1" fillId="21" borderId="2" xfId="0" applyFont="1" applyFill="1" applyBorder="1" applyAlignment="1" applyProtection="1">
      <alignment horizontal="center"/>
      <protection locked="0"/>
    </xf>
    <xf numFmtId="37" fontId="5" fillId="19" borderId="3" xfId="0" applyNumberFormat="1" applyFont="1" applyFill="1" applyBorder="1" applyAlignment="1" applyProtection="1">
      <alignment horizontal="right"/>
      <protection hidden="1"/>
    </xf>
    <xf numFmtId="0" fontId="0" fillId="0" borderId="0" xfId="0" applyAlignment="1">
      <alignment vertical="top" wrapText="1"/>
    </xf>
    <xf numFmtId="0" fontId="0" fillId="0" borderId="0" xfId="0" applyAlignment="1">
      <alignment horizontal="center" vertical="top" wrapText="1"/>
    </xf>
    <xf numFmtId="0" fontId="1" fillId="0" borderId="5" xfId="0" applyFont="1" applyBorder="1" applyAlignment="1" applyProtection="1">
      <alignment horizontal="center" wrapText="1"/>
    </xf>
    <xf numFmtId="0" fontId="4" fillId="0" borderId="5" xfId="0" applyFont="1" applyBorder="1" applyAlignment="1" applyProtection="1">
      <alignment horizontal="center" wrapText="1"/>
    </xf>
    <xf numFmtId="0" fontId="78" fillId="0" borderId="0" xfId="2" applyAlignment="1" applyProtection="1">
      <alignment horizontal="center" wrapText="1"/>
    </xf>
    <xf numFmtId="0" fontId="19" fillId="3" borderId="0" xfId="0" applyFont="1" applyFill="1" applyBorder="1" applyAlignment="1" applyProtection="1">
      <alignment horizontal="left"/>
      <protection hidden="1"/>
    </xf>
    <xf numFmtId="39" fontId="5" fillId="3" borderId="0" xfId="0" applyNumberFormat="1" applyFont="1" applyFill="1" applyBorder="1" applyAlignment="1" applyProtection="1">
      <alignment horizontal="center"/>
      <protection hidden="1"/>
    </xf>
    <xf numFmtId="0" fontId="19" fillId="3" borderId="0" xfId="0" applyFont="1" applyFill="1" applyBorder="1" applyAlignment="1" applyProtection="1">
      <alignment horizontal="left"/>
      <protection hidden="1"/>
    </xf>
    <xf numFmtId="0" fontId="0" fillId="0" borderId="0" xfId="0" applyBorder="1" applyAlignment="1"/>
    <xf numFmtId="0" fontId="1" fillId="2" borderId="46" xfId="0" applyFont="1" applyFill="1" applyBorder="1" applyAlignment="1" applyProtection="1">
      <alignment horizontal="center" vertical="center" wrapText="1"/>
      <protection hidden="1"/>
    </xf>
    <xf numFmtId="0" fontId="11" fillId="3" borderId="10" xfId="0" applyFont="1" applyFill="1" applyBorder="1" applyAlignment="1" applyProtection="1">
      <alignment horizontal="center"/>
      <protection hidden="1"/>
    </xf>
    <xf numFmtId="0" fontId="8" fillId="3" borderId="0" xfId="0" applyFont="1" applyFill="1" applyBorder="1" applyAlignment="1" applyProtection="1">
      <alignment horizontal="left"/>
      <protection hidden="1"/>
    </xf>
    <xf numFmtId="0" fontId="6" fillId="3" borderId="6" xfId="0" applyFont="1" applyFill="1" applyBorder="1" applyProtection="1">
      <protection hidden="1"/>
    </xf>
    <xf numFmtId="0" fontId="17" fillId="3" borderId="0" xfId="0" applyFont="1" applyFill="1" applyBorder="1" applyAlignment="1" applyProtection="1">
      <alignment wrapText="1"/>
      <protection hidden="1"/>
    </xf>
    <xf numFmtId="0" fontId="6" fillId="21" borderId="13" xfId="0" applyFont="1" applyFill="1" applyBorder="1" applyAlignment="1" applyProtection="1">
      <alignment horizontal="center"/>
      <protection locked="0"/>
    </xf>
    <xf numFmtId="0" fontId="6" fillId="20" borderId="0" xfId="0" applyFont="1" applyFill="1" applyBorder="1" applyAlignment="1" applyProtection="1">
      <alignment horizontal="center"/>
      <protection hidden="1"/>
    </xf>
    <xf numFmtId="0" fontId="0" fillId="3" borderId="9" xfId="0" applyFill="1" applyBorder="1" applyProtection="1">
      <protection hidden="1"/>
    </xf>
    <xf numFmtId="0" fontId="8" fillId="20" borderId="0" xfId="0" applyFont="1" applyFill="1" applyBorder="1" applyAlignment="1" applyProtection="1">
      <alignment horizontal="left" vertical="center"/>
      <protection hidden="1"/>
    </xf>
    <xf numFmtId="0" fontId="6" fillId="20" borderId="1" xfId="0" applyFont="1" applyFill="1" applyBorder="1" applyAlignment="1" applyProtection="1">
      <alignment horizontal="center"/>
      <protection hidden="1"/>
    </xf>
    <xf numFmtId="0" fontId="5" fillId="20" borderId="1" xfId="0" applyFont="1" applyFill="1" applyBorder="1" applyAlignment="1" applyProtection="1">
      <alignment horizontal="left" vertical="center"/>
      <protection hidden="1"/>
    </xf>
    <xf numFmtId="0" fontId="1" fillId="3" borderId="31" xfId="0" applyFont="1" applyFill="1" applyBorder="1" applyProtection="1">
      <protection hidden="1"/>
    </xf>
    <xf numFmtId="0" fontId="10" fillId="3" borderId="26" xfId="0" applyFont="1" applyFill="1" applyBorder="1" applyProtection="1">
      <protection hidden="1"/>
    </xf>
    <xf numFmtId="0" fontId="3" fillId="3" borderId="26" xfId="0" applyFont="1" applyFill="1" applyBorder="1" applyProtection="1">
      <protection hidden="1"/>
    </xf>
    <xf numFmtId="39" fontId="6" fillId="3" borderId="11" xfId="0" applyNumberFormat="1" applyFont="1" applyFill="1" applyBorder="1" applyAlignment="1" applyProtection="1">
      <alignment horizontal="center"/>
      <protection hidden="1"/>
    </xf>
    <xf numFmtId="39" fontId="6" fillId="3" borderId="3" xfId="0" applyNumberFormat="1" applyFont="1" applyFill="1" applyBorder="1" applyAlignment="1" applyProtection="1">
      <alignment horizontal="center"/>
      <protection hidden="1"/>
    </xf>
    <xf numFmtId="39" fontId="5" fillId="3" borderId="0" xfId="0" applyNumberFormat="1" applyFont="1" applyFill="1" applyBorder="1" applyAlignment="1" applyProtection="1">
      <alignment horizontal="left"/>
      <protection hidden="1"/>
    </xf>
    <xf numFmtId="39" fontId="5" fillId="19" borderId="0" xfId="0" applyNumberFormat="1" applyFont="1" applyFill="1" applyBorder="1" applyAlignment="1" applyProtection="1">
      <alignment horizontal="left"/>
      <protection hidden="1"/>
    </xf>
    <xf numFmtId="0" fontId="0" fillId="20" borderId="0" xfId="0" applyFill="1" applyBorder="1" applyAlignment="1">
      <alignment horizontal="left"/>
    </xf>
    <xf numFmtId="3" fontId="9" fillId="3" borderId="3" xfId="0" applyNumberFormat="1" applyFont="1" applyFill="1" applyBorder="1" applyAlignment="1" applyProtection="1">
      <alignment horizontal="center"/>
      <protection hidden="1"/>
    </xf>
    <xf numFmtId="0" fontId="6" fillId="3" borderId="0" xfId="0" applyFont="1" applyFill="1" applyBorder="1" applyAlignment="1" applyProtection="1">
      <alignment horizontal="right" indent="1"/>
      <protection hidden="1"/>
    </xf>
    <xf numFmtId="1" fontId="6" fillId="25" borderId="13" xfId="0" applyNumberFormat="1" applyFont="1" applyFill="1" applyBorder="1" applyAlignment="1" applyProtection="1">
      <alignment horizontal="center"/>
      <protection locked="0"/>
    </xf>
    <xf numFmtId="4" fontId="6" fillId="3" borderId="0" xfId="0" applyNumberFormat="1" applyFont="1" applyFill="1" applyBorder="1" applyAlignment="1" applyProtection="1">
      <alignment horizontal="right" vertical="center"/>
      <protection hidden="1"/>
    </xf>
    <xf numFmtId="0" fontId="7" fillId="3" borderId="16" xfId="0" applyFont="1" applyFill="1" applyBorder="1" applyAlignment="1" applyProtection="1">
      <alignment horizontal="center"/>
      <protection hidden="1"/>
    </xf>
    <xf numFmtId="0" fontId="7" fillId="19" borderId="31" xfId="0" applyFont="1" applyFill="1" applyBorder="1" applyAlignment="1" applyProtection="1">
      <alignment horizontal="center"/>
      <protection hidden="1"/>
    </xf>
    <xf numFmtId="0" fontId="55" fillId="3" borderId="9" xfId="0" applyFont="1" applyFill="1" applyBorder="1" applyProtection="1">
      <protection hidden="1"/>
    </xf>
    <xf numFmtId="0" fontId="7" fillId="3" borderId="31" xfId="0" applyFont="1" applyFill="1" applyBorder="1" applyAlignment="1" applyProtection="1">
      <alignment horizontal="center"/>
      <protection hidden="1"/>
    </xf>
    <xf numFmtId="0" fontId="7" fillId="3" borderId="9" xfId="0" applyFont="1" applyFill="1" applyBorder="1" applyAlignment="1" applyProtection="1">
      <alignment horizontal="center"/>
      <protection hidden="1"/>
    </xf>
    <xf numFmtId="0" fontId="11" fillId="3" borderId="11" xfId="0" applyFont="1" applyFill="1" applyBorder="1" applyAlignment="1" applyProtection="1">
      <alignment horizontal="right"/>
      <protection hidden="1"/>
    </xf>
    <xf numFmtId="0" fontId="19" fillId="19" borderId="0" xfId="0" applyFont="1" applyFill="1" applyBorder="1" applyAlignment="1" applyProtection="1">
      <alignment horizontal="left"/>
      <protection hidden="1"/>
    </xf>
    <xf numFmtId="0" fontId="0" fillId="20" borderId="0" xfId="0" applyFill="1" applyAlignment="1"/>
    <xf numFmtId="3" fontId="6" fillId="19" borderId="9" xfId="0" applyNumberFormat="1" applyFont="1" applyFill="1" applyBorder="1" applyAlignment="1" applyProtection="1">
      <alignment horizontal="right"/>
      <protection hidden="1"/>
    </xf>
    <xf numFmtId="0" fontId="11" fillId="3" borderId="10" xfId="0" applyFont="1" applyFill="1" applyBorder="1" applyAlignment="1" applyProtection="1">
      <alignment horizontal="right"/>
      <protection hidden="1"/>
    </xf>
    <xf numFmtId="39" fontId="9" fillId="3" borderId="0" xfId="0" applyNumberFormat="1" applyFont="1" applyFill="1" applyBorder="1" applyAlignment="1" applyProtection="1">
      <protection hidden="1"/>
    </xf>
    <xf numFmtId="0" fontId="0" fillId="0" borderId="21" xfId="0" applyBorder="1" applyAlignment="1">
      <alignment wrapText="1"/>
    </xf>
    <xf numFmtId="0" fontId="17" fillId="19" borderId="27" xfId="0" applyFont="1" applyFill="1" applyBorder="1" applyAlignment="1" applyProtection="1">
      <alignment horizontal="centerContinuous"/>
      <protection hidden="1"/>
    </xf>
    <xf numFmtId="0" fontId="0" fillId="20" borderId="1" xfId="0" applyFill="1" applyBorder="1" applyAlignment="1">
      <alignment horizontal="centerContinuous"/>
    </xf>
    <xf numFmtId="0" fontId="5" fillId="20" borderId="0" xfId="0" applyFont="1" applyFill="1" applyBorder="1" applyAlignment="1">
      <alignment horizontal="centerContinuous"/>
    </xf>
    <xf numFmtId="0" fontId="3" fillId="20" borderId="0" xfId="0" applyFont="1" applyFill="1" applyBorder="1" applyAlignment="1">
      <alignment horizontal="centerContinuous" vertical="center"/>
    </xf>
    <xf numFmtId="0" fontId="11" fillId="19" borderId="27" xfId="0" applyFont="1" applyFill="1" applyBorder="1" applyAlignment="1" applyProtection="1">
      <alignment horizontal="center"/>
      <protection hidden="1"/>
    </xf>
    <xf numFmtId="0" fontId="0" fillId="20" borderId="1" xfId="0" applyFill="1" applyBorder="1" applyAlignment="1">
      <alignment horizontal="center"/>
    </xf>
    <xf numFmtId="39" fontId="9" fillId="3" borderId="16" xfId="0" applyNumberFormat="1" applyFont="1" applyFill="1" applyBorder="1" applyProtection="1">
      <protection hidden="1"/>
    </xf>
    <xf numFmtId="39" fontId="9" fillId="27" borderId="16" xfId="0" applyNumberFormat="1" applyFont="1" applyFill="1" applyBorder="1" applyProtection="1">
      <protection hidden="1"/>
    </xf>
    <xf numFmtId="39" fontId="9" fillId="27" borderId="7" xfId="0" applyNumberFormat="1" applyFont="1" applyFill="1" applyBorder="1" applyProtection="1">
      <protection hidden="1"/>
    </xf>
    <xf numFmtId="0" fontId="55" fillId="3" borderId="31" xfId="0" applyFont="1" applyFill="1" applyBorder="1" applyProtection="1">
      <protection hidden="1"/>
    </xf>
    <xf numFmtId="1" fontId="6" fillId="3" borderId="0" xfId="0" applyNumberFormat="1" applyFont="1" applyFill="1" applyBorder="1" applyAlignment="1" applyProtection="1">
      <alignment horizontal="right"/>
      <protection hidden="1"/>
    </xf>
    <xf numFmtId="39" fontId="6" fillId="3" borderId="7" xfId="0" applyNumberFormat="1" applyFont="1" applyFill="1" applyBorder="1" applyAlignment="1" applyProtection="1">
      <alignment horizontal="right"/>
      <protection hidden="1"/>
    </xf>
    <xf numFmtId="1" fontId="6" fillId="3" borderId="11" xfId="0" applyNumberFormat="1" applyFont="1" applyFill="1" applyBorder="1" applyAlignment="1" applyProtection="1">
      <alignment horizontal="right"/>
      <protection hidden="1"/>
    </xf>
    <xf numFmtId="0" fontId="42" fillId="3" borderId="0" xfId="0" applyFont="1" applyFill="1" applyBorder="1" applyProtection="1">
      <protection hidden="1"/>
    </xf>
    <xf numFmtId="0" fontId="21" fillId="3" borderId="0" xfId="0" applyFont="1" applyFill="1" applyBorder="1" applyAlignment="1" applyProtection="1">
      <alignment horizontal="left" vertical="center"/>
      <protection hidden="1"/>
    </xf>
    <xf numFmtId="0" fontId="11" fillId="3" borderId="3" xfId="0" applyFont="1" applyFill="1" applyBorder="1" applyProtection="1">
      <protection hidden="1"/>
    </xf>
    <xf numFmtId="0" fontId="4" fillId="25" borderId="13" xfId="0" applyFont="1" applyFill="1" applyBorder="1" applyAlignment="1" applyProtection="1">
      <alignment horizontal="center" vertical="center"/>
      <protection locked="0"/>
    </xf>
    <xf numFmtId="0" fontId="42" fillId="3" borderId="0" xfId="0" applyFont="1" applyFill="1" applyBorder="1" applyAlignment="1" applyProtection="1">
      <alignment horizontal="left" indent="2"/>
      <protection hidden="1"/>
    </xf>
    <xf numFmtId="0" fontId="4" fillId="20" borderId="0" xfId="0" applyFont="1" applyFill="1" applyProtection="1">
      <protection hidden="1"/>
    </xf>
    <xf numFmtId="0" fontId="6" fillId="3" borderId="1" xfId="0" applyFont="1" applyFill="1" applyBorder="1" applyAlignment="1" applyProtection="1">
      <alignment horizontal="center"/>
      <protection hidden="1"/>
    </xf>
    <xf numFmtId="0" fontId="1" fillId="3" borderId="1" xfId="0" applyFont="1" applyFill="1" applyBorder="1" applyAlignment="1" applyProtection="1">
      <alignment horizontal="right"/>
      <protection hidden="1"/>
    </xf>
    <xf numFmtId="0" fontId="7" fillId="3" borderId="1" xfId="0" applyFont="1" applyFill="1" applyBorder="1" applyAlignment="1" applyProtection="1">
      <alignment horizontal="right"/>
      <protection hidden="1"/>
    </xf>
    <xf numFmtId="0" fontId="4" fillId="25" borderId="26" xfId="0" applyFont="1" applyFill="1" applyBorder="1" applyAlignment="1" applyProtection="1">
      <alignment horizontal="center" vertical="center"/>
      <protection locked="0"/>
    </xf>
    <xf numFmtId="0" fontId="6" fillId="3" borderId="1" xfId="0" applyFont="1" applyFill="1" applyBorder="1" applyAlignment="1" applyProtection="1">
      <alignment horizontal="left"/>
      <protection hidden="1"/>
    </xf>
    <xf numFmtId="39" fontId="9" fillId="3" borderId="14" xfId="0" applyNumberFormat="1" applyFont="1" applyFill="1" applyBorder="1" applyProtection="1">
      <protection hidden="1"/>
    </xf>
    <xf numFmtId="39" fontId="9" fillId="3" borderId="14" xfId="0" applyNumberFormat="1" applyFont="1" applyFill="1" applyBorder="1" applyAlignment="1" applyProtection="1">
      <alignment horizontal="right"/>
      <protection hidden="1"/>
    </xf>
    <xf numFmtId="39" fontId="5" fillId="3" borderId="14" xfId="0" applyNumberFormat="1" applyFont="1" applyFill="1" applyBorder="1" applyAlignment="1" applyProtection="1">
      <alignment horizontal="right"/>
      <protection hidden="1"/>
    </xf>
    <xf numFmtId="39" fontId="10" fillId="3" borderId="14" xfId="0" applyNumberFormat="1" applyFont="1" applyFill="1" applyBorder="1" applyAlignment="1" applyProtection="1">
      <alignment horizontal="left"/>
      <protection hidden="1"/>
    </xf>
    <xf numFmtId="0" fontId="55" fillId="3" borderId="35" xfId="0" applyFont="1" applyFill="1" applyBorder="1" applyProtection="1">
      <protection hidden="1"/>
    </xf>
    <xf numFmtId="39" fontId="9" fillId="3" borderId="25" xfId="0" applyNumberFormat="1" applyFont="1" applyFill="1" applyBorder="1" applyProtection="1">
      <protection hidden="1"/>
    </xf>
    <xf numFmtId="0" fontId="0" fillId="20" borderId="25" xfId="0" applyFill="1" applyBorder="1" applyAlignment="1">
      <alignment horizontal="left"/>
    </xf>
    <xf numFmtId="0" fontId="55" fillId="3" borderId="25" xfId="0" applyFont="1" applyFill="1" applyBorder="1" applyProtection="1">
      <protection hidden="1"/>
    </xf>
    <xf numFmtId="39" fontId="11" fillId="3" borderId="11" xfId="0" applyNumberFormat="1" applyFont="1" applyFill="1" applyBorder="1" applyAlignment="1" applyProtection="1">
      <alignment horizontal="center"/>
      <protection hidden="1"/>
    </xf>
    <xf numFmtId="0" fontId="5" fillId="3" borderId="14" xfId="0" applyFont="1" applyFill="1" applyBorder="1" applyAlignment="1" applyProtection="1">
      <alignment horizontal="left"/>
      <protection hidden="1"/>
    </xf>
    <xf numFmtId="39" fontId="9" fillId="3" borderId="14" xfId="0" applyNumberFormat="1" applyFont="1" applyFill="1" applyBorder="1" applyAlignment="1" applyProtection="1">
      <protection hidden="1"/>
    </xf>
    <xf numFmtId="0" fontId="16" fillId="3" borderId="35" xfId="0" applyFont="1" applyFill="1" applyBorder="1" applyAlignment="1" applyProtection="1">
      <alignment vertical="center"/>
      <protection hidden="1"/>
    </xf>
    <xf numFmtId="0" fontId="11" fillId="19" borderId="6" xfId="0" applyFont="1" applyFill="1" applyBorder="1" applyAlignment="1" applyProtection="1">
      <alignment horizontal="centerContinuous" vertical="center"/>
      <protection hidden="1"/>
    </xf>
    <xf numFmtId="0" fontId="11" fillId="19" borderId="6" xfId="0" applyFont="1" applyFill="1" applyBorder="1" applyAlignment="1" applyProtection="1">
      <alignment horizontal="centerContinuous"/>
      <protection hidden="1"/>
    </xf>
    <xf numFmtId="1" fontId="6" fillId="3" borderId="12" xfId="0" applyNumberFormat="1" applyFont="1" applyFill="1" applyBorder="1" applyAlignment="1" applyProtection="1">
      <alignment horizontal="right"/>
      <protection hidden="1"/>
    </xf>
    <xf numFmtId="0" fontId="6" fillId="3" borderId="25" xfId="0" applyFont="1" applyFill="1" applyBorder="1" applyAlignment="1" applyProtection="1">
      <alignment horizontal="right"/>
      <protection hidden="1"/>
    </xf>
    <xf numFmtId="0" fontId="5" fillId="3" borderId="5" xfId="0" applyFont="1" applyFill="1" applyBorder="1" applyProtection="1">
      <protection hidden="1"/>
    </xf>
    <xf numFmtId="0" fontId="6" fillId="20" borderId="40" xfId="0" applyFont="1" applyFill="1" applyBorder="1" applyAlignment="1" applyProtection="1">
      <alignment horizontal="center" vertical="center" wrapText="1"/>
      <protection hidden="1"/>
    </xf>
    <xf numFmtId="0" fontId="1" fillId="20" borderId="26" xfId="0" applyFont="1" applyFill="1" applyBorder="1" applyAlignment="1" applyProtection="1">
      <alignment horizontal="center" vertical="center" wrapText="1"/>
      <protection hidden="1"/>
    </xf>
    <xf numFmtId="0" fontId="11" fillId="3" borderId="26" xfId="0" applyFont="1" applyFill="1" applyBorder="1" applyAlignment="1" applyProtection="1">
      <alignment horizontal="center" vertical="center"/>
      <protection hidden="1"/>
    </xf>
    <xf numFmtId="0" fontId="5" fillId="5" borderId="0" xfId="0" applyFont="1" applyFill="1"/>
    <xf numFmtId="0" fontId="3" fillId="0" borderId="0" xfId="0" applyFont="1" applyAlignment="1">
      <alignment horizontal="center" vertical="top" wrapText="1"/>
    </xf>
    <xf numFmtId="0" fontId="3" fillId="0" borderId="0" xfId="0" applyFont="1" applyAlignment="1">
      <alignment vertical="top" wrapText="1"/>
    </xf>
    <xf numFmtId="0" fontId="6" fillId="3" borderId="16" xfId="0" applyFont="1" applyFill="1" applyBorder="1" applyAlignment="1" applyProtection="1">
      <alignment horizontal="center"/>
      <protection hidden="1"/>
    </xf>
    <xf numFmtId="39" fontId="6" fillId="3" borderId="9" xfId="0" applyNumberFormat="1" applyFont="1" applyFill="1" applyBorder="1" applyProtection="1">
      <protection hidden="1"/>
    </xf>
    <xf numFmtId="39" fontId="9" fillId="3" borderId="9" xfId="0" applyNumberFormat="1" applyFont="1" applyFill="1" applyBorder="1" applyProtection="1">
      <protection hidden="1"/>
    </xf>
    <xf numFmtId="39" fontId="9" fillId="3" borderId="9" xfId="0" applyNumberFormat="1" applyFont="1" applyFill="1" applyBorder="1" applyAlignment="1" applyProtection="1">
      <alignment horizontal="center"/>
      <protection hidden="1"/>
    </xf>
    <xf numFmtId="0" fontId="7" fillId="3" borderId="40" xfId="0" applyFont="1" applyFill="1" applyBorder="1" applyAlignment="1" applyProtection="1">
      <alignment horizontal="center"/>
      <protection hidden="1"/>
    </xf>
    <xf numFmtId="0" fontId="6" fillId="3" borderId="24" xfId="0" applyFont="1" applyFill="1" applyBorder="1" applyProtection="1">
      <protection hidden="1"/>
    </xf>
    <xf numFmtId="4" fontId="0" fillId="3" borderId="20" xfId="0" applyNumberFormat="1" applyFill="1" applyBorder="1" applyProtection="1">
      <protection hidden="1"/>
    </xf>
    <xf numFmtId="0" fontId="6" fillId="20" borderId="6" xfId="0" applyFont="1" applyFill="1" applyBorder="1" applyAlignment="1" applyProtection="1">
      <alignment horizontal="center"/>
      <protection hidden="1"/>
    </xf>
    <xf numFmtId="0" fontId="6" fillId="20" borderId="22" xfId="0" applyFont="1" applyFill="1" applyBorder="1" applyAlignment="1" applyProtection="1">
      <alignment horizontal="center"/>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203" fillId="3" borderId="0" xfId="0" applyFont="1" applyFill="1" applyBorder="1" applyProtection="1">
      <protection hidden="1"/>
    </xf>
    <xf numFmtId="0" fontId="4" fillId="23" borderId="0" xfId="0" applyFont="1" applyFill="1" applyBorder="1" applyAlignment="1" applyProtection="1">
      <alignment horizontal="center"/>
      <protection locked="0"/>
    </xf>
    <xf numFmtId="0" fontId="0" fillId="0" borderId="0" xfId="0" applyAlignment="1">
      <alignment horizontal="center"/>
    </xf>
    <xf numFmtId="0" fontId="19" fillId="3" borderId="0" xfId="0" applyFont="1" applyFill="1" applyBorder="1" applyAlignment="1" applyProtection="1">
      <alignment horizontal="left"/>
      <protection hidden="1"/>
    </xf>
    <xf numFmtId="37" fontId="6" fillId="33" borderId="1" xfId="0" applyNumberFormat="1" applyFont="1" applyFill="1" applyBorder="1" applyAlignment="1" applyProtection="1">
      <alignment horizontal="right"/>
      <protection hidden="1"/>
    </xf>
    <xf numFmtId="0" fontId="8" fillId="3" borderId="0" xfId="0" applyFont="1" applyFill="1" applyBorder="1" applyAlignment="1" applyProtection="1">
      <alignment horizontal="left"/>
      <protection hidden="1"/>
    </xf>
    <xf numFmtId="0" fontId="204" fillId="0" borderId="0" xfId="0" applyFont="1" applyAlignment="1">
      <alignment vertical="center"/>
    </xf>
    <xf numFmtId="0" fontId="205" fillId="0" borderId="0" xfId="0" applyFont="1" applyAlignment="1">
      <alignment vertical="center"/>
    </xf>
    <xf numFmtId="3" fontId="204" fillId="0" borderId="0" xfId="0" applyNumberFormat="1" applyFont="1" applyAlignment="1">
      <alignment vertical="center"/>
    </xf>
    <xf numFmtId="0" fontId="8" fillId="20" borderId="3" xfId="0" applyFont="1" applyFill="1" applyBorder="1" applyAlignment="1" applyProtection="1">
      <protection hidden="1"/>
    </xf>
    <xf numFmtId="0" fontId="0" fillId="0" borderId="0" xfId="0" applyBorder="1" applyAlignment="1">
      <alignment horizontal="center"/>
    </xf>
    <xf numFmtId="0" fontId="19" fillId="20" borderId="24" xfId="0" applyFont="1" applyFill="1" applyBorder="1" applyProtection="1">
      <protection hidden="1"/>
    </xf>
    <xf numFmtId="0" fontId="19" fillId="20" borderId="8" xfId="0" applyFont="1" applyFill="1" applyBorder="1" applyProtection="1">
      <protection hidden="1"/>
    </xf>
    <xf numFmtId="0" fontId="66" fillId="20" borderId="8" xfId="0" applyFont="1" applyFill="1" applyBorder="1" applyAlignment="1">
      <alignment horizontal="center"/>
    </xf>
    <xf numFmtId="0" fontId="0" fillId="20" borderId="8" xfId="0" applyFill="1" applyBorder="1"/>
    <xf numFmtId="0" fontId="0" fillId="20" borderId="20" xfId="0" applyFill="1" applyBorder="1"/>
    <xf numFmtId="0" fontId="19" fillId="20" borderId="6" xfId="0" applyFont="1" applyFill="1" applyBorder="1" applyAlignment="1" applyProtection="1">
      <alignment horizontal="center"/>
      <protection hidden="1"/>
    </xf>
    <xf numFmtId="0" fontId="19" fillId="20" borderId="0" xfId="0" applyFont="1" applyFill="1" applyBorder="1" applyProtection="1">
      <protection hidden="1"/>
    </xf>
    <xf numFmtId="0" fontId="66" fillId="20" borderId="0" xfId="0" applyFont="1" applyFill="1" applyBorder="1" applyAlignment="1">
      <alignment horizontal="center"/>
    </xf>
    <xf numFmtId="0" fontId="0" fillId="20" borderId="0" xfId="0" applyFill="1" applyBorder="1"/>
    <xf numFmtId="0" fontId="0" fillId="20" borderId="21" xfId="0" applyFill="1" applyBorder="1"/>
    <xf numFmtId="0" fontId="19" fillId="20" borderId="1" xfId="0" applyFont="1" applyFill="1" applyBorder="1" applyAlignment="1" applyProtection="1">
      <alignment horizontal="center" vertical="center"/>
      <protection hidden="1"/>
    </xf>
    <xf numFmtId="0" fontId="3" fillId="20" borderId="1" xfId="0" applyFont="1" applyFill="1" applyBorder="1" applyAlignment="1" applyProtection="1">
      <alignment horizontal="center" vertical="center"/>
      <protection hidden="1"/>
    </xf>
    <xf numFmtId="0" fontId="19" fillId="20" borderId="30" xfId="0" applyFont="1" applyFill="1" applyBorder="1" applyAlignment="1" applyProtection="1">
      <alignment horizontal="center" vertical="center"/>
      <protection hidden="1"/>
    </xf>
    <xf numFmtId="0" fontId="19" fillId="20" borderId="0" xfId="0" applyFont="1" applyFill="1" applyBorder="1" applyAlignment="1" applyProtection="1">
      <alignment horizontal="right" vertical="center"/>
      <protection hidden="1"/>
    </xf>
    <xf numFmtId="0" fontId="3" fillId="20" borderId="0" xfId="0" applyFont="1" applyFill="1" applyBorder="1" applyAlignment="1" applyProtection="1">
      <alignment horizontal="right" vertical="center"/>
      <protection hidden="1"/>
    </xf>
    <xf numFmtId="0" fontId="19" fillId="20" borderId="21" xfId="0" applyFont="1" applyFill="1" applyBorder="1" applyAlignment="1" applyProtection="1">
      <alignment horizontal="right" vertical="center"/>
      <protection hidden="1"/>
    </xf>
    <xf numFmtId="0" fontId="3" fillId="20" borderId="21" xfId="0" applyFont="1" applyFill="1" applyBorder="1" applyProtection="1">
      <protection hidden="1"/>
    </xf>
    <xf numFmtId="0" fontId="19" fillId="20" borderId="0" xfId="0" applyFont="1" applyFill="1" applyBorder="1" applyAlignment="1" applyProtection="1">
      <alignment horizontal="center"/>
      <protection hidden="1"/>
    </xf>
    <xf numFmtId="0" fontId="19" fillId="20" borderId="22" xfId="0" applyFont="1" applyFill="1" applyBorder="1" applyAlignment="1" applyProtection="1">
      <alignment horizontal="center"/>
      <protection hidden="1"/>
    </xf>
    <xf numFmtId="0" fontId="19" fillId="20" borderId="5" xfId="0" applyFont="1" applyFill="1" applyBorder="1" applyAlignment="1" applyProtection="1">
      <alignment horizontal="center"/>
      <protection hidden="1"/>
    </xf>
    <xf numFmtId="0" fontId="0" fillId="20" borderId="5" xfId="0" applyFill="1" applyBorder="1"/>
    <xf numFmtId="0" fontId="0" fillId="20" borderId="23" xfId="0" applyFill="1" applyBorder="1"/>
    <xf numFmtId="0" fontId="2" fillId="4" borderId="0" xfId="0" applyFont="1" applyFill="1" applyBorder="1" applyAlignment="1" applyProtection="1">
      <alignment vertical="center"/>
      <protection hidden="1"/>
    </xf>
    <xf numFmtId="0" fontId="142" fillId="2" borderId="0" xfId="4" applyFont="1" applyFill="1" applyBorder="1" applyAlignment="1" applyProtection="1">
      <alignment horizontal="right"/>
      <protection hidden="1"/>
    </xf>
    <xf numFmtId="0" fontId="206" fillId="2" borderId="0" xfId="4" applyFont="1" applyFill="1" applyBorder="1" applyAlignment="1" applyProtection="1">
      <alignment horizontal="left" vertical="center"/>
      <protection hidden="1"/>
    </xf>
    <xf numFmtId="49" fontId="4" fillId="2" borderId="3" xfId="4" applyNumberFormat="1" applyFont="1" applyFill="1" applyBorder="1" applyAlignment="1" applyProtection="1">
      <alignment horizontal="right"/>
      <protection hidden="1"/>
    </xf>
    <xf numFmtId="49" fontId="4" fillId="2" borderId="3" xfId="4" applyNumberFormat="1" applyFont="1" applyFill="1" applyBorder="1" applyAlignment="1" applyProtection="1">
      <alignment horizontal="right" vertical="center"/>
      <protection hidden="1"/>
    </xf>
    <xf numFmtId="0" fontId="4" fillId="2" borderId="3" xfId="4" applyFont="1" applyFill="1" applyBorder="1" applyProtection="1">
      <protection hidden="1"/>
    </xf>
    <xf numFmtId="0" fontId="3" fillId="2" borderId="25" xfId="4" applyFont="1" applyFill="1" applyBorder="1" applyProtection="1">
      <protection hidden="1"/>
    </xf>
    <xf numFmtId="4" fontId="3" fillId="2" borderId="3" xfId="4" applyNumberFormat="1" applyFont="1" applyFill="1" applyBorder="1" applyProtection="1">
      <protection hidden="1"/>
    </xf>
    <xf numFmtId="4" fontId="0" fillId="20" borderId="0" xfId="0" applyNumberFormat="1" applyFill="1" applyProtection="1">
      <protection hidden="1"/>
    </xf>
    <xf numFmtId="4" fontId="163" fillId="2" borderId="0" xfId="0" applyNumberFormat="1" applyFont="1" applyFill="1" applyAlignment="1" applyProtection="1">
      <alignment horizontal="right"/>
      <protection hidden="1"/>
    </xf>
    <xf numFmtId="37" fontId="5" fillId="33" borderId="40" xfId="0" applyNumberFormat="1" applyFont="1" applyFill="1" applyBorder="1" applyAlignment="1" applyProtection="1">
      <alignment horizontal="right"/>
      <protection hidden="1"/>
    </xf>
    <xf numFmtId="0" fontId="3" fillId="5" borderId="0" xfId="0" applyFont="1" applyFill="1" applyAlignment="1" applyProtection="1">
      <alignment horizontal="right"/>
      <protection hidden="1"/>
    </xf>
    <xf numFmtId="39" fontId="207" fillId="3" borderId="0" xfId="0" applyNumberFormat="1" applyFont="1" applyFill="1" applyBorder="1" applyAlignment="1" applyProtection="1">
      <alignment horizontal="center"/>
      <protection hidden="1"/>
    </xf>
    <xf numFmtId="39" fontId="161" fillId="3" borderId="0" xfId="0" applyNumberFormat="1" applyFont="1" applyFill="1" applyBorder="1" applyAlignment="1" applyProtection="1">
      <alignment horizontal="right"/>
      <protection hidden="1"/>
    </xf>
    <xf numFmtId="0" fontId="163" fillId="0" borderId="0" xfId="0" applyFont="1"/>
    <xf numFmtId="3" fontId="163" fillId="0" borderId="0" xfId="0" applyNumberFormat="1" applyFont="1"/>
    <xf numFmtId="0" fontId="13" fillId="34" borderId="128" xfId="0" applyFont="1" applyFill="1" applyBorder="1" applyAlignment="1" applyProtection="1">
      <protection hidden="1"/>
    </xf>
    <xf numFmtId="0" fontId="13" fillId="34" borderId="28" xfId="0" applyFont="1" applyFill="1" applyBorder="1" applyAlignment="1" applyProtection="1">
      <protection hidden="1"/>
    </xf>
    <xf numFmtId="0" fontId="14" fillId="29" borderId="28" xfId="0" applyFont="1" applyFill="1" applyBorder="1" applyAlignment="1" applyProtection="1">
      <protection hidden="1"/>
    </xf>
    <xf numFmtId="0" fontId="14" fillId="29" borderId="129" xfId="0" applyFont="1" applyFill="1" applyBorder="1" applyAlignment="1" applyProtection="1">
      <protection hidden="1"/>
    </xf>
    <xf numFmtId="0" fontId="8" fillId="29" borderId="6" xfId="0" applyFont="1" applyFill="1" applyBorder="1" applyAlignment="1" applyProtection="1">
      <alignment horizontal="center"/>
      <protection hidden="1"/>
    </xf>
    <xf numFmtId="0" fontId="8" fillId="29" borderId="0" xfId="0" applyFont="1" applyFill="1" applyBorder="1" applyAlignment="1" applyProtection="1">
      <alignment horizontal="center"/>
      <protection hidden="1"/>
    </xf>
    <xf numFmtId="49" fontId="11" fillId="29" borderId="0" xfId="0" applyNumberFormat="1" applyFont="1" applyFill="1" applyBorder="1" applyAlignment="1" applyProtection="1">
      <alignment horizontal="center"/>
      <protection hidden="1"/>
    </xf>
    <xf numFmtId="0" fontId="8" fillId="29" borderId="0" xfId="0" applyFont="1" applyFill="1" applyBorder="1" applyAlignment="1" applyProtection="1">
      <alignment horizontal="left"/>
      <protection hidden="1"/>
    </xf>
    <xf numFmtId="0" fontId="5" fillId="29" borderId="0" xfId="0" applyFont="1" applyFill="1" applyBorder="1" applyProtection="1">
      <protection hidden="1"/>
    </xf>
    <xf numFmtId="0" fontId="75" fillId="29" borderId="21" xfId="0" applyFont="1" applyFill="1" applyBorder="1" applyProtection="1">
      <protection hidden="1"/>
    </xf>
    <xf numFmtId="0" fontId="0" fillId="29" borderId="0" xfId="0" applyFill="1" applyBorder="1" applyAlignment="1" applyProtection="1">
      <alignment vertical="center"/>
      <protection hidden="1"/>
    </xf>
    <xf numFmtId="3" fontId="31" fillId="29" borderId="6" xfId="0" applyNumberFormat="1" applyFont="1" applyFill="1" applyBorder="1" applyAlignment="1" applyProtection="1">
      <alignment horizontal="right"/>
      <protection hidden="1"/>
    </xf>
    <xf numFmtId="0" fontId="75" fillId="29" borderId="0" xfId="0" applyFont="1" applyFill="1" applyBorder="1" applyProtection="1">
      <protection hidden="1"/>
    </xf>
    <xf numFmtId="3" fontId="31" fillId="29" borderId="0" xfId="0" applyNumberFormat="1" applyFont="1" applyFill="1" applyBorder="1" applyAlignment="1" applyProtection="1">
      <alignment horizontal="right"/>
      <protection hidden="1"/>
    </xf>
    <xf numFmtId="0" fontId="175" fillId="29" borderId="0" xfId="0" applyFont="1" applyFill="1" applyBorder="1" applyAlignment="1" applyProtection="1">
      <alignment horizontal="center"/>
      <protection hidden="1"/>
    </xf>
    <xf numFmtId="0" fontId="8" fillId="29" borderId="0" xfId="0" applyFont="1" applyFill="1" applyBorder="1" applyAlignment="1" applyProtection="1">
      <alignment horizontal="right"/>
      <protection hidden="1"/>
    </xf>
    <xf numFmtId="3" fontId="208" fillId="29" borderId="0" xfId="0" applyNumberFormat="1" applyFont="1" applyFill="1" applyBorder="1" applyAlignment="1" applyProtection="1">
      <alignment horizontal="center"/>
      <protection hidden="1"/>
    </xf>
    <xf numFmtId="0" fontId="179" fillId="29" borderId="0" xfId="0" applyFont="1" applyFill="1" applyBorder="1" applyAlignment="1" applyProtection="1">
      <alignment horizontal="center"/>
      <protection hidden="1"/>
    </xf>
    <xf numFmtId="0" fontId="67" fillId="5" borderId="0" xfId="0" applyFont="1" applyFill="1" applyAlignment="1">
      <alignment horizontal="right"/>
    </xf>
    <xf numFmtId="0" fontId="209" fillId="5" borderId="2" xfId="2" applyFont="1" applyFill="1" applyBorder="1" applyAlignment="1" applyProtection="1">
      <alignment horizontal="center" vertical="center"/>
    </xf>
    <xf numFmtId="0" fontId="19" fillId="29" borderId="28" xfId="0" applyFont="1" applyFill="1" applyBorder="1" applyProtection="1">
      <protection hidden="1"/>
    </xf>
    <xf numFmtId="0" fontId="0" fillId="29" borderId="28" xfId="0" applyFill="1" applyBorder="1" applyAlignment="1" applyProtection="1">
      <alignment horizontal="center"/>
      <protection hidden="1"/>
    </xf>
    <xf numFmtId="0" fontId="19" fillId="29" borderId="6" xfId="0" applyFont="1" applyFill="1" applyBorder="1" applyProtection="1">
      <protection hidden="1"/>
    </xf>
    <xf numFmtId="0" fontId="19" fillId="29" borderId="0" xfId="0" applyFont="1" applyFill="1" applyBorder="1" applyProtection="1">
      <protection hidden="1"/>
    </xf>
    <xf numFmtId="0" fontId="0" fillId="29" borderId="0" xfId="0" applyFill="1" applyBorder="1" applyAlignment="1" applyProtection="1">
      <alignment horizontal="center"/>
      <protection hidden="1"/>
    </xf>
    <xf numFmtId="0" fontId="19" fillId="29" borderId="21" xfId="0" applyFont="1" applyFill="1" applyBorder="1" applyProtection="1">
      <protection hidden="1"/>
    </xf>
    <xf numFmtId="0" fontId="1" fillId="29" borderId="6" xfId="0" applyFont="1" applyFill="1" applyBorder="1" applyAlignment="1" applyProtection="1">
      <alignment horizontal="left"/>
      <protection hidden="1"/>
    </xf>
    <xf numFmtId="0" fontId="1" fillId="29" borderId="0" xfId="0" applyFont="1" applyFill="1" applyBorder="1" applyAlignment="1" applyProtection="1">
      <alignment horizontal="left"/>
      <protection hidden="1"/>
    </xf>
    <xf numFmtId="0" fontId="3" fillId="29" borderId="0" xfId="0" applyFont="1" applyFill="1" applyBorder="1" applyProtection="1">
      <protection hidden="1"/>
    </xf>
    <xf numFmtId="0" fontId="0" fillId="29" borderId="0" xfId="0" applyFill="1" applyBorder="1" applyAlignment="1" applyProtection="1">
      <alignment horizontal="left"/>
      <protection hidden="1"/>
    </xf>
    <xf numFmtId="0" fontId="3" fillId="29" borderId="0" xfId="0" applyFont="1" applyFill="1" applyBorder="1" applyAlignment="1" applyProtection="1">
      <alignment vertical="top"/>
      <protection hidden="1"/>
    </xf>
    <xf numFmtId="0" fontId="11" fillId="29" borderId="6" xfId="0" applyFont="1" applyFill="1" applyBorder="1" applyAlignment="1" applyProtection="1">
      <alignment horizontal="center"/>
      <protection hidden="1"/>
    </xf>
    <xf numFmtId="37" fontId="6" fillId="33" borderId="2" xfId="0" applyNumberFormat="1" applyFont="1" applyFill="1" applyBorder="1" applyAlignment="1" applyProtection="1">
      <alignment horizontal="center" vertical="center"/>
      <protection hidden="1"/>
    </xf>
    <xf numFmtId="0" fontId="174" fillId="2" borderId="0" xfId="0" applyFont="1" applyFill="1" applyProtection="1">
      <protection hidden="1"/>
    </xf>
    <xf numFmtId="3" fontId="188" fillId="29" borderId="0" xfId="0" applyNumberFormat="1" applyFont="1" applyFill="1" applyBorder="1" applyProtection="1">
      <protection hidden="1"/>
    </xf>
    <xf numFmtId="3" fontId="7" fillId="33" borderId="2" xfId="0" applyNumberFormat="1" applyFont="1" applyFill="1" applyBorder="1" applyAlignment="1" applyProtection="1">
      <alignment horizontal="center" vertical="top"/>
      <protection hidden="1"/>
    </xf>
    <xf numFmtId="0" fontId="14" fillId="20" borderId="0" xfId="0" applyFont="1" applyFill="1" applyBorder="1" applyAlignment="1" applyProtection="1">
      <protection hidden="1"/>
    </xf>
    <xf numFmtId="0" fontId="0" fillId="20" borderId="1" xfId="0" applyFill="1" applyBorder="1" applyAlignment="1">
      <alignment horizontal="left" vertical="top"/>
    </xf>
    <xf numFmtId="0" fontId="0" fillId="20" borderId="12" xfId="0" applyFill="1" applyBorder="1" applyAlignment="1">
      <alignment horizontal="left" vertical="top"/>
    </xf>
    <xf numFmtId="0" fontId="14" fillId="20" borderId="25" xfId="0" applyFont="1" applyFill="1" applyBorder="1" applyAlignment="1" applyProtection="1">
      <protection hidden="1"/>
    </xf>
    <xf numFmtId="0" fontId="161" fillId="0" borderId="0" xfId="0" applyFont="1" applyAlignment="1">
      <alignment horizontal="center" vertical="top" wrapText="1"/>
    </xf>
    <xf numFmtId="0" fontId="161" fillId="0" borderId="0" xfId="0" applyFont="1" applyAlignment="1">
      <alignment vertical="top" wrapText="1"/>
    </xf>
    <xf numFmtId="0" fontId="2" fillId="2" borderId="0" xfId="4" applyFont="1" applyFill="1" applyBorder="1" applyAlignment="1" applyProtection="1">
      <alignment horizontal="left"/>
      <protection hidden="1"/>
    </xf>
    <xf numFmtId="0" fontId="210" fillId="0" borderId="1" xfId="0" applyFont="1" applyFill="1" applyBorder="1"/>
    <xf numFmtId="0" fontId="210" fillId="0" borderId="9" xfId="0" applyFont="1" applyFill="1" applyBorder="1"/>
    <xf numFmtId="0" fontId="8" fillId="3" borderId="0" xfId="0" applyFont="1" applyFill="1" applyBorder="1" applyAlignment="1" applyProtection="1">
      <alignment horizontal="left"/>
      <protection hidden="1"/>
    </xf>
    <xf numFmtId="0" fontId="211" fillId="23" borderId="0" xfId="0" applyFont="1" applyFill="1" applyBorder="1" applyAlignment="1" applyProtection="1">
      <alignment horizontal="right"/>
      <protection hidden="1"/>
    </xf>
    <xf numFmtId="0" fontId="0" fillId="0" borderId="0" xfId="0" applyAlignment="1">
      <alignment wrapText="1"/>
    </xf>
    <xf numFmtId="0" fontId="0" fillId="0" borderId="0" xfId="0" applyAlignment="1"/>
    <xf numFmtId="0" fontId="8" fillId="0" borderId="0" xfId="0" applyFont="1" applyFill="1" applyBorder="1" applyAlignment="1" applyProtection="1">
      <alignment horizontal="left"/>
      <protection hidden="1"/>
    </xf>
    <xf numFmtId="0" fontId="11" fillId="0" borderId="0" xfId="0" applyFont="1" applyFill="1" applyBorder="1" applyAlignment="1" applyProtection="1">
      <protection hidden="1"/>
    </xf>
    <xf numFmtId="166" fontId="1" fillId="21" borderId="11" xfId="0" applyNumberFormat="1" applyFont="1" applyFill="1" applyBorder="1" applyAlignment="1" applyProtection="1">
      <alignment horizontal="center" vertical="center"/>
      <protection locked="0"/>
    </xf>
    <xf numFmtId="181" fontId="8" fillId="5" borderId="0" xfId="0" applyNumberFormat="1" applyFont="1" applyFill="1" applyBorder="1" applyAlignment="1" applyProtection="1">
      <alignment horizontal="center" vertical="top"/>
      <protection hidden="1"/>
    </xf>
    <xf numFmtId="0" fontId="0" fillId="0" borderId="0" xfId="0" applyAlignment="1" applyProtection="1">
      <alignment horizontal="center"/>
      <protection hidden="1"/>
    </xf>
    <xf numFmtId="0" fontId="0" fillId="0" borderId="0" xfId="0" applyAlignment="1" applyProtection="1">
      <alignment horizontal="center"/>
      <protection hidden="1"/>
    </xf>
    <xf numFmtId="0" fontId="138" fillId="5" borderId="5" xfId="0" applyFont="1" applyFill="1" applyBorder="1" applyAlignment="1" applyProtection="1">
      <alignment horizontal="center"/>
      <protection hidden="1"/>
    </xf>
    <xf numFmtId="0" fontId="1" fillId="2" borderId="5" xfId="0" applyFont="1" applyFill="1" applyBorder="1" applyAlignment="1" applyProtection="1">
      <alignment vertical="top"/>
      <protection hidden="1"/>
    </xf>
    <xf numFmtId="0" fontId="3" fillId="2" borderId="5" xfId="0" applyFont="1" applyFill="1" applyBorder="1" applyProtection="1">
      <protection hidden="1"/>
    </xf>
    <xf numFmtId="0" fontId="8" fillId="2" borderId="5" xfId="0" applyFont="1" applyFill="1" applyBorder="1" applyAlignment="1" applyProtection="1">
      <alignment vertical="top"/>
      <protection hidden="1"/>
    </xf>
    <xf numFmtId="0" fontId="3" fillId="2" borderId="5" xfId="0" applyFont="1" applyFill="1" applyBorder="1" applyAlignment="1" applyProtection="1">
      <alignment horizontal="right"/>
      <protection hidden="1"/>
    </xf>
    <xf numFmtId="0" fontId="10" fillId="21" borderId="13" xfId="0" applyFont="1" applyFill="1" applyBorder="1" applyAlignment="1" applyProtection="1">
      <alignment horizontal="center" vertical="center"/>
      <protection locked="0"/>
    </xf>
    <xf numFmtId="0" fontId="138" fillId="5" borderId="0" xfId="0" applyFont="1" applyFill="1" applyBorder="1" applyAlignment="1" applyProtection="1">
      <alignment horizontal="center"/>
      <protection hidden="1"/>
    </xf>
    <xf numFmtId="0" fontId="0" fillId="20" borderId="6" xfId="0" applyFill="1" applyBorder="1" applyAlignment="1" applyProtection="1">
      <alignment horizontal="left"/>
      <protection hidden="1"/>
    </xf>
    <xf numFmtId="0" fontId="0" fillId="20" borderId="0" xfId="0" applyFill="1" applyBorder="1" applyAlignment="1" applyProtection="1">
      <alignment horizontal="left"/>
      <protection hidden="1"/>
    </xf>
    <xf numFmtId="0" fontId="0" fillId="20" borderId="21" xfId="0" applyFill="1" applyBorder="1" applyAlignment="1" applyProtection="1">
      <alignment horizontal="left"/>
      <protection hidden="1"/>
    </xf>
    <xf numFmtId="0" fontId="0" fillId="20" borderId="6" xfId="0" applyFill="1" applyBorder="1" applyAlignment="1" applyProtection="1">
      <protection hidden="1"/>
    </xf>
    <xf numFmtId="0" fontId="3" fillId="20" borderId="22" xfId="0" applyFont="1" applyFill="1" applyBorder="1" applyAlignment="1" applyProtection="1">
      <protection hidden="1"/>
    </xf>
    <xf numFmtId="0" fontId="0" fillId="20" borderId="5" xfId="0" applyFill="1" applyBorder="1" applyAlignment="1" applyProtection="1">
      <protection hidden="1"/>
    </xf>
    <xf numFmtId="0" fontId="3" fillId="20" borderId="8" xfId="0" applyFont="1" applyFill="1" applyBorder="1" applyProtection="1">
      <protection hidden="1"/>
    </xf>
    <xf numFmtId="0" fontId="0" fillId="20" borderId="59" xfId="0" applyFill="1" applyBorder="1" applyProtection="1">
      <protection hidden="1"/>
    </xf>
    <xf numFmtId="0" fontId="0" fillId="20" borderId="1" xfId="0" applyFill="1" applyBorder="1" applyProtection="1">
      <protection hidden="1"/>
    </xf>
    <xf numFmtId="0" fontId="0" fillId="20" borderId="26" xfId="0" applyFill="1" applyBorder="1" applyProtection="1">
      <protection hidden="1"/>
    </xf>
    <xf numFmtId="0" fontId="0" fillId="20" borderId="16" xfId="0" applyFill="1" applyBorder="1" applyProtection="1">
      <protection hidden="1"/>
    </xf>
    <xf numFmtId="0" fontId="16" fillId="20" borderId="0" xfId="0" quotePrefix="1" applyFont="1" applyFill="1" applyBorder="1" applyAlignment="1" applyProtection="1">
      <alignment horizontal="center"/>
      <protection hidden="1"/>
    </xf>
    <xf numFmtId="0" fontId="1" fillId="20" borderId="11" xfId="0" applyFont="1" applyFill="1" applyBorder="1" applyAlignment="1" applyProtection="1">
      <alignment horizontal="center"/>
      <protection hidden="1"/>
    </xf>
    <xf numFmtId="0" fontId="0" fillId="20" borderId="7" xfId="0" applyFill="1" applyBorder="1" applyProtection="1">
      <protection hidden="1"/>
    </xf>
    <xf numFmtId="0" fontId="16" fillId="20" borderId="11" xfId="0" quotePrefix="1" applyFont="1" applyFill="1" applyBorder="1" applyAlignment="1" applyProtection="1">
      <alignment horizontal="center"/>
      <protection hidden="1"/>
    </xf>
    <xf numFmtId="0" fontId="16" fillId="20" borderId="0" xfId="0" quotePrefix="1" applyFont="1" applyFill="1" applyBorder="1" applyAlignment="1" applyProtection="1">
      <alignment horizontal="right"/>
      <protection hidden="1"/>
    </xf>
    <xf numFmtId="0" fontId="1" fillId="20" borderId="0" xfId="0" applyFont="1" applyFill="1" applyBorder="1" applyAlignment="1" applyProtection="1">
      <alignment horizontal="right"/>
      <protection hidden="1"/>
    </xf>
    <xf numFmtId="0" fontId="5" fillId="20" borderId="0" xfId="0" applyFont="1" applyFill="1" applyBorder="1" applyProtection="1">
      <protection hidden="1"/>
    </xf>
    <xf numFmtId="0" fontId="5" fillId="20" borderId="0" xfId="0" applyFont="1" applyFill="1" applyBorder="1" applyAlignment="1" applyProtection="1">
      <alignment vertical="top"/>
      <protection hidden="1"/>
    </xf>
    <xf numFmtId="0" fontId="0" fillId="24" borderId="7" xfId="0" applyFill="1" applyBorder="1" applyProtection="1">
      <protection hidden="1"/>
    </xf>
    <xf numFmtId="0" fontId="0" fillId="24" borderId="0" xfId="0" applyFill="1" applyBorder="1" applyProtection="1">
      <protection hidden="1"/>
    </xf>
    <xf numFmtId="0" fontId="1" fillId="20" borderId="0" xfId="0" applyFont="1" applyFill="1" applyBorder="1" applyProtection="1">
      <protection hidden="1"/>
    </xf>
    <xf numFmtId="0" fontId="0" fillId="20" borderId="7" xfId="0" applyFill="1" applyBorder="1" applyAlignment="1" applyProtection="1">
      <protection hidden="1"/>
    </xf>
    <xf numFmtId="0" fontId="16" fillId="20" borderId="29" xfId="0" quotePrefix="1" applyFont="1" applyFill="1" applyBorder="1" applyAlignment="1" applyProtection="1">
      <alignment horizontal="center"/>
      <protection hidden="1"/>
    </xf>
    <xf numFmtId="0" fontId="1" fillId="20" borderId="29" xfId="0" applyFont="1" applyFill="1" applyBorder="1" applyAlignment="1" applyProtection="1">
      <alignment horizontal="center"/>
      <protection hidden="1"/>
    </xf>
    <xf numFmtId="0" fontId="16" fillId="20" borderId="26" xfId="0" quotePrefix="1" applyFont="1" applyFill="1" applyBorder="1" applyAlignment="1" applyProtection="1">
      <alignment horizontal="right"/>
      <protection hidden="1"/>
    </xf>
    <xf numFmtId="0" fontId="16" fillId="20" borderId="26" xfId="0" quotePrefix="1" applyFont="1" applyFill="1" applyBorder="1" applyAlignment="1" applyProtection="1">
      <alignment horizontal="center"/>
      <protection hidden="1"/>
    </xf>
    <xf numFmtId="0" fontId="16" fillId="20" borderId="32" xfId="0" quotePrefix="1" applyFont="1" applyFill="1" applyBorder="1" applyAlignment="1" applyProtection="1">
      <alignment horizontal="right"/>
      <protection hidden="1"/>
    </xf>
    <xf numFmtId="0" fontId="16" fillId="20" borderId="32" xfId="0" quotePrefix="1" applyFont="1" applyFill="1" applyBorder="1" applyAlignment="1" applyProtection="1">
      <alignment horizontal="center"/>
      <protection hidden="1"/>
    </xf>
    <xf numFmtId="0" fontId="16" fillId="20" borderId="8" xfId="0" quotePrefix="1" applyFont="1" applyFill="1" applyBorder="1" applyAlignment="1" applyProtection="1">
      <alignment horizontal="right"/>
      <protection hidden="1"/>
    </xf>
    <xf numFmtId="0" fontId="5" fillId="20" borderId="1" xfId="0" applyFont="1" applyFill="1" applyBorder="1" applyProtection="1">
      <protection hidden="1"/>
    </xf>
    <xf numFmtId="0" fontId="10" fillId="20" borderId="1" xfId="0" applyFont="1" applyFill="1" applyBorder="1" applyAlignment="1" applyProtection="1">
      <alignment vertical="center"/>
      <protection hidden="1"/>
    </xf>
    <xf numFmtId="0" fontId="0" fillId="20" borderId="132" xfId="0" applyFill="1" applyBorder="1" applyProtection="1">
      <protection hidden="1"/>
    </xf>
    <xf numFmtId="0" fontId="0" fillId="20" borderId="132" xfId="0" applyFill="1" applyBorder="1" applyAlignment="1" applyProtection="1">
      <alignment horizontal="right"/>
      <protection hidden="1"/>
    </xf>
    <xf numFmtId="0" fontId="21" fillId="20" borderId="132" xfId="0" applyFont="1" applyFill="1" applyBorder="1" applyAlignment="1" applyProtection="1">
      <alignment horizontal="left"/>
      <protection hidden="1"/>
    </xf>
    <xf numFmtId="0" fontId="1" fillId="20" borderId="1" xfId="0" applyFont="1" applyFill="1" applyBorder="1" applyAlignment="1" applyProtection="1">
      <alignment vertical="center"/>
      <protection hidden="1"/>
    </xf>
    <xf numFmtId="0" fontId="16" fillId="20" borderId="9" xfId="0" applyFont="1" applyFill="1" applyBorder="1" applyAlignment="1" applyProtection="1">
      <alignment horizontal="center"/>
      <protection hidden="1"/>
    </xf>
    <xf numFmtId="0" fontId="0" fillId="20" borderId="9" xfId="0" applyFill="1" applyBorder="1" applyProtection="1">
      <protection hidden="1"/>
    </xf>
    <xf numFmtId="0" fontId="0" fillId="20" borderId="15" xfId="0" applyFill="1" applyBorder="1" applyProtection="1">
      <protection hidden="1"/>
    </xf>
    <xf numFmtId="0" fontId="16" fillId="20" borderId="31" xfId="0" applyFont="1" applyFill="1" applyBorder="1" applyAlignment="1" applyProtection="1">
      <alignment horizontal="center"/>
      <protection hidden="1"/>
    </xf>
    <xf numFmtId="0" fontId="16" fillId="20" borderId="0" xfId="0" applyFont="1" applyFill="1" applyBorder="1" applyProtection="1">
      <protection hidden="1"/>
    </xf>
    <xf numFmtId="0" fontId="10" fillId="20" borderId="28" xfId="0" applyFont="1" applyFill="1" applyBorder="1" applyAlignment="1" applyProtection="1">
      <alignment vertical="center"/>
      <protection hidden="1"/>
    </xf>
    <xf numFmtId="0" fontId="0" fillId="20" borderId="28" xfId="0" applyFill="1" applyBorder="1" applyProtection="1">
      <protection hidden="1"/>
    </xf>
    <xf numFmtId="0" fontId="181" fillId="20" borderId="26" xfId="0" applyFont="1" applyFill="1" applyBorder="1" applyAlignment="1" applyProtection="1">
      <alignment horizontal="right"/>
      <protection hidden="1"/>
    </xf>
    <xf numFmtId="0" fontId="0" fillId="20" borderId="31" xfId="0" applyFill="1" applyBorder="1" applyProtection="1">
      <protection hidden="1"/>
    </xf>
    <xf numFmtId="0" fontId="0" fillId="20" borderId="3" xfId="0" applyFill="1" applyBorder="1" applyProtection="1">
      <protection hidden="1"/>
    </xf>
    <xf numFmtId="0" fontId="0" fillId="20" borderId="25" xfId="0" applyFill="1" applyBorder="1" applyProtection="1">
      <protection hidden="1"/>
    </xf>
    <xf numFmtId="0" fontId="1" fillId="20" borderId="3" xfId="0" quotePrefix="1" applyFont="1" applyFill="1" applyBorder="1" applyAlignment="1" applyProtection="1">
      <alignment horizontal="right"/>
      <protection hidden="1"/>
    </xf>
    <xf numFmtId="0" fontId="1" fillId="20" borderId="0" xfId="0" quotePrefix="1" applyFont="1" applyFill="1" applyBorder="1" applyAlignment="1" applyProtection="1">
      <alignment horizontal="right"/>
      <protection hidden="1"/>
    </xf>
    <xf numFmtId="0" fontId="0" fillId="20" borderId="10" xfId="0" applyFill="1" applyBorder="1" applyProtection="1">
      <protection hidden="1"/>
    </xf>
    <xf numFmtId="0" fontId="1" fillId="5" borderId="0"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81" fillId="5" borderId="0" xfId="0" applyFont="1" applyFill="1" applyBorder="1" applyAlignment="1" applyProtection="1">
      <alignment horizontal="center"/>
      <protection hidden="1"/>
    </xf>
    <xf numFmtId="0" fontId="212" fillId="0" borderId="0" xfId="0" applyFont="1" applyAlignment="1">
      <alignment vertical="center" wrapText="1"/>
    </xf>
    <xf numFmtId="0" fontId="10" fillId="32" borderId="13" xfId="0" applyFont="1" applyFill="1" applyBorder="1" applyAlignment="1" applyProtection="1">
      <alignment horizontal="center" vertical="center"/>
      <protection locked="0"/>
    </xf>
    <xf numFmtId="0" fontId="10" fillId="32" borderId="13" xfId="0" applyFont="1" applyFill="1" applyBorder="1" applyAlignment="1" applyProtection="1">
      <alignment horizontal="center" vertical="center"/>
      <protection hidden="1"/>
    </xf>
    <xf numFmtId="0" fontId="213" fillId="0" borderId="47" xfId="0" quotePrefix="1" applyFont="1" applyBorder="1" applyAlignment="1">
      <alignment horizontal="center" vertical="center" wrapText="1"/>
    </xf>
    <xf numFmtId="0" fontId="213" fillId="0" borderId="58" xfId="0" applyFont="1" applyBorder="1" applyAlignment="1">
      <alignment horizontal="center" vertical="center"/>
    </xf>
    <xf numFmtId="0" fontId="213" fillId="0" borderId="11" xfId="0" applyFont="1" applyBorder="1" applyAlignment="1">
      <alignment horizontal="center" vertical="center" wrapText="1"/>
    </xf>
    <xf numFmtId="0" fontId="214" fillId="0" borderId="62" xfId="0" applyFont="1" applyBorder="1" applyAlignment="1" applyProtection="1">
      <alignment horizontal="centerContinuous"/>
      <protection hidden="1"/>
    </xf>
    <xf numFmtId="0" fontId="213" fillId="0" borderId="78" xfId="0" applyFont="1" applyBorder="1" applyAlignment="1">
      <alignment horizontal="centerContinuous" wrapText="1"/>
    </xf>
    <xf numFmtId="0" fontId="3" fillId="0" borderId="63" xfId="0" applyFont="1" applyBorder="1" applyAlignment="1" applyProtection="1">
      <alignment horizontal="centerContinuous"/>
      <protection hidden="1"/>
    </xf>
    <xf numFmtId="0" fontId="213" fillId="0" borderId="69" xfId="0" applyFont="1" applyBorder="1" applyAlignment="1">
      <alignment horizontal="center" vertical="center" wrapText="1"/>
    </xf>
    <xf numFmtId="3" fontId="213" fillId="0" borderId="13" xfId="0" applyNumberFormat="1" applyFont="1" applyBorder="1" applyAlignment="1">
      <alignment horizontal="center" vertical="center" wrapText="1"/>
    </xf>
    <xf numFmtId="3" fontId="3" fillId="35" borderId="1" xfId="0" applyNumberFormat="1" applyFont="1" applyFill="1" applyBorder="1" applyProtection="1">
      <protection hidden="1"/>
    </xf>
    <xf numFmtId="3" fontId="3" fillId="21" borderId="1" xfId="0" applyNumberFormat="1" applyFont="1" applyFill="1" applyBorder="1" applyProtection="1">
      <protection locked="0"/>
    </xf>
    <xf numFmtId="3" fontId="3" fillId="30" borderId="1" xfId="0" applyNumberFormat="1" applyFont="1" applyFill="1" applyBorder="1" applyProtection="1">
      <protection hidden="1"/>
    </xf>
    <xf numFmtId="0" fontId="0" fillId="0" borderId="0" xfId="0" applyAlignment="1">
      <alignment vertical="center"/>
    </xf>
    <xf numFmtId="0" fontId="8" fillId="3" borderId="6" xfId="0" applyFont="1" applyFill="1" applyBorder="1" applyAlignment="1" applyProtection="1">
      <alignment horizontal="left"/>
      <protection hidden="1"/>
    </xf>
    <xf numFmtId="0" fontId="0" fillId="2" borderId="0" xfId="0" applyFill="1" applyBorder="1" applyProtection="1"/>
    <xf numFmtId="0" fontId="8" fillId="3" borderId="27" xfId="0" applyFont="1" applyFill="1" applyBorder="1" applyAlignment="1" applyProtection="1">
      <alignment horizontal="center"/>
      <protection hidden="1"/>
    </xf>
    <xf numFmtId="0" fontId="97" fillId="5" borderId="0" xfId="0" applyFont="1" applyFill="1" applyProtection="1"/>
    <xf numFmtId="0" fontId="8" fillId="3" borderId="5" xfId="0" applyFont="1" applyFill="1" applyBorder="1" applyAlignment="1" applyProtection="1">
      <alignment vertical="center"/>
      <protection hidden="1"/>
    </xf>
    <xf numFmtId="0" fontId="8" fillId="3" borderId="22" xfId="0" applyFont="1" applyFill="1" applyBorder="1" applyAlignment="1" applyProtection="1">
      <alignment horizontal="center"/>
      <protection hidden="1"/>
    </xf>
    <xf numFmtId="0" fontId="216" fillId="3" borderId="0" xfId="0" applyFont="1" applyFill="1" applyBorder="1" applyAlignment="1" applyProtection="1">
      <alignment horizontal="right"/>
      <protection hidden="1"/>
    </xf>
    <xf numFmtId="0" fontId="216" fillId="3" borderId="0" xfId="0" applyFont="1" applyFill="1" applyBorder="1" applyProtection="1">
      <protection hidden="1"/>
    </xf>
    <xf numFmtId="4" fontId="217" fillId="3" borderId="25" xfId="0" applyNumberFormat="1" applyFont="1" applyFill="1" applyBorder="1" applyAlignment="1" applyProtection="1">
      <alignment horizontal="right"/>
      <protection hidden="1"/>
    </xf>
    <xf numFmtId="4" fontId="97" fillId="5" borderId="0" xfId="0" applyNumberFormat="1" applyFont="1" applyFill="1" applyBorder="1" applyProtection="1"/>
    <xf numFmtId="0" fontId="97" fillId="5" borderId="0" xfId="0" applyFont="1" applyFill="1" applyAlignment="1" applyProtection="1">
      <alignment vertical="center"/>
    </xf>
    <xf numFmtId="0" fontId="0" fillId="0" borderId="0" xfId="0" applyAlignment="1" applyProtection="1">
      <alignment vertical="center"/>
    </xf>
    <xf numFmtId="0" fontId="219" fillId="3" borderId="0" xfId="0" applyFont="1" applyFill="1" applyBorder="1" applyProtection="1">
      <protection hidden="1"/>
    </xf>
    <xf numFmtId="0" fontId="101" fillId="3" borderId="0" xfId="0" applyFont="1" applyFill="1" applyBorder="1" applyProtection="1">
      <protection hidden="1"/>
    </xf>
    <xf numFmtId="0" fontId="101" fillId="3" borderId="0" xfId="0" applyFont="1" applyFill="1" applyBorder="1" applyAlignment="1" applyProtection="1">
      <alignment vertical="top"/>
      <protection hidden="1"/>
    </xf>
    <xf numFmtId="0" fontId="59" fillId="11" borderId="0" xfId="0" applyFont="1" applyFill="1" applyBorder="1" applyAlignment="1" applyProtection="1">
      <alignment horizontal="center" vertical="center"/>
      <protection hidden="1"/>
    </xf>
    <xf numFmtId="0" fontId="10" fillId="3" borderId="0" xfId="0" applyFont="1" applyFill="1" applyProtection="1">
      <protection hidden="1"/>
    </xf>
    <xf numFmtId="0" fontId="217" fillId="3" borderId="0" xfId="0" applyFont="1" applyFill="1" applyBorder="1" applyAlignment="1" applyProtection="1">
      <alignment horizontal="right"/>
      <protection hidden="1"/>
    </xf>
    <xf numFmtId="0" fontId="0" fillId="3" borderId="15" xfId="0" applyFill="1" applyBorder="1" applyProtection="1">
      <protection hidden="1"/>
    </xf>
    <xf numFmtId="0" fontId="0" fillId="3" borderId="3" xfId="0" applyFill="1" applyBorder="1" applyProtection="1">
      <protection hidden="1"/>
    </xf>
    <xf numFmtId="0" fontId="217" fillId="3" borderId="0" xfId="0" applyFont="1" applyFill="1" applyProtection="1">
      <protection hidden="1"/>
    </xf>
    <xf numFmtId="0" fontId="217" fillId="3" borderId="0" xfId="0" applyFont="1" applyFill="1" applyAlignment="1" applyProtection="1">
      <alignment horizontal="left"/>
      <protection hidden="1"/>
    </xf>
    <xf numFmtId="0" fontId="217" fillId="3" borderId="3" xfId="0" applyFont="1" applyFill="1" applyBorder="1" applyProtection="1">
      <protection hidden="1"/>
    </xf>
    <xf numFmtId="0" fontId="219" fillId="3" borderId="1" xfId="0" applyFont="1" applyFill="1" applyBorder="1" applyAlignment="1" applyProtection="1">
      <alignment horizontal="left"/>
      <protection hidden="1"/>
    </xf>
    <xf numFmtId="0" fontId="8" fillId="3" borderId="1" xfId="0" applyFont="1" applyFill="1" applyBorder="1" applyAlignment="1" applyProtection="1">
      <alignment horizontal="center"/>
      <protection hidden="1"/>
    </xf>
    <xf numFmtId="0" fontId="8" fillId="3" borderId="12" xfId="0" applyFont="1" applyFill="1" applyBorder="1" applyProtection="1">
      <protection hidden="1"/>
    </xf>
    <xf numFmtId="0" fontId="8" fillId="3" borderId="10" xfId="0" applyFont="1" applyFill="1" applyBorder="1" applyProtection="1">
      <protection hidden="1"/>
    </xf>
    <xf numFmtId="0" fontId="0" fillId="3" borderId="10" xfId="0" applyFill="1" applyBorder="1" applyProtection="1">
      <protection hidden="1"/>
    </xf>
    <xf numFmtId="0" fontId="0" fillId="3" borderId="21" xfId="0" applyFill="1" applyBorder="1" applyAlignment="1" applyProtection="1">
      <alignment horizontal="left"/>
      <protection hidden="1"/>
    </xf>
    <xf numFmtId="0" fontId="96" fillId="3" borderId="0" xfId="0" applyFont="1" applyFill="1" applyBorder="1" applyProtection="1">
      <protection hidden="1"/>
    </xf>
    <xf numFmtId="0" fontId="67" fillId="3" borderId="0" xfId="0" applyFont="1" applyFill="1" applyBorder="1" applyAlignment="1" applyProtection="1">
      <alignment horizontal="center"/>
      <protection hidden="1"/>
    </xf>
    <xf numFmtId="0" fontId="0" fillId="3" borderId="75" xfId="0" applyFill="1" applyBorder="1" applyProtection="1">
      <protection hidden="1"/>
    </xf>
    <xf numFmtId="0" fontId="0" fillId="3" borderId="34" xfId="0" applyFill="1" applyBorder="1" applyProtection="1">
      <protection hidden="1"/>
    </xf>
    <xf numFmtId="0" fontId="67" fillId="3" borderId="0" xfId="0" applyFont="1" applyFill="1" applyProtection="1">
      <protection hidden="1"/>
    </xf>
    <xf numFmtId="0" fontId="3" fillId="3" borderId="1" xfId="0" applyFont="1" applyFill="1" applyBorder="1" applyProtection="1">
      <protection hidden="1"/>
    </xf>
    <xf numFmtId="0" fontId="59" fillId="11" borderId="0" xfId="0" applyFont="1" applyFill="1" applyBorder="1" applyAlignment="1" applyProtection="1">
      <alignment horizontal="center"/>
      <protection hidden="1"/>
    </xf>
    <xf numFmtId="0" fontId="219" fillId="3" borderId="26" xfId="0" applyFont="1" applyFill="1" applyBorder="1" applyProtection="1">
      <protection hidden="1"/>
    </xf>
    <xf numFmtId="0" fontId="0" fillId="3" borderId="26" xfId="0" applyFill="1" applyBorder="1" applyProtection="1">
      <protection hidden="1"/>
    </xf>
    <xf numFmtId="0" fontId="219" fillId="3" borderId="1" xfId="0" applyFont="1" applyFill="1" applyBorder="1" applyAlignment="1" applyProtection="1">
      <alignment horizontal="center"/>
      <protection hidden="1"/>
    </xf>
    <xf numFmtId="0" fontId="20" fillId="3" borderId="3" xfId="0" applyFont="1" applyFill="1" applyBorder="1" applyAlignment="1" applyProtection="1">
      <alignment horizontal="center"/>
      <protection hidden="1"/>
    </xf>
    <xf numFmtId="0" fontId="8" fillId="3" borderId="0" xfId="0" applyFont="1" applyFill="1" applyAlignment="1" applyProtection="1">
      <alignment horizontal="center"/>
      <protection hidden="1"/>
    </xf>
    <xf numFmtId="0" fontId="8" fillId="3" borderId="3" xfId="0" applyFont="1" applyFill="1" applyBorder="1" applyProtection="1">
      <protection hidden="1"/>
    </xf>
    <xf numFmtId="0" fontId="17" fillId="3" borderId="3" xfId="0" applyFont="1" applyFill="1" applyBorder="1" applyAlignment="1" applyProtection="1">
      <alignment horizontal="center"/>
      <protection hidden="1"/>
    </xf>
    <xf numFmtId="0" fontId="17" fillId="3" borderId="10" xfId="0" applyFont="1" applyFill="1" applyBorder="1" applyAlignment="1" applyProtection="1">
      <alignment horizontal="center"/>
      <protection hidden="1"/>
    </xf>
    <xf numFmtId="0" fontId="219" fillId="3" borderId="0" xfId="0" applyFont="1" applyFill="1" applyBorder="1" applyAlignment="1" applyProtection="1">
      <alignment horizontal="center"/>
      <protection hidden="1"/>
    </xf>
    <xf numFmtId="0" fontId="3" fillId="3" borderId="0" xfId="0" applyFont="1" applyFill="1" applyProtection="1">
      <protection hidden="1"/>
    </xf>
    <xf numFmtId="0" fontId="97" fillId="7" borderId="7" xfId="0" applyFont="1" applyFill="1" applyBorder="1" applyProtection="1">
      <protection hidden="1"/>
    </xf>
    <xf numFmtId="3" fontId="23" fillId="3" borderId="3" xfId="0" applyNumberFormat="1" applyFont="1" applyFill="1" applyBorder="1" applyProtection="1">
      <protection hidden="1"/>
    </xf>
    <xf numFmtId="0" fontId="23" fillId="0" borderId="0" xfId="0" applyFont="1" applyProtection="1"/>
    <xf numFmtId="0" fontId="0" fillId="7" borderId="7" xfId="0" applyFill="1" applyBorder="1" applyProtection="1">
      <protection hidden="1"/>
    </xf>
    <xf numFmtId="0" fontId="1" fillId="3" borderId="25" xfId="0" applyFont="1" applyFill="1" applyBorder="1" applyAlignment="1" applyProtection="1">
      <alignment horizontal="right"/>
      <protection hidden="1"/>
    </xf>
    <xf numFmtId="0" fontId="219" fillId="3" borderId="10" xfId="0" applyFont="1" applyFill="1" applyBorder="1" applyAlignment="1" applyProtection="1">
      <alignment horizontal="center"/>
      <protection hidden="1"/>
    </xf>
    <xf numFmtId="0" fontId="0" fillId="3" borderId="25" xfId="0" applyFill="1" applyBorder="1" applyProtection="1">
      <protection hidden="1"/>
    </xf>
    <xf numFmtId="4" fontId="3" fillId="3" borderId="3" xfId="0" applyNumberFormat="1" applyFont="1" applyFill="1" applyBorder="1" applyProtection="1">
      <protection hidden="1"/>
    </xf>
    <xf numFmtId="0" fontId="5" fillId="3" borderId="0" xfId="0" applyFont="1" applyFill="1" applyAlignment="1" applyProtection="1">
      <alignment vertical="top"/>
      <protection hidden="1"/>
    </xf>
    <xf numFmtId="0" fontId="217" fillId="3" borderId="0" xfId="0" applyFont="1" applyFill="1" applyAlignment="1" applyProtection="1">
      <alignment horizontal="right"/>
      <protection hidden="1"/>
    </xf>
    <xf numFmtId="0" fontId="217" fillId="3" borderId="5" xfId="0" applyFont="1" applyFill="1" applyBorder="1" applyAlignment="1" applyProtection="1">
      <alignment horizontal="right"/>
      <protection hidden="1"/>
    </xf>
    <xf numFmtId="0" fontId="217" fillId="3" borderId="5" xfId="0" applyFont="1" applyFill="1" applyBorder="1" applyAlignment="1" applyProtection="1">
      <alignment horizontal="left"/>
      <protection hidden="1"/>
    </xf>
    <xf numFmtId="0" fontId="11" fillId="3" borderId="5" xfId="0" applyFont="1" applyFill="1" applyBorder="1" applyAlignment="1" applyProtection="1">
      <alignment horizontal="right"/>
      <protection hidden="1"/>
    </xf>
    <xf numFmtId="0" fontId="217" fillId="3" borderId="5" xfId="0" applyFont="1" applyFill="1" applyBorder="1" applyProtection="1">
      <protection hidden="1"/>
    </xf>
    <xf numFmtId="0" fontId="0" fillId="3" borderId="73" xfId="0" applyFill="1" applyBorder="1" applyProtection="1">
      <protection hidden="1"/>
    </xf>
    <xf numFmtId="6" fontId="0" fillId="3" borderId="0" xfId="0" applyNumberFormat="1" applyFill="1" applyAlignment="1" applyProtection="1">
      <alignment horizontal="right"/>
      <protection hidden="1"/>
    </xf>
    <xf numFmtId="0" fontId="0" fillId="3" borderId="0" xfId="0" applyFill="1" applyAlignment="1" applyProtection="1">
      <alignment horizontal="left"/>
      <protection hidden="1"/>
    </xf>
    <xf numFmtId="183" fontId="0" fillId="3" borderId="0" xfId="0" applyNumberFormat="1" applyFill="1" applyAlignment="1" applyProtection="1">
      <alignment horizontal="left"/>
      <protection hidden="1"/>
    </xf>
    <xf numFmtId="6" fontId="0" fillId="3" borderId="6" xfId="0" applyNumberFormat="1" applyFill="1" applyBorder="1" applyAlignment="1" applyProtection="1">
      <alignment horizontal="right"/>
      <protection hidden="1"/>
    </xf>
    <xf numFmtId="3" fontId="0" fillId="3" borderId="0" xfId="0" applyNumberFormat="1" applyFill="1" applyAlignment="1" applyProtection="1">
      <alignment horizontal="left"/>
      <protection hidden="1"/>
    </xf>
    <xf numFmtId="183" fontId="0" fillId="3" borderId="0" xfId="0" applyNumberFormat="1" applyFill="1" applyAlignment="1" applyProtection="1">
      <alignment horizontal="center"/>
      <protection hidden="1"/>
    </xf>
    <xf numFmtId="3" fontId="0" fillId="3" borderId="0" xfId="0" applyNumberFormat="1" applyFill="1" applyAlignment="1" applyProtection="1">
      <alignment horizontal="right"/>
      <protection hidden="1"/>
    </xf>
    <xf numFmtId="3" fontId="0" fillId="3" borderId="6" xfId="0" applyNumberFormat="1" applyFill="1" applyBorder="1" applyAlignment="1" applyProtection="1">
      <alignment horizontal="right"/>
      <protection hidden="1"/>
    </xf>
    <xf numFmtId="3" fontId="0" fillId="3" borderId="0" xfId="0" applyNumberFormat="1" applyFill="1" applyBorder="1" applyAlignment="1" applyProtection="1">
      <alignment horizontal="right"/>
      <protection hidden="1"/>
    </xf>
    <xf numFmtId="4" fontId="23" fillId="3" borderId="3" xfId="0" applyNumberFormat="1" applyFont="1" applyFill="1" applyBorder="1" applyProtection="1">
      <protection hidden="1"/>
    </xf>
    <xf numFmtId="0" fontId="219" fillId="3" borderId="5" xfId="0" applyFont="1" applyFill="1" applyBorder="1" applyAlignment="1" applyProtection="1">
      <alignment horizontal="center"/>
      <protection hidden="1"/>
    </xf>
    <xf numFmtId="0" fontId="1" fillId="3" borderId="73" xfId="0" applyFont="1" applyFill="1" applyBorder="1" applyAlignment="1" applyProtection="1">
      <alignment horizontal="right"/>
      <protection hidden="1"/>
    </xf>
    <xf numFmtId="0" fontId="219" fillId="3" borderId="72" xfId="0" applyFont="1" applyFill="1" applyBorder="1" applyAlignment="1" applyProtection="1">
      <alignment horizontal="center"/>
      <protection hidden="1"/>
    </xf>
    <xf numFmtId="0" fontId="0" fillId="3" borderId="8" xfId="0" applyFill="1" applyBorder="1" applyAlignment="1" applyProtection="1">
      <alignment vertical="center"/>
      <protection hidden="1"/>
    </xf>
    <xf numFmtId="0" fontId="8" fillId="3" borderId="8" xfId="0" applyFont="1" applyFill="1" applyBorder="1" applyAlignment="1" applyProtection="1">
      <alignment vertical="center"/>
      <protection hidden="1"/>
    </xf>
    <xf numFmtId="0" fontId="0" fillId="3" borderId="5" xfId="0" applyFill="1" applyBorder="1" applyAlignment="1" applyProtection="1">
      <alignment horizontal="right"/>
      <protection hidden="1"/>
    </xf>
    <xf numFmtId="0" fontId="89" fillId="11" borderId="1" xfId="0" applyFont="1" applyFill="1" applyBorder="1" applyAlignment="1" applyProtection="1">
      <alignment horizontal="center" vertical="center"/>
      <protection hidden="1"/>
    </xf>
    <xf numFmtId="0" fontId="10" fillId="3" borderId="1" xfId="0" applyFont="1" applyFill="1" applyBorder="1" applyAlignment="1" applyProtection="1">
      <alignment vertical="center"/>
      <protection hidden="1"/>
    </xf>
    <xf numFmtId="0" fontId="0" fillId="3" borderId="31" xfId="0" applyFill="1" applyBorder="1" applyProtection="1">
      <protection hidden="1"/>
    </xf>
    <xf numFmtId="4" fontId="0" fillId="3" borderId="31" xfId="0" applyNumberFormat="1" applyFill="1" applyBorder="1" applyProtection="1">
      <protection hidden="1"/>
    </xf>
    <xf numFmtId="0" fontId="219" fillId="3" borderId="11" xfId="0" applyFont="1" applyFill="1" applyBorder="1" applyAlignment="1" applyProtection="1">
      <alignment horizontal="right"/>
      <protection hidden="1"/>
    </xf>
    <xf numFmtId="0" fontId="219" fillId="3" borderId="10" xfId="0" applyFont="1" applyFill="1" applyBorder="1" applyAlignment="1" applyProtection="1">
      <alignment horizontal="right"/>
      <protection hidden="1"/>
    </xf>
    <xf numFmtId="0" fontId="0" fillId="3" borderId="7" xfId="0" applyFill="1" applyBorder="1" applyProtection="1">
      <protection hidden="1"/>
    </xf>
    <xf numFmtId="4" fontId="0" fillId="3" borderId="7" xfId="0" applyNumberFormat="1" applyFill="1" applyBorder="1" applyProtection="1">
      <protection hidden="1"/>
    </xf>
    <xf numFmtId="0" fontId="220" fillId="3" borderId="0" xfId="0" applyFont="1" applyFill="1" applyAlignment="1" applyProtection="1">
      <alignment horizontal="right"/>
      <protection hidden="1"/>
    </xf>
    <xf numFmtId="0" fontId="219" fillId="7" borderId="7" xfId="0" applyFont="1" applyFill="1" applyBorder="1" applyAlignment="1" applyProtection="1">
      <alignment horizontal="right"/>
      <protection hidden="1"/>
    </xf>
    <xf numFmtId="4" fontId="3" fillId="3" borderId="7" xfId="0" applyNumberFormat="1" applyFont="1" applyFill="1" applyBorder="1" applyProtection="1">
      <protection hidden="1"/>
    </xf>
    <xf numFmtId="4" fontId="3" fillId="3" borderId="0" xfId="0" applyNumberFormat="1" applyFont="1" applyFill="1" applyBorder="1" applyProtection="1">
      <protection hidden="1"/>
    </xf>
    <xf numFmtId="3" fontId="23" fillId="3" borderId="7" xfId="0" applyNumberFormat="1" applyFont="1" applyFill="1" applyBorder="1" applyProtection="1">
      <protection hidden="1"/>
    </xf>
    <xf numFmtId="0" fontId="219" fillId="3" borderId="3" xfId="0" applyFont="1" applyFill="1" applyBorder="1" applyAlignment="1" applyProtection="1">
      <alignment horizontal="right"/>
      <protection hidden="1"/>
    </xf>
    <xf numFmtId="3" fontId="3" fillId="3" borderId="3" xfId="0" applyNumberFormat="1" applyFont="1" applyFill="1" applyBorder="1" applyProtection="1">
      <protection locked="0"/>
    </xf>
    <xf numFmtId="3" fontId="3" fillId="3" borderId="3" xfId="0" applyNumberFormat="1" applyFont="1" applyFill="1" applyBorder="1" applyProtection="1">
      <protection hidden="1"/>
    </xf>
    <xf numFmtId="0" fontId="0" fillId="3" borderId="1" xfId="0" applyFill="1" applyBorder="1" applyAlignment="1" applyProtection="1">
      <alignment horizontal="center"/>
      <protection hidden="1"/>
    </xf>
    <xf numFmtId="0" fontId="1" fillId="3" borderId="12" xfId="0" applyFont="1" applyFill="1" applyBorder="1" applyAlignment="1" applyProtection="1">
      <alignment horizontal="right"/>
      <protection hidden="1"/>
    </xf>
    <xf numFmtId="0" fontId="219" fillId="3" borderId="0" xfId="0" applyFont="1" applyFill="1" applyProtection="1">
      <protection hidden="1"/>
    </xf>
    <xf numFmtId="0" fontId="1" fillId="3" borderId="5" xfId="0" applyFont="1" applyFill="1" applyBorder="1" applyAlignment="1" applyProtection="1">
      <alignment horizontal="right"/>
      <protection hidden="1"/>
    </xf>
    <xf numFmtId="0" fontId="219" fillId="3" borderId="29" xfId="0" applyFont="1" applyFill="1" applyBorder="1" applyAlignment="1" applyProtection="1">
      <alignment horizontal="right"/>
      <protection hidden="1"/>
    </xf>
    <xf numFmtId="0" fontId="219" fillId="3" borderId="8" xfId="0" applyFont="1" applyFill="1" applyBorder="1" applyProtection="1">
      <protection hidden="1"/>
    </xf>
    <xf numFmtId="0" fontId="1" fillId="3" borderId="8" xfId="0" applyFont="1" applyFill="1" applyBorder="1" applyAlignment="1" applyProtection="1">
      <alignment horizontal="right"/>
      <protection hidden="1"/>
    </xf>
    <xf numFmtId="0" fontId="0" fillId="2" borderId="24" xfId="0" applyFill="1" applyBorder="1" applyProtection="1"/>
    <xf numFmtId="0" fontId="8" fillId="3" borderId="22" xfId="0" applyFont="1" applyFill="1" applyBorder="1" applyAlignment="1" applyProtection="1">
      <alignment horizontal="center" vertical="center"/>
      <protection hidden="1"/>
    </xf>
    <xf numFmtId="0" fontId="0" fillId="3" borderId="23" xfId="0" applyFill="1" applyBorder="1" applyAlignment="1" applyProtection="1">
      <alignment vertical="center"/>
      <protection hidden="1"/>
    </xf>
    <xf numFmtId="0" fontId="8" fillId="3" borderId="0" xfId="0" applyFont="1" applyFill="1" applyBorder="1" applyAlignment="1" applyProtection="1">
      <alignment horizontal="center" vertical="center"/>
      <protection hidden="1"/>
    </xf>
    <xf numFmtId="0" fontId="22" fillId="3" borderId="0" xfId="0" applyFont="1" applyFill="1" applyBorder="1" applyAlignment="1" applyProtection="1">
      <alignment horizontal="left" vertical="center"/>
      <protection hidden="1"/>
    </xf>
    <xf numFmtId="0" fontId="0" fillId="3" borderId="0" xfId="0" applyFill="1" applyBorder="1" applyAlignment="1" applyProtection="1">
      <alignment vertical="center"/>
      <protection hidden="1"/>
    </xf>
    <xf numFmtId="0" fontId="21" fillId="3" borderId="0" xfId="0" applyFont="1" applyFill="1" applyBorder="1" applyAlignment="1" applyProtection="1">
      <alignment vertical="center"/>
      <protection hidden="1"/>
    </xf>
    <xf numFmtId="0" fontId="221" fillId="3" borderId="0" xfId="0" applyFont="1" applyFill="1" applyBorder="1" applyAlignment="1" applyProtection="1">
      <alignment horizontal="center" vertical="center"/>
      <protection hidden="1"/>
    </xf>
    <xf numFmtId="0" fontId="8" fillId="3" borderId="9" xfId="0" applyFont="1" applyFill="1" applyBorder="1" applyProtection="1">
      <protection hidden="1"/>
    </xf>
    <xf numFmtId="0" fontId="6" fillId="3" borderId="9" xfId="0" applyFont="1" applyFill="1" applyBorder="1" applyProtection="1">
      <protection hidden="1"/>
    </xf>
    <xf numFmtId="0" fontId="216" fillId="3" borderId="9" xfId="0" applyFont="1" applyFill="1" applyBorder="1" applyAlignment="1" applyProtection="1">
      <alignment horizontal="right"/>
      <protection hidden="1"/>
    </xf>
    <xf numFmtId="0" fontId="216" fillId="3" borderId="9" xfId="0" applyFont="1" applyFill="1" applyBorder="1" applyProtection="1">
      <protection hidden="1"/>
    </xf>
    <xf numFmtId="4" fontId="217" fillId="3" borderId="15" xfId="0" applyNumberFormat="1" applyFont="1" applyFill="1" applyBorder="1" applyAlignment="1" applyProtection="1">
      <alignment horizontal="right"/>
      <protection hidden="1"/>
    </xf>
    <xf numFmtId="0" fontId="11" fillId="3" borderId="31" xfId="0" applyFont="1" applyFill="1" applyBorder="1" applyProtection="1">
      <protection hidden="1"/>
    </xf>
    <xf numFmtId="0" fontId="218" fillId="3" borderId="1" xfId="0" quotePrefix="1" applyFont="1" applyFill="1" applyBorder="1" applyProtection="1">
      <protection hidden="1"/>
    </xf>
    <xf numFmtId="166" fontId="6" fillId="3" borderId="1" xfId="0" applyNumberFormat="1" applyFont="1" applyFill="1" applyBorder="1" applyAlignment="1" applyProtection="1">
      <alignment horizontal="center"/>
      <protection hidden="1"/>
    </xf>
    <xf numFmtId="39" fontId="215" fillId="3" borderId="1" xfId="0" applyNumberFormat="1" applyFont="1" applyFill="1" applyBorder="1" applyProtection="1">
      <protection hidden="1"/>
    </xf>
    <xf numFmtId="166" fontId="6" fillId="3" borderId="12" xfId="0" applyNumberFormat="1" applyFont="1" applyFill="1" applyBorder="1" applyAlignment="1" applyProtection="1">
      <alignment horizontal="center"/>
      <protection hidden="1"/>
    </xf>
    <xf numFmtId="39" fontId="215" fillId="3" borderId="10" xfId="0" applyNumberFormat="1" applyFont="1" applyFill="1" applyBorder="1" applyProtection="1">
      <protection hidden="1"/>
    </xf>
    <xf numFmtId="166" fontId="1" fillId="3" borderId="1" xfId="0" applyNumberFormat="1" applyFont="1" applyFill="1" applyBorder="1" applyAlignment="1" applyProtection="1">
      <alignment horizontal="left"/>
      <protection hidden="1"/>
    </xf>
    <xf numFmtId="0" fontId="219" fillId="0" borderId="0" xfId="0" applyFont="1" applyBorder="1" applyAlignment="1" applyProtection="1">
      <alignment horizontal="left"/>
    </xf>
    <xf numFmtId="0" fontId="219" fillId="0" borderId="0" xfId="0" applyFont="1" applyAlignment="1" applyProtection="1">
      <alignment horizontal="left"/>
    </xf>
    <xf numFmtId="3" fontId="161" fillId="0" borderId="0" xfId="0" applyNumberFormat="1" applyFont="1"/>
    <xf numFmtId="3" fontId="1" fillId="21" borderId="130" xfId="4" applyNumberFormat="1" applyFont="1" applyFill="1" applyBorder="1" applyAlignment="1" applyProtection="1">
      <alignment horizontal="center" vertical="center"/>
      <protection locked="0"/>
    </xf>
    <xf numFmtId="3" fontId="1" fillId="21" borderId="47" xfId="4" applyNumberFormat="1" applyFont="1" applyFill="1" applyBorder="1" applyAlignment="1" applyProtection="1">
      <alignment horizontal="center" vertical="center"/>
      <protection locked="0"/>
    </xf>
    <xf numFmtId="3" fontId="1" fillId="21" borderId="51" xfId="4" applyNumberFormat="1" applyFont="1" applyFill="1" applyBorder="1" applyAlignment="1" applyProtection="1">
      <alignment horizontal="center" vertical="center"/>
      <protection locked="0"/>
    </xf>
    <xf numFmtId="3" fontId="1" fillId="21" borderId="69" xfId="4" applyNumberFormat="1" applyFont="1" applyFill="1" applyBorder="1" applyAlignment="1" applyProtection="1">
      <alignment horizontal="center" vertical="center"/>
      <protection locked="0"/>
    </xf>
    <xf numFmtId="3" fontId="1" fillId="21" borderId="61" xfId="4" applyNumberFormat="1" applyFont="1" applyFill="1" applyBorder="1" applyAlignment="1" applyProtection="1">
      <alignment horizontal="center" vertical="center"/>
      <protection locked="0"/>
    </xf>
    <xf numFmtId="3" fontId="1" fillId="21" borderId="131" xfId="4" applyNumberFormat="1" applyFont="1" applyFill="1" applyBorder="1" applyAlignment="1" applyProtection="1">
      <alignment horizontal="center" vertical="center"/>
      <protection locked="0"/>
    </xf>
    <xf numFmtId="3" fontId="1" fillId="21" borderId="89" xfId="4" applyNumberFormat="1" applyFont="1" applyFill="1" applyBorder="1" applyAlignment="1" applyProtection="1">
      <alignment horizontal="center" vertical="center"/>
      <protection locked="0"/>
    </xf>
    <xf numFmtId="0" fontId="219" fillId="3" borderId="7" xfId="0" applyFont="1" applyFill="1" applyBorder="1" applyAlignment="1" applyProtection="1">
      <alignment horizontal="right"/>
      <protection hidden="1"/>
    </xf>
    <xf numFmtId="3" fontId="3" fillId="0" borderId="2" xfId="0" applyNumberFormat="1" applyFont="1" applyBorder="1" applyProtection="1">
      <protection locked="0"/>
    </xf>
    <xf numFmtId="0" fontId="8" fillId="3" borderId="0" xfId="0" applyFont="1" applyFill="1" applyBorder="1" applyAlignment="1" applyProtection="1">
      <alignment horizontal="left"/>
      <protection hidden="1"/>
    </xf>
    <xf numFmtId="0" fontId="10" fillId="3" borderId="26" xfId="0" applyFont="1" applyFill="1" applyBorder="1" applyAlignment="1" applyProtection="1">
      <alignment vertical="center"/>
      <protection hidden="1"/>
    </xf>
    <xf numFmtId="0" fontId="3" fillId="3" borderId="0" xfId="0" applyFont="1" applyFill="1" applyAlignment="1" applyProtection="1">
      <alignment horizontal="left"/>
      <protection hidden="1"/>
    </xf>
    <xf numFmtId="3" fontId="3" fillId="31" borderId="10" xfId="0" applyNumberFormat="1" applyFont="1" applyFill="1" applyBorder="1" applyAlignment="1" applyProtection="1">
      <alignment horizontal="right"/>
      <protection hidden="1"/>
    </xf>
    <xf numFmtId="0" fontId="0" fillId="2" borderId="21" xfId="0" applyFill="1" applyBorder="1" applyProtection="1"/>
    <xf numFmtId="0" fontId="8" fillId="3" borderId="21" xfId="0" applyFont="1" applyFill="1" applyBorder="1" applyAlignment="1" applyProtection="1">
      <alignment horizontal="left"/>
      <protection hidden="1"/>
    </xf>
    <xf numFmtId="0" fontId="8" fillId="3" borderId="23" xfId="0" applyFont="1" applyFill="1" applyBorder="1" applyAlignment="1" applyProtection="1">
      <alignment vertical="center"/>
      <protection hidden="1"/>
    </xf>
    <xf numFmtId="0" fontId="3" fillId="3" borderId="1" xfId="0" applyFont="1" applyFill="1" applyBorder="1" applyAlignment="1" applyProtection="1">
      <alignment horizontal="left"/>
      <protection hidden="1"/>
    </xf>
    <xf numFmtId="0" fontId="1" fillId="0" borderId="0" xfId="0" applyFont="1" applyAlignment="1" applyProtection="1">
      <alignment horizontal="center"/>
    </xf>
    <xf numFmtId="0" fontId="186" fillId="0" borderId="0" xfId="0" applyFont="1" applyAlignment="1" applyProtection="1">
      <alignment horizontal="center"/>
    </xf>
    <xf numFmtId="3" fontId="3" fillId="25" borderId="40" xfId="0" applyNumberFormat="1" applyFont="1" applyFill="1" applyBorder="1" applyProtection="1">
      <protection locked="0"/>
    </xf>
    <xf numFmtId="3" fontId="161" fillId="3" borderId="7" xfId="0" applyNumberFormat="1" applyFont="1" applyFill="1" applyBorder="1" applyAlignment="1" applyProtection="1">
      <protection hidden="1"/>
    </xf>
    <xf numFmtId="0" fontId="1" fillId="0" borderId="0" xfId="0" applyFont="1" applyFill="1" applyBorder="1" applyAlignment="1" applyProtection="1">
      <alignment horizontal="center" vertical="center"/>
      <protection locked="0"/>
    </xf>
    <xf numFmtId="0" fontId="161" fillId="0" borderId="0" xfId="0" applyFont="1" applyFill="1"/>
    <xf numFmtId="3" fontId="161" fillId="3" borderId="3" xfId="0" applyNumberFormat="1" applyFont="1" applyFill="1" applyBorder="1" applyProtection="1">
      <protection locked="0"/>
    </xf>
    <xf numFmtId="0" fontId="163" fillId="0" borderId="0" xfId="0" applyFont="1" applyAlignment="1" applyProtection="1">
      <alignment horizontal="center"/>
    </xf>
    <xf numFmtId="3" fontId="161" fillId="0" borderId="0" xfId="0" applyNumberFormat="1" applyFont="1" applyBorder="1" applyProtection="1">
      <protection locked="0"/>
    </xf>
    <xf numFmtId="3" fontId="3" fillId="25" borderId="10" xfId="0" applyNumberFormat="1" applyFont="1" applyFill="1" applyBorder="1" applyProtection="1">
      <protection locked="0"/>
    </xf>
    <xf numFmtId="4" fontId="161" fillId="3" borderId="0" xfId="0" applyNumberFormat="1" applyFont="1" applyFill="1" applyBorder="1" applyAlignment="1" applyProtection="1">
      <alignment horizontal="center"/>
      <protection hidden="1"/>
    </xf>
    <xf numFmtId="0" fontId="181" fillId="3" borderId="0" xfId="0" applyFont="1" applyFill="1" applyAlignment="1" applyProtection="1">
      <alignment vertical="center"/>
      <protection hidden="1"/>
    </xf>
    <xf numFmtId="3" fontId="181" fillId="3" borderId="3" xfId="0" applyNumberFormat="1" applyFont="1" applyFill="1" applyBorder="1" applyAlignment="1" applyProtection="1">
      <alignment horizontal="center"/>
      <protection hidden="1"/>
    </xf>
    <xf numFmtId="0" fontId="195" fillId="20" borderId="0" xfId="0" applyFont="1" applyFill="1" applyBorder="1" applyAlignment="1">
      <alignment horizontal="center" vertical="center" wrapText="1"/>
    </xf>
    <xf numFmtId="0" fontId="161" fillId="20" borderId="8" xfId="0" applyFont="1" applyFill="1" applyBorder="1" applyAlignment="1" applyProtection="1">
      <alignment horizontal="center" vertical="center"/>
      <protection hidden="1"/>
    </xf>
    <xf numFmtId="168" fontId="0" fillId="20" borderId="0" xfId="0" applyNumberFormat="1" applyFill="1" applyBorder="1" applyProtection="1">
      <protection hidden="1"/>
    </xf>
    <xf numFmtId="3" fontId="0" fillId="20" borderId="0" xfId="0" applyNumberFormat="1" applyFill="1" applyBorder="1" applyProtection="1">
      <protection hidden="1"/>
    </xf>
    <xf numFmtId="0" fontId="196" fillId="20" borderId="0" xfId="0" applyFont="1" applyFill="1" applyBorder="1" applyAlignment="1" applyProtection="1">
      <alignment horizontal="center"/>
      <protection hidden="1"/>
    </xf>
    <xf numFmtId="171" fontId="0" fillId="20" borderId="0" xfId="0" applyNumberFormat="1" applyFill="1" applyBorder="1" applyAlignment="1" applyProtection="1">
      <alignment horizontal="right"/>
      <protection hidden="1"/>
    </xf>
    <xf numFmtId="0" fontId="3" fillId="20" borderId="6" xfId="0" applyFont="1" applyFill="1" applyBorder="1" applyAlignment="1" applyProtection="1">
      <alignment horizontal="left" indent="1"/>
      <protection hidden="1"/>
    </xf>
    <xf numFmtId="0" fontId="0" fillId="20" borderId="6" xfId="0" applyFill="1" applyBorder="1" applyAlignment="1" applyProtection="1">
      <alignment horizontal="left" indent="1"/>
      <protection hidden="1"/>
    </xf>
    <xf numFmtId="0" fontId="0" fillId="20" borderId="22" xfId="0" applyFill="1" applyBorder="1" applyAlignment="1" applyProtection="1">
      <alignment horizontal="left" indent="1"/>
      <protection hidden="1"/>
    </xf>
    <xf numFmtId="0" fontId="27" fillId="20" borderId="24" xfId="0" applyFont="1" applyFill="1" applyBorder="1" applyAlignment="1" applyProtection="1">
      <alignment horizontal="left" indent="1"/>
      <protection hidden="1"/>
    </xf>
    <xf numFmtId="0" fontId="90" fillId="23" borderId="14" xfId="0" applyFont="1" applyFill="1" applyBorder="1" applyAlignment="1" applyProtection="1">
      <alignment horizontal="right"/>
      <protection hidden="1"/>
    </xf>
    <xf numFmtId="0" fontId="164" fillId="5" borderId="0" xfId="0" applyFont="1" applyFill="1" applyBorder="1" applyProtection="1">
      <protection hidden="1"/>
    </xf>
    <xf numFmtId="184" fontId="161" fillId="0" borderId="0" xfId="0" applyNumberFormat="1" applyFont="1" applyAlignment="1" applyProtection="1">
      <alignment horizontal="right"/>
      <protection hidden="1"/>
    </xf>
    <xf numFmtId="0" fontId="3" fillId="20" borderId="0" xfId="0" applyFont="1" applyFill="1" applyAlignment="1" applyProtection="1">
      <alignment horizontal="center" wrapText="1"/>
      <protection hidden="1"/>
    </xf>
    <xf numFmtId="3" fontId="3" fillId="20" borderId="0" xfId="0" applyNumberFormat="1" applyFont="1" applyFill="1" applyAlignment="1" applyProtection="1">
      <alignment horizontal="right"/>
      <protection hidden="1"/>
    </xf>
    <xf numFmtId="0" fontId="0" fillId="20" borderId="0" xfId="0" applyFill="1" applyAlignment="1">
      <alignment vertical="top" wrapText="1"/>
    </xf>
    <xf numFmtId="3" fontId="161" fillId="20" borderId="0" xfId="0" applyNumberFormat="1" applyFont="1" applyFill="1" applyProtection="1">
      <protection hidden="1"/>
    </xf>
    <xf numFmtId="179" fontId="0" fillId="20" borderId="0" xfId="0" applyNumberFormat="1" applyFill="1" applyAlignment="1" applyProtection="1">
      <alignment horizontal="right"/>
      <protection hidden="1"/>
    </xf>
    <xf numFmtId="0" fontId="0" fillId="20" borderId="0" xfId="0" applyFill="1" applyAlignment="1" applyProtection="1">
      <alignment horizontal="right"/>
      <protection hidden="1"/>
    </xf>
    <xf numFmtId="0" fontId="181" fillId="20" borderId="0" xfId="0" applyFont="1" applyFill="1" applyAlignment="1" applyProtection="1">
      <alignment vertical="center"/>
      <protection hidden="1"/>
    </xf>
    <xf numFmtId="3" fontId="3" fillId="25" borderId="31" xfId="0" applyNumberFormat="1" applyFont="1" applyFill="1" applyBorder="1" applyProtection="1">
      <protection locked="0"/>
    </xf>
    <xf numFmtId="0" fontId="5" fillId="23" borderId="0" xfId="0" applyFont="1" applyFill="1" applyAlignment="1" applyProtection="1">
      <alignment vertical="center"/>
      <protection hidden="1"/>
    </xf>
    <xf numFmtId="0" fontId="1" fillId="5" borderId="0" xfId="0" applyFont="1" applyFill="1" applyBorder="1" applyAlignment="1" applyProtection="1">
      <alignment horizontal="center" vertical="center"/>
      <protection hidden="1"/>
    </xf>
    <xf numFmtId="0" fontId="0" fillId="0" borderId="0" xfId="0" applyAlignment="1"/>
    <xf numFmtId="0" fontId="55" fillId="0" borderId="31" xfId="0" applyFont="1" applyBorder="1" applyAlignment="1" applyProtection="1">
      <alignment horizontal="center" vertical="center"/>
      <protection hidden="1"/>
    </xf>
    <xf numFmtId="0" fontId="55" fillId="0" borderId="15" xfId="0" applyFont="1" applyBorder="1" applyAlignment="1" applyProtection="1">
      <alignment horizontal="center" vertical="center"/>
      <protection hidden="1"/>
    </xf>
    <xf numFmtId="0" fontId="3" fillId="0" borderId="0" xfId="0" applyFont="1" applyFill="1" applyAlignment="1" applyProtection="1">
      <protection hidden="1"/>
    </xf>
    <xf numFmtId="4" fontId="1" fillId="2" borderId="0" xfId="0" applyNumberFormat="1" applyFont="1" applyFill="1" applyBorder="1" applyAlignment="1" applyProtection="1">
      <alignment horizontal="center"/>
      <protection locked="0"/>
    </xf>
    <xf numFmtId="4" fontId="5" fillId="23" borderId="15" xfId="0" applyNumberFormat="1" applyFont="1" applyFill="1" applyBorder="1" applyProtection="1">
      <protection hidden="1"/>
    </xf>
    <xf numFmtId="167" fontId="1" fillId="23" borderId="25" xfId="0" applyNumberFormat="1" applyFont="1" applyFill="1" applyBorder="1" applyAlignment="1" applyProtection="1">
      <alignment horizontal="center"/>
      <protection hidden="1"/>
    </xf>
    <xf numFmtId="0" fontId="19" fillId="23" borderId="10" xfId="0" applyFont="1" applyFill="1" applyBorder="1" applyAlignment="1" applyProtection="1">
      <alignment horizontal="center" vertical="center"/>
      <protection locked="0"/>
    </xf>
    <xf numFmtId="0" fontId="19" fillId="23" borderId="0" xfId="0" applyFont="1" applyFill="1" applyBorder="1" applyAlignment="1" applyProtection="1">
      <alignment horizontal="center" vertical="center"/>
      <protection locked="0"/>
    </xf>
    <xf numFmtId="0" fontId="101" fillId="23" borderId="0" xfId="0" applyFont="1" applyFill="1" applyBorder="1" applyAlignment="1" applyProtection="1">
      <alignment horizontal="right"/>
      <protection hidden="1"/>
    </xf>
    <xf numFmtId="0" fontId="5" fillId="23" borderId="8" xfId="0" applyFont="1" applyFill="1" applyBorder="1" applyProtection="1">
      <protection hidden="1"/>
    </xf>
    <xf numFmtId="0" fontId="0" fillId="23" borderId="8" xfId="0" applyFill="1" applyBorder="1" applyProtection="1">
      <protection hidden="1"/>
    </xf>
    <xf numFmtId="0" fontId="8" fillId="23" borderId="8" xfId="0" applyFont="1" applyFill="1" applyBorder="1" applyProtection="1">
      <protection hidden="1"/>
    </xf>
    <xf numFmtId="0" fontId="8" fillId="23" borderId="8" xfId="0" applyFont="1" applyFill="1" applyBorder="1" applyAlignment="1" applyProtection="1">
      <alignment horizontal="left"/>
      <protection hidden="1"/>
    </xf>
    <xf numFmtId="0" fontId="0" fillId="20" borderId="31" xfId="0" applyFill="1" applyBorder="1"/>
    <xf numFmtId="0" fontId="0" fillId="20" borderId="9" xfId="0" applyFill="1" applyBorder="1"/>
    <xf numFmtId="0" fontId="0" fillId="20" borderId="15" xfId="0" applyFill="1" applyBorder="1"/>
    <xf numFmtId="0" fontId="0" fillId="20" borderId="3" xfId="0" applyFill="1" applyBorder="1"/>
    <xf numFmtId="0" fontId="0" fillId="20" borderId="25" xfId="0" applyFill="1" applyBorder="1"/>
    <xf numFmtId="0" fontId="0" fillId="20" borderId="3" xfId="0" applyFill="1" applyBorder="1" applyAlignment="1">
      <alignment vertical="center"/>
    </xf>
    <xf numFmtId="0" fontId="0" fillId="20" borderId="0" xfId="0" applyFill="1" applyBorder="1" applyAlignment="1">
      <alignment vertical="center"/>
    </xf>
    <xf numFmtId="0" fontId="0" fillId="20" borderId="25" xfId="0" applyFill="1" applyBorder="1" applyAlignment="1">
      <alignment vertical="center"/>
    </xf>
    <xf numFmtId="0" fontId="0" fillId="20" borderId="10" xfId="0" applyFill="1" applyBorder="1"/>
    <xf numFmtId="0" fontId="0" fillId="20" borderId="1" xfId="0" applyFill="1" applyBorder="1"/>
    <xf numFmtId="0" fontId="0" fillId="20" borderId="12" xfId="0" applyFill="1" applyBorder="1"/>
    <xf numFmtId="0" fontId="39" fillId="0" borderId="0" xfId="0" applyFont="1" applyAlignment="1">
      <alignment vertical="center"/>
    </xf>
    <xf numFmtId="0" fontId="3" fillId="20" borderId="31" xfId="0" applyFont="1" applyFill="1" applyBorder="1"/>
    <xf numFmtId="0" fontId="8" fillId="23" borderId="0" xfId="0" applyFont="1" applyFill="1" applyBorder="1" applyAlignment="1" applyProtection="1">
      <alignment vertical="top"/>
      <protection hidden="1"/>
    </xf>
    <xf numFmtId="0" fontId="78" fillId="20" borderId="6" xfId="2" applyFill="1" applyBorder="1" applyAlignment="1" applyProtection="1">
      <alignment horizontal="center"/>
      <protection hidden="1"/>
    </xf>
    <xf numFmtId="0" fontId="0" fillId="20" borderId="0" xfId="0" applyFill="1" applyAlignment="1">
      <alignment horizontal="center"/>
    </xf>
    <xf numFmtId="0" fontId="0" fillId="20" borderId="21" xfId="0" applyFill="1" applyBorder="1" applyAlignment="1">
      <alignment horizontal="center"/>
    </xf>
    <xf numFmtId="14" fontId="3" fillId="0" borderId="0" xfId="0" applyNumberFormat="1" applyFont="1" applyAlignment="1" applyProtection="1">
      <alignment horizontal="center"/>
      <protection hidden="1"/>
    </xf>
    <xf numFmtId="3" fontId="3" fillId="0" borderId="0" xfId="0" applyNumberFormat="1" applyFont="1" applyProtection="1">
      <protection hidden="1"/>
    </xf>
    <xf numFmtId="185" fontId="0" fillId="0" borderId="0" xfId="0" applyNumberFormat="1" applyProtection="1">
      <protection hidden="1"/>
    </xf>
    <xf numFmtId="0" fontId="0" fillId="20" borderId="0" xfId="0" applyFill="1" applyBorder="1" applyAlignment="1" applyProtection="1">
      <protection hidden="1"/>
    </xf>
    <xf numFmtId="0" fontId="1" fillId="20" borderId="9" xfId="0" applyFont="1" applyFill="1" applyBorder="1" applyAlignment="1" applyProtection="1">
      <alignment horizontal="center" vertical="center" wrapText="1"/>
      <protection hidden="1"/>
    </xf>
    <xf numFmtId="0" fontId="3" fillId="20" borderId="0" xfId="0" applyFont="1" applyFill="1" applyBorder="1" applyAlignment="1" applyProtection="1">
      <alignment horizontal="left" vertical="center" indent="1"/>
      <protection hidden="1"/>
    </xf>
    <xf numFmtId="0" fontId="179" fillId="20" borderId="26" xfId="0" applyFont="1" applyFill="1" applyBorder="1" applyAlignment="1" applyProtection="1">
      <alignment horizontal="right" vertical="center"/>
      <protection hidden="1"/>
    </xf>
    <xf numFmtId="0" fontId="3" fillId="20" borderId="5" xfId="0" applyFont="1" applyFill="1" applyBorder="1" applyProtection="1">
      <protection hidden="1"/>
    </xf>
    <xf numFmtId="0" fontId="183" fillId="36" borderId="26" xfId="0" applyFont="1" applyFill="1" applyBorder="1" applyAlignment="1" applyProtection="1">
      <alignment vertical="center"/>
      <protection hidden="1"/>
    </xf>
    <xf numFmtId="0" fontId="161" fillId="36" borderId="26" xfId="0" applyFont="1" applyFill="1" applyBorder="1" applyProtection="1">
      <protection hidden="1"/>
    </xf>
    <xf numFmtId="0" fontId="10" fillId="20" borderId="26" xfId="0" applyFont="1" applyFill="1" applyBorder="1" applyAlignment="1" applyProtection="1">
      <alignment horizontal="left" vertical="center" indent="1"/>
      <protection hidden="1"/>
    </xf>
    <xf numFmtId="0" fontId="3" fillId="20" borderId="9" xfId="0" applyFont="1" applyFill="1" applyBorder="1" applyProtection="1">
      <protection hidden="1"/>
    </xf>
    <xf numFmtId="0" fontId="3" fillId="20" borderId="1" xfId="0" applyFont="1" applyFill="1" applyBorder="1" applyProtection="1">
      <protection hidden="1"/>
    </xf>
    <xf numFmtId="0" fontId="0" fillId="20" borderId="1" xfId="0" applyFill="1" applyBorder="1" applyAlignment="1" applyProtection="1">
      <alignment horizontal="center" vertical="center" wrapText="1"/>
      <protection hidden="1"/>
    </xf>
    <xf numFmtId="0" fontId="1" fillId="2" borderId="0" xfId="0" applyFont="1" applyFill="1" applyBorder="1" applyAlignment="1" applyProtection="1">
      <alignment vertical="top"/>
      <protection hidden="1"/>
    </xf>
    <xf numFmtId="0" fontId="0" fillId="20" borderId="5" xfId="0" applyFill="1" applyBorder="1" applyAlignment="1" applyProtection="1">
      <alignment horizontal="center" vertical="center" wrapText="1"/>
      <protection hidden="1"/>
    </xf>
    <xf numFmtId="1" fontId="0" fillId="20" borderId="13" xfId="0" applyNumberFormat="1" applyFill="1" applyBorder="1" applyProtection="1">
      <protection locked="0"/>
    </xf>
    <xf numFmtId="0" fontId="0" fillId="20" borderId="25" xfId="0" applyFill="1" applyBorder="1" applyAlignment="1">
      <alignment horizontal="left" vertical="center" wrapText="1"/>
    </xf>
    <xf numFmtId="0" fontId="0" fillId="2" borderId="0" xfId="0" applyFill="1" applyAlignment="1" applyProtection="1">
      <alignment vertical="center"/>
      <protection hidden="1"/>
    </xf>
    <xf numFmtId="0" fontId="0" fillId="2" borderId="0" xfId="0" applyFill="1" applyAlignment="1" applyProtection="1">
      <protection hidden="1"/>
    </xf>
    <xf numFmtId="0" fontId="0" fillId="0" borderId="0" xfId="0" applyBorder="1" applyAlignment="1" applyProtection="1">
      <alignment horizontal="right"/>
      <protection hidden="1"/>
    </xf>
    <xf numFmtId="0" fontId="0" fillId="0" borderId="0" xfId="0" applyAlignment="1" applyProtection="1">
      <alignment horizontal="left"/>
      <protection hidden="1"/>
    </xf>
    <xf numFmtId="0" fontId="0" fillId="20" borderId="15" xfId="0" applyFill="1" applyBorder="1" applyAlignment="1">
      <alignment horizontal="left" vertical="center" wrapText="1"/>
    </xf>
    <xf numFmtId="1" fontId="0" fillId="20" borderId="25" xfId="0" applyNumberFormat="1" applyFill="1" applyBorder="1" applyProtection="1">
      <protection locked="0"/>
    </xf>
    <xf numFmtId="0" fontId="0" fillId="20" borderId="25" xfId="0" applyFill="1" applyBorder="1" applyAlignment="1">
      <alignment horizontal="left" vertical="center" wrapText="1" indent="1"/>
    </xf>
    <xf numFmtId="0" fontId="0" fillId="20" borderId="12" xfId="0" applyFill="1" applyBorder="1" applyAlignment="1">
      <alignment horizontal="left" vertical="center" wrapText="1" indent="1"/>
    </xf>
    <xf numFmtId="0" fontId="0" fillId="20" borderId="15" xfId="0" applyFill="1" applyBorder="1" applyAlignment="1">
      <alignment horizontal="left" vertical="center" wrapText="1" indent="1"/>
    </xf>
    <xf numFmtId="0" fontId="0" fillId="20" borderId="0" xfId="0" applyFill="1" applyBorder="1" applyAlignment="1">
      <alignment vertical="top" wrapText="1"/>
    </xf>
    <xf numFmtId="0" fontId="160" fillId="0" borderId="0" xfId="0" applyFont="1" applyProtection="1">
      <protection hidden="1"/>
    </xf>
    <xf numFmtId="0" fontId="160" fillId="20" borderId="0" xfId="0" applyFont="1" applyFill="1" applyBorder="1" applyAlignment="1" applyProtection="1">
      <alignment horizontal="center"/>
      <protection hidden="1"/>
    </xf>
    <xf numFmtId="0" fontId="160" fillId="20" borderId="25" xfId="0" applyFont="1" applyFill="1" applyBorder="1" applyAlignment="1" applyProtection="1">
      <alignment horizontal="center"/>
      <protection hidden="1"/>
    </xf>
    <xf numFmtId="0" fontId="171" fillId="20" borderId="31" xfId="0" applyFont="1" applyFill="1" applyBorder="1" applyAlignment="1" applyProtection="1">
      <alignment horizontal="centerContinuous"/>
      <protection hidden="1"/>
    </xf>
    <xf numFmtId="0" fontId="160" fillId="20" borderId="9" xfId="0" applyFont="1" applyFill="1" applyBorder="1" applyAlignment="1" applyProtection="1">
      <alignment horizontal="centerContinuous"/>
      <protection hidden="1"/>
    </xf>
    <xf numFmtId="0" fontId="160" fillId="20" borderId="15" xfId="0" applyFont="1" applyFill="1" applyBorder="1" applyAlignment="1" applyProtection="1">
      <alignment horizontal="centerContinuous"/>
      <protection hidden="1"/>
    </xf>
    <xf numFmtId="0" fontId="171" fillId="20" borderId="3" xfId="0" applyFont="1" applyFill="1" applyBorder="1" applyAlignment="1" applyProtection="1">
      <alignment horizontal="center"/>
      <protection hidden="1"/>
    </xf>
    <xf numFmtId="0" fontId="160" fillId="20" borderId="3" xfId="0" applyFont="1" applyFill="1" applyBorder="1" applyAlignment="1" applyProtection="1">
      <alignment horizontal="center"/>
      <protection hidden="1"/>
    </xf>
    <xf numFmtId="0" fontId="160" fillId="20" borderId="0" xfId="0" applyFont="1" applyFill="1" applyBorder="1" applyAlignment="1" applyProtection="1">
      <alignment horizontal="center" wrapText="1"/>
      <protection hidden="1"/>
    </xf>
    <xf numFmtId="0" fontId="160" fillId="20" borderId="25" xfId="0" applyFont="1" applyFill="1" applyBorder="1" applyAlignment="1" applyProtection="1">
      <alignment horizontal="center" wrapText="1"/>
      <protection hidden="1"/>
    </xf>
    <xf numFmtId="3" fontId="160" fillId="20" borderId="0" xfId="0" applyNumberFormat="1" applyFont="1" applyFill="1" applyBorder="1" applyAlignment="1" applyProtection="1">
      <alignment horizontal="center"/>
      <protection hidden="1"/>
    </xf>
    <xf numFmtId="3" fontId="160" fillId="20" borderId="25" xfId="0" applyNumberFormat="1" applyFont="1" applyFill="1" applyBorder="1" applyAlignment="1" applyProtection="1">
      <alignment horizontal="center"/>
      <protection hidden="1"/>
    </xf>
    <xf numFmtId="0" fontId="160" fillId="20" borderId="10" xfId="0" applyFont="1" applyFill="1" applyBorder="1" applyAlignment="1" applyProtection="1">
      <alignment horizontal="center"/>
      <protection hidden="1"/>
    </xf>
    <xf numFmtId="3" fontId="160" fillId="20" borderId="1" xfId="0" applyNumberFormat="1" applyFont="1" applyFill="1" applyBorder="1" applyAlignment="1" applyProtection="1">
      <alignment horizontal="center"/>
      <protection hidden="1"/>
    </xf>
    <xf numFmtId="3" fontId="160" fillId="20" borderId="12" xfId="0" applyNumberFormat="1" applyFont="1" applyFill="1" applyBorder="1" applyAlignment="1" applyProtection="1">
      <alignment horizontal="center"/>
      <protection hidden="1"/>
    </xf>
    <xf numFmtId="49" fontId="0" fillId="0" borderId="0" xfId="0" applyNumberFormat="1" applyAlignment="1" applyProtection="1">
      <alignment horizontal="right"/>
      <protection hidden="1"/>
    </xf>
    <xf numFmtId="3" fontId="3" fillId="0" borderId="0" xfId="0" applyNumberFormat="1" applyFont="1" applyBorder="1" applyProtection="1">
      <protection locked="0"/>
    </xf>
    <xf numFmtId="49" fontId="3" fillId="20" borderId="3" xfId="0" applyNumberFormat="1" applyFont="1" applyFill="1" applyBorder="1" applyAlignment="1" applyProtection="1">
      <alignment horizontal="right"/>
      <protection hidden="1"/>
    </xf>
    <xf numFmtId="0" fontId="212" fillId="20" borderId="0" xfId="0" applyFont="1" applyFill="1" applyBorder="1" applyAlignment="1">
      <alignment horizontal="left" vertical="center"/>
    </xf>
    <xf numFmtId="0" fontId="212" fillId="20" borderId="0" xfId="0" applyFont="1" applyFill="1" applyBorder="1" applyAlignment="1">
      <alignment vertical="center" wrapText="1"/>
    </xf>
    <xf numFmtId="49" fontId="3" fillId="20" borderId="0" xfId="0" applyNumberFormat="1" applyFont="1" applyFill="1" applyBorder="1" applyAlignment="1" applyProtection="1">
      <alignment horizontal="right"/>
      <protection hidden="1"/>
    </xf>
    <xf numFmtId="37" fontId="0" fillId="20" borderId="1" xfId="0" applyNumberFormat="1" applyFill="1" applyBorder="1" applyProtection="1">
      <protection hidden="1"/>
    </xf>
    <xf numFmtId="0" fontId="161" fillId="20" borderId="25" xfId="0" applyFont="1" applyFill="1" applyBorder="1" applyProtection="1">
      <protection hidden="1"/>
    </xf>
    <xf numFmtId="49" fontId="0" fillId="20" borderId="3" xfId="0" applyNumberFormat="1" applyFill="1" applyBorder="1" applyAlignment="1" applyProtection="1">
      <alignment horizontal="right"/>
      <protection hidden="1"/>
    </xf>
    <xf numFmtId="0" fontId="231" fillId="20" borderId="31" xfId="0" applyFont="1" applyFill="1" applyBorder="1" applyAlignment="1">
      <alignment horizontal="centerContinuous" vertical="center"/>
    </xf>
    <xf numFmtId="0" fontId="231" fillId="20" borderId="9" xfId="0" applyFont="1" applyFill="1" applyBorder="1" applyAlignment="1">
      <alignment horizontal="centerContinuous" vertical="center"/>
    </xf>
    <xf numFmtId="0" fontId="231" fillId="20" borderId="9" xfId="0" applyFont="1" applyFill="1" applyBorder="1" applyAlignment="1">
      <alignment horizontal="centerContinuous" vertical="center" wrapText="1"/>
    </xf>
    <xf numFmtId="0" fontId="1" fillId="20" borderId="9" xfId="0" applyFont="1" applyFill="1" applyBorder="1" applyAlignment="1" applyProtection="1">
      <alignment horizontal="centerContinuous"/>
      <protection hidden="1"/>
    </xf>
    <xf numFmtId="0" fontId="0" fillId="20" borderId="9" xfId="0" applyFill="1" applyBorder="1" applyAlignment="1" applyProtection="1">
      <alignment horizontal="centerContinuous"/>
      <protection hidden="1"/>
    </xf>
    <xf numFmtId="0" fontId="0" fillId="20" borderId="15" xfId="0" applyFill="1" applyBorder="1" applyAlignment="1" applyProtection="1">
      <alignment horizontal="centerContinuous"/>
      <protection hidden="1"/>
    </xf>
    <xf numFmtId="0" fontId="231" fillId="20" borderId="0" xfId="0" applyFont="1" applyFill="1" applyBorder="1" applyAlignment="1">
      <alignment vertical="center" wrapText="1"/>
    </xf>
    <xf numFmtId="0" fontId="232" fillId="0" borderId="0" xfId="0" applyFont="1" applyBorder="1" applyAlignment="1">
      <alignment vertical="center" wrapText="1"/>
    </xf>
    <xf numFmtId="0" fontId="0" fillId="0" borderId="0" xfId="0" applyBorder="1" applyAlignment="1" applyProtection="1">
      <alignment horizontal="right"/>
      <protection hidden="1"/>
    </xf>
    <xf numFmtId="0" fontId="23" fillId="2" borderId="0" xfId="0" applyFont="1" applyFill="1" applyAlignment="1" applyProtection="1">
      <alignment horizontal="center" vertical="center"/>
      <protection hidden="1"/>
    </xf>
    <xf numFmtId="0" fontId="59" fillId="2" borderId="0" xfId="0" applyFont="1" applyFill="1" applyAlignment="1" applyProtection="1">
      <alignment horizontal="center" vertical="center"/>
      <protection hidden="1"/>
    </xf>
    <xf numFmtId="0" fontId="96" fillId="2" borderId="0" xfId="0" applyFont="1" applyFill="1" applyAlignment="1" applyProtection="1">
      <alignment horizontal="left" vertical="center"/>
      <protection hidden="1"/>
    </xf>
    <xf numFmtId="0" fontId="3" fillId="2" borderId="0" xfId="0" applyFont="1" applyFill="1" applyAlignment="1" applyProtection="1">
      <alignment horizontal="right" vertical="center"/>
      <protection hidden="1"/>
    </xf>
    <xf numFmtId="0" fontId="10" fillId="2" borderId="0" xfId="0" applyFont="1" applyFill="1" applyAlignment="1" applyProtection="1">
      <alignment horizontal="left"/>
      <protection hidden="1"/>
    </xf>
    <xf numFmtId="0" fontId="14" fillId="2" borderId="0" xfId="0" applyFont="1" applyFill="1" applyProtection="1">
      <protection hidden="1"/>
    </xf>
    <xf numFmtId="0" fontId="104" fillId="2" borderId="0" xfId="0" applyFont="1" applyFill="1" applyProtection="1">
      <protection hidden="1"/>
    </xf>
    <xf numFmtId="0" fontId="59" fillId="2" borderId="0" xfId="0" applyFont="1" applyFill="1" applyAlignment="1" applyProtection="1">
      <alignment horizontal="right"/>
      <protection hidden="1"/>
    </xf>
    <xf numFmtId="0" fontId="1" fillId="2" borderId="0" xfId="0" applyFont="1" applyFill="1" applyBorder="1" applyAlignment="1" applyProtection="1">
      <alignment horizontal="center"/>
      <protection locked="0"/>
    </xf>
    <xf numFmtId="0" fontId="1" fillId="2" borderId="0" xfId="0" applyFont="1" applyFill="1" applyAlignment="1" applyProtection="1">
      <alignment horizontal="center"/>
      <protection hidden="1"/>
    </xf>
    <xf numFmtId="0" fontId="0" fillId="2" borderId="0" xfId="0" quotePrefix="1" applyFill="1" applyAlignment="1" applyProtection="1">
      <alignment horizontal="right"/>
      <protection hidden="1"/>
    </xf>
    <xf numFmtId="0" fontId="23" fillId="2" borderId="0" xfId="0" applyFont="1" applyFill="1" applyAlignment="1" applyProtection="1">
      <alignment horizontal="right"/>
      <protection hidden="1"/>
    </xf>
    <xf numFmtId="0" fontId="96" fillId="2" borderId="0" xfId="0" applyFont="1" applyFill="1" applyBorder="1" applyAlignment="1" applyProtection="1">
      <alignment horizontal="center"/>
      <protection hidden="1"/>
    </xf>
    <xf numFmtId="0" fontId="1" fillId="2" borderId="67" xfId="0" applyFont="1" applyFill="1" applyBorder="1" applyAlignment="1" applyProtection="1">
      <alignment horizontal="center"/>
      <protection hidden="1"/>
    </xf>
    <xf numFmtId="0" fontId="0" fillId="2" borderId="67" xfId="0" applyFill="1" applyBorder="1" applyProtection="1">
      <protection hidden="1"/>
    </xf>
    <xf numFmtId="0" fontId="23" fillId="2" borderId="67" xfId="0" applyFont="1" applyFill="1" applyBorder="1" applyProtection="1">
      <protection hidden="1"/>
    </xf>
    <xf numFmtId="3" fontId="1" fillId="2" borderId="1" xfId="0" applyNumberFormat="1" applyFont="1" applyFill="1" applyBorder="1" applyProtection="1">
      <protection locked="0"/>
    </xf>
    <xf numFmtId="3" fontId="1" fillId="2" borderId="1" xfId="0" applyNumberFormat="1" applyFont="1" applyFill="1" applyBorder="1" applyProtection="1">
      <protection hidden="1"/>
    </xf>
    <xf numFmtId="0" fontId="96" fillId="2" borderId="0" xfId="0" applyFont="1" applyFill="1" applyProtection="1">
      <protection hidden="1"/>
    </xf>
    <xf numFmtId="0" fontId="96" fillId="2" borderId="0" xfId="0" applyFont="1" applyFill="1" applyAlignment="1" applyProtection="1">
      <alignment horizontal="right"/>
      <protection hidden="1"/>
    </xf>
    <xf numFmtId="0" fontId="2" fillId="2" borderId="0" xfId="0" applyFont="1" applyFill="1" applyProtection="1">
      <protection hidden="1"/>
    </xf>
    <xf numFmtId="0" fontId="234" fillId="2" borderId="0" xfId="0" applyFont="1" applyFill="1" applyProtection="1">
      <protection hidden="1"/>
    </xf>
    <xf numFmtId="3" fontId="23" fillId="2" borderId="0" xfId="0" applyNumberFormat="1" applyFont="1" applyFill="1" applyProtection="1">
      <protection hidden="1"/>
    </xf>
    <xf numFmtId="0" fontId="3" fillId="2" borderId="0" xfId="0" quotePrefix="1" applyFont="1" applyFill="1" applyAlignment="1" applyProtection="1">
      <alignment horizontal="right"/>
      <protection hidden="1"/>
    </xf>
    <xf numFmtId="0" fontId="235" fillId="2" borderId="0" xfId="0" applyFont="1" applyFill="1" applyProtection="1">
      <protection hidden="1"/>
    </xf>
    <xf numFmtId="0" fontId="59" fillId="2" borderId="0" xfId="0" applyFont="1" applyFill="1" applyBorder="1" applyAlignment="1" applyProtection="1">
      <alignment horizontal="center"/>
      <protection hidden="1"/>
    </xf>
    <xf numFmtId="0" fontId="11" fillId="0" borderId="1" xfId="0" applyFont="1" applyBorder="1" applyAlignment="1" applyProtection="1">
      <alignment horizontal="center"/>
      <protection hidden="1"/>
    </xf>
    <xf numFmtId="0" fontId="8" fillId="0" borderId="22" xfId="0" applyFont="1" applyBorder="1" applyAlignment="1" applyProtection="1">
      <alignment horizontal="right"/>
      <protection hidden="1"/>
    </xf>
    <xf numFmtId="0" fontId="8" fillId="0" borderId="23" xfId="0" applyFont="1" applyBorder="1" applyAlignment="1" applyProtection="1">
      <alignment horizontal="right"/>
      <protection hidden="1"/>
    </xf>
    <xf numFmtId="0" fontId="8" fillId="0" borderId="5" xfId="0" applyFont="1" applyBorder="1" applyAlignment="1" applyProtection="1">
      <alignment horizontal="center"/>
      <protection hidden="1"/>
    </xf>
    <xf numFmtId="0" fontId="8" fillId="0" borderId="23" xfId="0" applyFont="1" applyBorder="1" applyAlignment="1" applyProtection="1">
      <alignment horizontal="center"/>
      <protection hidden="1"/>
    </xf>
    <xf numFmtId="0" fontId="195" fillId="0" borderId="0" xfId="0" applyFont="1" applyAlignment="1" applyProtection="1">
      <alignment horizontal="right"/>
      <protection hidden="1"/>
    </xf>
    <xf numFmtId="0" fontId="195" fillId="0" borderId="21" xfId="0" applyFont="1" applyBorder="1" applyAlignment="1" applyProtection="1">
      <alignment horizontal="right"/>
      <protection hidden="1"/>
    </xf>
    <xf numFmtId="0" fontId="0" fillId="0" borderId="0" xfId="0" applyAlignment="1" applyProtection="1">
      <alignment horizontal="right"/>
      <protection hidden="1"/>
    </xf>
    <xf numFmtId="0" fontId="195" fillId="0" borderId="0" xfId="0" applyFont="1" applyBorder="1" applyAlignment="1" applyProtection="1">
      <alignment horizontal="right"/>
      <protection hidden="1"/>
    </xf>
    <xf numFmtId="0" fontId="0" fillId="0" borderId="0" xfId="0" applyBorder="1" applyAlignment="1" applyProtection="1">
      <alignment horizontal="left"/>
      <protection hidden="1"/>
    </xf>
    <xf numFmtId="0" fontId="0" fillId="0" borderId="21" xfId="0" applyBorder="1" applyAlignment="1" applyProtection="1">
      <alignment horizontal="right"/>
      <protection hidden="1"/>
    </xf>
    <xf numFmtId="166" fontId="1" fillId="21" borderId="52" xfId="0" applyNumberFormat="1" applyFont="1" applyFill="1" applyBorder="1" applyAlignment="1" applyProtection="1">
      <alignment horizontal="center" vertical="center"/>
      <protection locked="0"/>
    </xf>
    <xf numFmtId="0" fontId="3" fillId="0" borderId="16" xfId="0" applyFont="1" applyBorder="1" applyAlignment="1">
      <alignment horizontal="center"/>
    </xf>
    <xf numFmtId="0" fontId="0" fillId="0" borderId="7" xfId="0" applyBorder="1" applyAlignment="1"/>
    <xf numFmtId="0" fontId="0" fillId="0" borderId="11" xfId="0" applyBorder="1" applyAlignment="1"/>
    <xf numFmtId="0" fontId="96" fillId="2" borderId="0" xfId="0" applyFont="1" applyFill="1" applyAlignment="1" applyProtection="1">
      <alignment horizontal="center" vertical="center"/>
      <protection hidden="1"/>
    </xf>
    <xf numFmtId="0" fontId="183" fillId="36" borderId="0" xfId="0" applyFont="1" applyFill="1" applyAlignment="1" applyProtection="1">
      <alignment horizontal="center"/>
      <protection hidden="1"/>
    </xf>
    <xf numFmtId="0" fontId="10" fillId="2" borderId="0" xfId="0" applyFont="1" applyFill="1" applyAlignment="1" applyProtection="1">
      <alignment horizontal="left" indent="1"/>
      <protection hidden="1"/>
    </xf>
    <xf numFmtId="0" fontId="0" fillId="2" borderId="0" xfId="0" quotePrefix="1" applyFill="1" applyBorder="1" applyAlignment="1" applyProtection="1">
      <alignment horizontal="right"/>
      <protection hidden="1"/>
    </xf>
    <xf numFmtId="1" fontId="34" fillId="2" borderId="2" xfId="0" applyNumberFormat="1" applyFont="1" applyFill="1" applyBorder="1" applyAlignment="1" applyProtection="1">
      <protection locked="0"/>
    </xf>
    <xf numFmtId="3" fontId="3" fillId="20" borderId="24" xfId="0" applyNumberFormat="1" applyFont="1" applyFill="1" applyBorder="1" applyAlignment="1" applyProtection="1">
      <alignment horizontal="right"/>
      <protection hidden="1"/>
    </xf>
    <xf numFmtId="3" fontId="3" fillId="20" borderId="6" xfId="0" applyNumberFormat="1" applyFont="1" applyFill="1" applyBorder="1" applyAlignment="1" applyProtection="1">
      <alignment horizontal="right"/>
      <protection hidden="1"/>
    </xf>
    <xf numFmtId="0" fontId="3" fillId="20" borderId="27" xfId="0" applyFont="1" applyFill="1" applyBorder="1" applyAlignment="1" applyProtection="1">
      <alignment horizontal="center"/>
      <protection hidden="1"/>
    </xf>
    <xf numFmtId="0" fontId="3" fillId="20" borderId="30" xfId="0" applyFont="1" applyFill="1" applyBorder="1" applyAlignment="1" applyProtection="1">
      <alignment horizontal="center"/>
      <protection hidden="1"/>
    </xf>
    <xf numFmtId="0" fontId="3" fillId="20" borderId="21" xfId="0" applyFont="1" applyFill="1" applyBorder="1" applyAlignment="1" applyProtection="1">
      <alignment horizontal="center"/>
      <protection hidden="1"/>
    </xf>
    <xf numFmtId="0" fontId="3" fillId="20" borderId="6" xfId="0" applyFont="1" applyFill="1" applyBorder="1" applyAlignment="1" applyProtection="1">
      <alignment horizontal="right"/>
      <protection hidden="1"/>
    </xf>
    <xf numFmtId="0" fontId="3" fillId="20" borderId="47" xfId="0" applyFont="1" applyFill="1" applyBorder="1" applyAlignment="1" applyProtection="1">
      <alignment horizontal="right"/>
      <protection hidden="1"/>
    </xf>
    <xf numFmtId="0" fontId="3" fillId="20" borderId="61" xfId="0" applyFont="1" applyFill="1" applyBorder="1" applyAlignment="1" applyProtection="1">
      <alignment horizontal="right"/>
      <protection hidden="1"/>
    </xf>
    <xf numFmtId="0" fontId="3" fillId="20" borderId="55" xfId="0" applyFont="1" applyFill="1" applyBorder="1" applyAlignment="1" applyProtection="1">
      <alignment horizontal="right"/>
      <protection hidden="1"/>
    </xf>
    <xf numFmtId="3" fontId="3" fillId="20" borderId="62" xfId="0" applyNumberFormat="1" applyFont="1" applyFill="1" applyBorder="1" applyAlignment="1" applyProtection="1">
      <alignment horizontal="right"/>
      <protection hidden="1"/>
    </xf>
    <xf numFmtId="0" fontId="3" fillId="20" borderId="133" xfId="0" applyFont="1" applyFill="1" applyBorder="1" applyAlignment="1" applyProtection="1">
      <alignment horizontal="right"/>
      <protection hidden="1"/>
    </xf>
    <xf numFmtId="0" fontId="3" fillId="20" borderId="134" xfId="0" applyFont="1" applyFill="1" applyBorder="1" applyAlignment="1" applyProtection="1">
      <alignment horizontal="right"/>
      <protection hidden="1"/>
    </xf>
    <xf numFmtId="0" fontId="3" fillId="20" borderId="32" xfId="0" applyFont="1" applyFill="1" applyBorder="1" applyAlignment="1" applyProtection="1">
      <alignment horizontal="right"/>
      <protection hidden="1"/>
    </xf>
    <xf numFmtId="0" fontId="10" fillId="2" borderId="0" xfId="0" quotePrefix="1" applyFont="1" applyFill="1" applyAlignment="1" applyProtection="1">
      <alignment horizontal="left"/>
      <protection hidden="1"/>
    </xf>
    <xf numFmtId="0" fontId="181" fillId="2" borderId="0" xfId="0" applyFont="1" applyFill="1" applyProtection="1">
      <protection hidden="1"/>
    </xf>
    <xf numFmtId="0" fontId="3" fillId="2" borderId="0" xfId="0" applyFont="1" applyFill="1" applyAlignment="1" applyProtection="1">
      <alignment horizontal="center"/>
      <protection hidden="1"/>
    </xf>
    <xf numFmtId="0" fontId="0" fillId="2" borderId="0" xfId="0" applyFill="1" applyBorder="1" applyAlignment="1" applyProtection="1">
      <protection hidden="1"/>
    </xf>
    <xf numFmtId="0" fontId="3" fillId="2" borderId="0" xfId="0" applyFont="1" applyFill="1" applyBorder="1" applyAlignment="1" applyProtection="1">
      <protection hidden="1"/>
    </xf>
    <xf numFmtId="0" fontId="0" fillId="20" borderId="0" xfId="0" applyFill="1" applyBorder="1" applyAlignment="1" applyProtection="1">
      <protection hidden="1"/>
    </xf>
    <xf numFmtId="0" fontId="5" fillId="20" borderId="9" xfId="0" applyFont="1" applyFill="1" applyBorder="1" applyAlignment="1" applyProtection="1">
      <alignment horizontal="center" vertical="center"/>
      <protection hidden="1"/>
    </xf>
    <xf numFmtId="0" fontId="1" fillId="2" borderId="0" xfId="0" quotePrefix="1" applyFont="1" applyFill="1" applyAlignment="1" applyProtection="1">
      <alignment horizontal="left"/>
      <protection hidden="1"/>
    </xf>
    <xf numFmtId="0" fontId="0" fillId="20" borderId="78" xfId="0" applyFill="1" applyBorder="1" applyProtection="1">
      <protection hidden="1"/>
    </xf>
    <xf numFmtId="0" fontId="10" fillId="20" borderId="78" xfId="0" applyFont="1" applyFill="1" applyBorder="1" applyAlignment="1" applyProtection="1">
      <alignment horizontal="center"/>
      <protection hidden="1"/>
    </xf>
    <xf numFmtId="0" fontId="5" fillId="20" borderId="0" xfId="0" applyFont="1" applyFill="1" applyBorder="1" applyAlignment="1" applyProtection="1">
      <alignment horizontal="center" vertical="center"/>
      <protection hidden="1"/>
    </xf>
    <xf numFmtId="0" fontId="5" fillId="20" borderId="1" xfId="0" applyFont="1" applyFill="1" applyBorder="1" applyAlignment="1" applyProtection="1">
      <alignment horizontal="center" vertical="center"/>
      <protection hidden="1"/>
    </xf>
    <xf numFmtId="0" fontId="10" fillId="20" borderId="0" xfId="0" applyFont="1" applyFill="1" applyBorder="1" applyAlignment="1" applyProtection="1">
      <alignment horizontal="left" vertical="center" indent="1"/>
      <protection hidden="1"/>
    </xf>
    <xf numFmtId="0" fontId="236" fillId="20" borderId="0" xfId="0" applyFont="1" applyFill="1" applyBorder="1" applyAlignment="1" applyProtection="1">
      <protection hidden="1"/>
    </xf>
    <xf numFmtId="0" fontId="236" fillId="20" borderId="0" xfId="0" applyFont="1" applyFill="1" applyBorder="1" applyAlignment="1" applyProtection="1">
      <alignment horizontal="center" wrapText="1"/>
      <protection hidden="1"/>
    </xf>
    <xf numFmtId="0" fontId="236" fillId="20" borderId="0" xfId="0" applyFont="1" applyFill="1" applyBorder="1" applyAlignment="1" applyProtection="1">
      <alignment horizontal="left" vertical="center" wrapText="1"/>
      <protection hidden="1"/>
    </xf>
    <xf numFmtId="0" fontId="236" fillId="20" borderId="0" xfId="0" applyFont="1" applyFill="1" applyBorder="1" applyAlignment="1">
      <alignment horizontal="left" vertical="center" wrapText="1"/>
    </xf>
    <xf numFmtId="3" fontId="236" fillId="20" borderId="0" xfId="0" applyNumberFormat="1" applyFont="1" applyFill="1" applyBorder="1" applyAlignment="1" applyProtection="1">
      <protection locked="0"/>
    </xf>
    <xf numFmtId="3" fontId="236" fillId="20" borderId="0" xfId="0" applyNumberFormat="1" applyFont="1" applyFill="1" applyBorder="1" applyAlignment="1" applyProtection="1">
      <protection hidden="1"/>
    </xf>
    <xf numFmtId="0" fontId="237" fillId="20" borderId="0" xfId="0" quotePrefix="1" applyFont="1" applyFill="1" applyBorder="1" applyAlignment="1" applyProtection="1">
      <alignment horizontal="right"/>
      <protection hidden="1"/>
    </xf>
    <xf numFmtId="0" fontId="238" fillId="20" borderId="0" xfId="0" applyFont="1" applyFill="1" applyBorder="1" applyAlignment="1" applyProtection="1">
      <protection hidden="1"/>
    </xf>
    <xf numFmtId="179" fontId="236" fillId="20" borderId="0" xfId="0" applyNumberFormat="1" applyFont="1" applyFill="1" applyBorder="1" applyAlignment="1" applyProtection="1">
      <alignment horizontal="right"/>
      <protection hidden="1"/>
    </xf>
    <xf numFmtId="0" fontId="236" fillId="20" borderId="0" xfId="0" applyFont="1" applyFill="1" applyBorder="1" applyAlignment="1" applyProtection="1">
      <alignment horizontal="right"/>
      <protection hidden="1"/>
    </xf>
    <xf numFmtId="0" fontId="238" fillId="20" borderId="0" xfId="0" applyFont="1" applyFill="1" applyBorder="1" applyAlignment="1" applyProtection="1">
      <alignment vertical="top"/>
      <protection hidden="1"/>
    </xf>
    <xf numFmtId="1" fontId="236" fillId="20" borderId="0" xfId="0" applyNumberFormat="1" applyFont="1" applyFill="1" applyBorder="1" applyAlignment="1" applyProtection="1">
      <protection locked="0"/>
    </xf>
    <xf numFmtId="0" fontId="239" fillId="20" borderId="0" xfId="0" applyFont="1" applyFill="1" applyBorder="1" applyAlignment="1" applyProtection="1">
      <alignment horizontal="left" vertical="center" wrapText="1"/>
      <protection hidden="1"/>
    </xf>
    <xf numFmtId="0" fontId="236" fillId="20" borderId="0" xfId="0" applyFont="1" applyFill="1" applyBorder="1" applyAlignment="1" applyProtection="1">
      <alignment horizontal="center"/>
      <protection hidden="1"/>
    </xf>
    <xf numFmtId="0" fontId="240" fillId="20" borderId="0" xfId="0" applyFont="1" applyFill="1" applyBorder="1" applyAlignment="1">
      <alignment vertical="center" wrapText="1"/>
    </xf>
    <xf numFmtId="184" fontId="236" fillId="20" borderId="0" xfId="0" applyNumberFormat="1" applyFont="1" applyFill="1" applyBorder="1" applyAlignment="1" applyProtection="1">
      <alignment horizontal="right"/>
      <protection hidden="1"/>
    </xf>
    <xf numFmtId="0" fontId="238" fillId="20" borderId="0" xfId="0" applyFont="1" applyFill="1" applyBorder="1" applyAlignment="1" applyProtection="1">
      <alignment horizontal="center"/>
      <protection hidden="1"/>
    </xf>
    <xf numFmtId="3" fontId="236" fillId="20" borderId="0" xfId="0" applyNumberFormat="1" applyFont="1" applyFill="1" applyBorder="1" applyAlignment="1" applyProtection="1">
      <alignment horizontal="center"/>
      <protection hidden="1"/>
    </xf>
    <xf numFmtId="0" fontId="241" fillId="20" borderId="0" xfId="0" applyFont="1" applyFill="1" applyBorder="1" applyAlignment="1">
      <alignment horizontal="center" vertical="center"/>
    </xf>
    <xf numFmtId="0" fontId="241" fillId="20" borderId="0" xfId="0" applyFont="1" applyFill="1" applyBorder="1" applyAlignment="1">
      <alignment horizontal="center" vertical="center" wrapText="1"/>
    </xf>
    <xf numFmtId="0" fontId="237" fillId="20" borderId="0" xfId="0" applyFont="1" applyFill="1" applyBorder="1" applyAlignment="1" applyProtection="1">
      <alignment horizontal="center"/>
      <protection hidden="1"/>
    </xf>
    <xf numFmtId="49" fontId="236" fillId="20" borderId="0" xfId="0" applyNumberFormat="1" applyFont="1" applyFill="1" applyBorder="1" applyAlignment="1" applyProtection="1">
      <alignment horizontal="right"/>
      <protection hidden="1"/>
    </xf>
    <xf numFmtId="0" fontId="240" fillId="20" borderId="0" xfId="0" applyFont="1" applyFill="1" applyBorder="1" applyAlignment="1">
      <alignment horizontal="left" vertical="center"/>
    </xf>
    <xf numFmtId="37" fontId="236" fillId="20" borderId="0" xfId="0" applyNumberFormat="1" applyFont="1" applyFill="1" applyBorder="1" applyAlignment="1" applyProtection="1">
      <protection hidden="1"/>
    </xf>
    <xf numFmtId="0" fontId="237" fillId="20" borderId="0" xfId="0" applyFont="1" applyFill="1" applyBorder="1" applyAlignment="1" applyProtection="1">
      <protection hidden="1"/>
    </xf>
    <xf numFmtId="0" fontId="241" fillId="20" borderId="0" xfId="0" applyFont="1" applyFill="1" applyBorder="1" applyAlignment="1">
      <alignment vertical="center" wrapText="1"/>
    </xf>
    <xf numFmtId="0" fontId="240" fillId="20" borderId="0" xfId="0" applyFont="1" applyFill="1" applyBorder="1" applyAlignment="1">
      <alignment horizontal="left" wrapText="1"/>
    </xf>
    <xf numFmtId="0" fontId="236" fillId="20" borderId="0" xfId="0" applyFont="1" applyFill="1" applyBorder="1" applyAlignment="1">
      <alignment horizontal="left" wrapText="1"/>
    </xf>
    <xf numFmtId="0" fontId="240" fillId="20" borderId="0" xfId="0" applyFont="1" applyFill="1" applyBorder="1" applyAlignment="1">
      <alignment horizontal="left" vertical="top" wrapText="1"/>
    </xf>
    <xf numFmtId="0" fontId="236" fillId="20" borderId="0" xfId="0" applyFont="1" applyFill="1" applyBorder="1" applyAlignment="1">
      <alignment horizontal="left" vertical="top" wrapText="1"/>
    </xf>
    <xf numFmtId="0" fontId="240" fillId="20" borderId="0" xfId="0" applyFont="1" applyFill="1" applyBorder="1" applyAlignment="1">
      <alignment horizontal="center" vertical="center" wrapText="1"/>
    </xf>
    <xf numFmtId="3" fontId="240" fillId="20" borderId="0" xfId="0" applyNumberFormat="1" applyFont="1" applyFill="1" applyBorder="1" applyAlignment="1">
      <alignment vertical="center" wrapText="1"/>
    </xf>
    <xf numFmtId="3" fontId="240" fillId="20" borderId="0" xfId="0" quotePrefix="1" applyNumberFormat="1" applyFont="1" applyFill="1" applyBorder="1" applyAlignment="1">
      <alignment horizontal="center" vertical="center" wrapText="1"/>
    </xf>
    <xf numFmtId="0" fontId="16" fillId="20" borderId="31" xfId="0" quotePrefix="1" applyFont="1" applyFill="1" applyBorder="1" applyAlignment="1" applyProtection="1">
      <alignment horizontal="center"/>
      <protection hidden="1"/>
    </xf>
    <xf numFmtId="0" fontId="16" fillId="20" borderId="0" xfId="0" quotePrefix="1" applyFont="1" applyFill="1" applyBorder="1" applyAlignment="1" applyProtection="1">
      <alignment horizontal="right" vertical="center"/>
      <protection hidden="1"/>
    </xf>
    <xf numFmtId="0" fontId="16" fillId="20" borderId="0" xfId="0" quotePrefix="1" applyFont="1" applyFill="1" applyBorder="1" applyAlignment="1" applyProtection="1">
      <alignment horizontal="left" vertical="center"/>
      <protection hidden="1"/>
    </xf>
    <xf numFmtId="0" fontId="0" fillId="20" borderId="0" xfId="0" applyFill="1" applyAlignment="1" applyProtection="1">
      <alignment horizontal="centerContinuous"/>
      <protection hidden="1"/>
    </xf>
    <xf numFmtId="0" fontId="10" fillId="20" borderId="0" xfId="0" applyFont="1" applyFill="1" applyAlignment="1" applyProtection="1">
      <alignment horizontal="centerContinuous"/>
      <protection hidden="1"/>
    </xf>
    <xf numFmtId="0" fontId="10" fillId="20" borderId="0" xfId="0" applyFont="1" applyFill="1" applyAlignment="1" applyProtection="1">
      <alignment horizontal="right"/>
      <protection hidden="1"/>
    </xf>
    <xf numFmtId="0" fontId="1" fillId="20" borderId="0" xfId="0" applyFont="1" applyFill="1" applyAlignment="1" applyProtection="1">
      <alignment vertical="top"/>
      <protection hidden="1"/>
    </xf>
    <xf numFmtId="0" fontId="1" fillId="20" borderId="0" xfId="0" applyFont="1" applyFill="1" applyBorder="1" applyAlignment="1" applyProtection="1">
      <alignment horizontal="center"/>
      <protection locked="0"/>
    </xf>
    <xf numFmtId="0" fontId="0" fillId="20" borderId="14" xfId="0" applyFill="1" applyBorder="1" applyAlignment="1" applyProtection="1">
      <alignment horizontal="right"/>
      <protection hidden="1"/>
    </xf>
    <xf numFmtId="0" fontId="21" fillId="20" borderId="14" xfId="0" applyFont="1" applyFill="1" applyBorder="1" applyAlignment="1" applyProtection="1">
      <alignment horizontal="left"/>
      <protection hidden="1"/>
    </xf>
    <xf numFmtId="0" fontId="3" fillId="20" borderId="0" xfId="0" applyFont="1" applyFill="1" applyAlignment="1" applyProtection="1">
      <alignment horizontal="left" indent="1"/>
      <protection hidden="1"/>
    </xf>
    <xf numFmtId="0" fontId="0" fillId="20" borderId="0" xfId="0" applyFill="1" applyAlignment="1" applyProtection="1">
      <alignment horizontal="left" indent="1"/>
      <protection hidden="1"/>
    </xf>
    <xf numFmtId="0" fontId="138" fillId="5" borderId="0" xfId="0" applyFont="1" applyFill="1" applyAlignment="1" applyProtection="1">
      <alignment horizontal="center" vertical="top"/>
      <protection hidden="1"/>
    </xf>
    <xf numFmtId="0" fontId="0" fillId="20" borderId="1" xfId="0" applyFill="1" applyBorder="1" applyAlignment="1" applyProtection="1">
      <alignment vertical="top"/>
      <protection hidden="1"/>
    </xf>
    <xf numFmtId="0" fontId="236" fillId="20" borderId="0" xfId="0" applyFont="1" applyFill="1" applyBorder="1" applyAlignment="1" applyProtection="1">
      <alignment vertical="top"/>
      <protection hidden="1"/>
    </xf>
    <xf numFmtId="0" fontId="240" fillId="20" borderId="0" xfId="0" applyFont="1" applyFill="1" applyBorder="1" applyAlignment="1">
      <alignment vertical="top" wrapText="1"/>
    </xf>
    <xf numFmtId="0" fontId="1" fillId="20" borderId="1" xfId="0" applyFont="1" applyFill="1" applyBorder="1" applyAlignment="1" applyProtection="1">
      <alignment vertical="top"/>
      <protection hidden="1"/>
    </xf>
    <xf numFmtId="0" fontId="1" fillId="20" borderId="0" xfId="0" applyFont="1" applyFill="1" applyBorder="1" applyAlignment="1" applyProtection="1">
      <alignment horizontal="center"/>
      <protection hidden="1"/>
    </xf>
    <xf numFmtId="0" fontId="0" fillId="24" borderId="31" xfId="0" applyFill="1" applyBorder="1" applyProtection="1">
      <protection hidden="1"/>
    </xf>
    <xf numFmtId="0" fontId="0" fillId="24" borderId="15" xfId="0" applyFill="1" applyBorder="1" applyProtection="1">
      <protection hidden="1"/>
    </xf>
    <xf numFmtId="0" fontId="0" fillId="24" borderId="3" xfId="0" applyFill="1" applyBorder="1" applyProtection="1">
      <protection hidden="1"/>
    </xf>
    <xf numFmtId="0" fontId="0" fillId="24" borderId="25" xfId="0" applyFill="1" applyBorder="1" applyProtection="1">
      <protection hidden="1"/>
    </xf>
    <xf numFmtId="0" fontId="0" fillId="20" borderId="17" xfId="0" applyFill="1" applyBorder="1" applyAlignment="1" applyProtection="1">
      <alignment horizontal="right"/>
      <protection hidden="1"/>
    </xf>
    <xf numFmtId="0" fontId="0" fillId="20" borderId="0" xfId="0" applyFill="1" applyAlignment="1" applyProtection="1">
      <alignment vertical="center"/>
      <protection hidden="1"/>
    </xf>
    <xf numFmtId="0" fontId="181" fillId="20" borderId="0" xfId="0" applyFont="1" applyFill="1" applyAlignment="1" applyProtection="1">
      <alignment horizontal="right"/>
      <protection hidden="1"/>
    </xf>
    <xf numFmtId="3" fontId="1" fillId="20" borderId="1" xfId="0" applyNumberFormat="1" applyFont="1" applyFill="1" applyBorder="1" applyAlignment="1" applyProtection="1">
      <alignment horizontal="right" indent="1"/>
      <protection hidden="1"/>
    </xf>
    <xf numFmtId="3" fontId="1" fillId="20" borderId="1" xfId="0" applyNumberFormat="1" applyFont="1" applyFill="1" applyBorder="1" applyAlignment="1" applyProtection="1">
      <alignment horizontal="center"/>
      <protection hidden="1"/>
    </xf>
    <xf numFmtId="0" fontId="41" fillId="20" borderId="0" xfId="0" applyFont="1" applyFill="1" applyAlignment="1" applyProtection="1">
      <alignment horizontal="center"/>
      <protection hidden="1"/>
    </xf>
    <xf numFmtId="4" fontId="1" fillId="3" borderId="18" xfId="0" applyNumberFormat="1" applyFont="1" applyFill="1" applyBorder="1" applyAlignment="1" applyProtection="1">
      <alignment horizontal="right"/>
      <protection hidden="1"/>
    </xf>
    <xf numFmtId="3" fontId="0" fillId="0" borderId="2" xfId="0" applyNumberFormat="1" applyBorder="1" applyProtection="1">
      <protection locked="0"/>
    </xf>
    <xf numFmtId="0" fontId="236" fillId="20" borderId="2" xfId="0" applyFont="1" applyFill="1" applyBorder="1" applyAlignment="1" applyProtection="1">
      <protection locked="0"/>
    </xf>
    <xf numFmtId="0" fontId="236" fillId="20" borderId="2" xfId="0" applyFont="1" applyFill="1" applyBorder="1" applyAlignment="1" applyProtection="1">
      <alignment horizontal="center"/>
      <protection locked="0"/>
    </xf>
    <xf numFmtId="0" fontId="3" fillId="2" borderId="0" xfId="0" applyFont="1" applyFill="1" applyBorder="1" applyAlignment="1" applyProtection="1">
      <protection hidden="1"/>
    </xf>
    <xf numFmtId="0" fontId="8" fillId="23" borderId="0" xfId="0" applyFont="1" applyFill="1" applyBorder="1" applyAlignment="1" applyProtection="1">
      <alignment horizontal="right" indent="1"/>
      <protection hidden="1"/>
    </xf>
    <xf numFmtId="0" fontId="42" fillId="3" borderId="14" xfId="0" applyFont="1" applyFill="1" applyBorder="1" applyProtection="1">
      <protection hidden="1"/>
    </xf>
    <xf numFmtId="39" fontId="19" fillId="3" borderId="14" xfId="0" applyNumberFormat="1" applyFont="1" applyFill="1" applyBorder="1" applyProtection="1">
      <protection hidden="1"/>
    </xf>
    <xf numFmtId="39" fontId="55" fillId="3" borderId="14" xfId="0" applyNumberFormat="1" applyFont="1" applyFill="1" applyBorder="1" applyProtection="1">
      <protection hidden="1"/>
    </xf>
    <xf numFmtId="0" fontId="5" fillId="3" borderId="0" xfId="0" applyFont="1" applyFill="1" applyBorder="1" applyAlignment="1" applyProtection="1">
      <alignment horizontal="left" indent="1"/>
      <protection hidden="1"/>
    </xf>
    <xf numFmtId="0" fontId="67" fillId="2" borderId="0" xfId="0" applyFont="1" applyFill="1" applyBorder="1" applyAlignment="1" applyProtection="1">
      <protection hidden="1"/>
    </xf>
    <xf numFmtId="0" fontId="2" fillId="2" borderId="0" xfId="0" applyFont="1" applyFill="1" applyBorder="1" applyAlignment="1" applyProtection="1">
      <protection hidden="1"/>
    </xf>
    <xf numFmtId="0" fontId="161" fillId="2" borderId="0" xfId="0" applyFont="1" applyFill="1"/>
    <xf numFmtId="188" fontId="161" fillId="2" borderId="0" xfId="0" applyNumberFormat="1" applyFont="1" applyFill="1" applyAlignment="1" applyProtection="1">
      <alignment horizontal="center"/>
      <protection hidden="1"/>
    </xf>
    <xf numFmtId="38" fontId="5" fillId="21" borderId="1" xfId="0" applyNumberFormat="1" applyFont="1" applyFill="1" applyBorder="1" applyAlignment="1" applyProtection="1">
      <alignment horizontal="right"/>
      <protection locked="0"/>
    </xf>
    <xf numFmtId="38" fontId="6" fillId="21" borderId="5" xfId="0" applyNumberFormat="1" applyFont="1" applyFill="1" applyBorder="1" applyAlignment="1" applyProtection="1">
      <alignment horizontal="center"/>
      <protection locked="0"/>
    </xf>
    <xf numFmtId="40" fontId="163" fillId="2" borderId="0" xfId="0" applyNumberFormat="1" applyFont="1" applyFill="1" applyBorder="1" applyProtection="1">
      <protection hidden="1"/>
    </xf>
    <xf numFmtId="0" fontId="67" fillId="2" borderId="25" xfId="0" applyFont="1" applyFill="1" applyBorder="1" applyAlignment="1" applyProtection="1">
      <alignment vertical="center"/>
      <protection hidden="1"/>
    </xf>
    <xf numFmtId="0" fontId="76" fillId="2" borderId="1" xfId="0" applyFont="1" applyFill="1" applyBorder="1" applyProtection="1">
      <protection hidden="1"/>
    </xf>
    <xf numFmtId="40" fontId="242" fillId="2" borderId="0" xfId="0" applyNumberFormat="1" applyFont="1" applyFill="1" applyBorder="1" applyAlignment="1" applyProtection="1">
      <alignment horizontal="right"/>
      <protection hidden="1"/>
    </xf>
    <xf numFmtId="40" fontId="161" fillId="2" borderId="0" xfId="0" applyNumberFormat="1" applyFont="1" applyFill="1" applyBorder="1" applyAlignment="1" applyProtection="1">
      <alignment horizontal="left"/>
      <protection hidden="1"/>
    </xf>
    <xf numFmtId="0" fontId="244" fillId="2" borderId="0" xfId="0" applyFont="1" applyFill="1" applyBorder="1" applyAlignment="1" applyProtection="1">
      <alignment horizontal="center"/>
      <protection hidden="1"/>
    </xf>
    <xf numFmtId="0" fontId="245" fillId="2" borderId="0" xfId="0" applyFont="1" applyFill="1" applyBorder="1" applyAlignment="1" applyProtection="1">
      <alignment horizontal="center"/>
      <protection hidden="1"/>
    </xf>
    <xf numFmtId="0" fontId="243" fillId="2" borderId="0" xfId="0" applyFont="1" applyFill="1" applyAlignment="1" applyProtection="1">
      <alignment horizontal="left" indent="1"/>
      <protection hidden="1"/>
    </xf>
    <xf numFmtId="3" fontId="0" fillId="21" borderId="1" xfId="0" applyNumberFormat="1" applyFill="1" applyBorder="1" applyProtection="1">
      <protection locked="0"/>
    </xf>
    <xf numFmtId="37" fontId="0" fillId="21" borderId="1" xfId="0" applyNumberFormat="1" applyFill="1" applyBorder="1" applyProtection="1">
      <protection locked="0"/>
    </xf>
    <xf numFmtId="4" fontId="11" fillId="2" borderId="13" xfId="0" applyNumberFormat="1" applyFont="1" applyFill="1" applyBorder="1" applyAlignment="1" applyProtection="1">
      <alignment horizontal="center" vertical="center"/>
      <protection locked="0"/>
    </xf>
    <xf numFmtId="3" fontId="34" fillId="2" borderId="11" xfId="0" applyNumberFormat="1" applyFont="1" applyFill="1" applyBorder="1" applyProtection="1">
      <protection locked="0"/>
    </xf>
    <xf numFmtId="4" fontId="11" fillId="2" borderId="0" xfId="0" applyNumberFormat="1" applyFont="1" applyFill="1" applyBorder="1" applyAlignment="1" applyProtection="1">
      <alignment horizontal="center" vertical="center"/>
      <protection locked="0"/>
    </xf>
    <xf numFmtId="4" fontId="1" fillId="2" borderId="0" xfId="0" applyNumberFormat="1" applyFont="1" applyFill="1" applyBorder="1" applyAlignment="1" applyProtection="1">
      <alignment horizontal="center" vertical="center"/>
      <protection locked="0"/>
    </xf>
    <xf numFmtId="0" fontId="1" fillId="21" borderId="13" xfId="0" applyFont="1" applyFill="1" applyBorder="1" applyAlignment="1" applyProtection="1">
      <alignment horizontal="center"/>
      <protection hidden="1"/>
    </xf>
    <xf numFmtId="0" fontId="0" fillId="0" borderId="0" xfId="0" applyAlignment="1" applyProtection="1">
      <alignment horizontal="left"/>
      <protection hidden="1"/>
    </xf>
    <xf numFmtId="0" fontId="205" fillId="0" borderId="0" xfId="0" applyFont="1" applyProtection="1">
      <protection hidden="1"/>
    </xf>
    <xf numFmtId="3" fontId="205" fillId="0" borderId="0" xfId="0" applyNumberFormat="1" applyFont="1" applyProtection="1">
      <protection hidden="1"/>
    </xf>
    <xf numFmtId="0" fontId="204" fillId="0" borderId="0" xfId="0" applyFont="1"/>
    <xf numFmtId="0" fontId="205" fillId="0" borderId="0" xfId="0" applyFont="1"/>
    <xf numFmtId="3" fontId="204" fillId="0" borderId="0" xfId="0" applyNumberFormat="1" applyFont="1" applyProtection="1">
      <protection hidden="1"/>
    </xf>
    <xf numFmtId="3" fontId="205" fillId="0" borderId="0" xfId="0" applyNumberFormat="1" applyFont="1" applyBorder="1" applyProtection="1">
      <protection hidden="1"/>
    </xf>
    <xf numFmtId="3" fontId="195" fillId="0" borderId="21" xfId="0" applyNumberFormat="1" applyFont="1" applyBorder="1" applyAlignment="1" applyProtection="1">
      <alignment horizontal="right"/>
      <protection hidden="1"/>
    </xf>
    <xf numFmtId="3" fontId="195" fillId="0" borderId="0" xfId="0" applyNumberFormat="1" applyFont="1" applyAlignment="1" applyProtection="1">
      <alignment horizontal="right"/>
      <protection hidden="1"/>
    </xf>
    <xf numFmtId="3" fontId="195" fillId="0" borderId="0" xfId="0" applyNumberFormat="1" applyFont="1" applyBorder="1" applyAlignment="1" applyProtection="1">
      <alignment horizontal="right"/>
      <protection hidden="1"/>
    </xf>
    <xf numFmtId="0" fontId="3" fillId="0" borderId="0" xfId="0" applyFont="1" applyAlignment="1" applyProtection="1">
      <alignment horizontal="left"/>
      <protection hidden="1"/>
    </xf>
    <xf numFmtId="0" fontId="3" fillId="3" borderId="0" xfId="0" applyFont="1" applyFill="1" applyAlignment="1" applyProtection="1">
      <alignment vertical="top"/>
      <protection hidden="1"/>
    </xf>
    <xf numFmtId="3" fontId="236" fillId="20" borderId="2" xfId="0" applyNumberFormat="1" applyFont="1" applyFill="1" applyBorder="1" applyAlignment="1" applyProtection="1">
      <protection locked="0"/>
    </xf>
    <xf numFmtId="0" fontId="8" fillId="0" borderId="0" xfId="0" applyFont="1" applyAlignment="1">
      <alignment horizontal="left" indent="1"/>
    </xf>
    <xf numFmtId="3" fontId="6" fillId="32" borderId="1" xfId="0" applyNumberFormat="1" applyFont="1" applyFill="1" applyBorder="1" applyProtection="1">
      <protection hidden="1"/>
    </xf>
    <xf numFmtId="3" fontId="6" fillId="21" borderId="1" xfId="0" applyNumberFormat="1" applyFont="1" applyFill="1" applyBorder="1" applyProtection="1">
      <protection locked="0"/>
    </xf>
    <xf numFmtId="0" fontId="5" fillId="20" borderId="0" xfId="0" applyFont="1" applyFill="1" applyBorder="1" applyAlignment="1" applyProtection="1">
      <alignment horizontal="left"/>
      <protection hidden="1"/>
    </xf>
    <xf numFmtId="0" fontId="0" fillId="20" borderId="0" xfId="0" applyFill="1" applyAlignment="1">
      <alignment horizontal="left"/>
    </xf>
    <xf numFmtId="0" fontId="0" fillId="20" borderId="1" xfId="0" applyFill="1" applyBorder="1" applyAlignment="1"/>
    <xf numFmtId="0" fontId="0" fillId="20" borderId="12" xfId="0" applyFill="1" applyBorder="1" applyAlignment="1"/>
    <xf numFmtId="0" fontId="5" fillId="20" borderId="1" xfId="0" applyFont="1" applyFill="1" applyBorder="1" applyAlignment="1" applyProtection="1">
      <alignment horizontal="left"/>
      <protection hidden="1"/>
    </xf>
    <xf numFmtId="0" fontId="1" fillId="20" borderId="0" xfId="0" applyFont="1" applyFill="1" applyBorder="1" applyAlignment="1" applyProtection="1">
      <alignment horizontal="center"/>
      <protection hidden="1"/>
    </xf>
    <xf numFmtId="0" fontId="206" fillId="2" borderId="5" xfId="4" applyFont="1" applyFill="1" applyBorder="1" applyAlignment="1" applyProtection="1">
      <alignment horizontal="left" vertical="center"/>
      <protection hidden="1"/>
    </xf>
    <xf numFmtId="0" fontId="247" fillId="5" borderId="0" xfId="0" applyFont="1" applyFill="1" applyProtection="1">
      <protection hidden="1"/>
    </xf>
    <xf numFmtId="0" fontId="1" fillId="32" borderId="2" xfId="0" applyFont="1" applyFill="1" applyBorder="1" applyAlignment="1" applyProtection="1">
      <alignment horizontal="center" vertical="center"/>
      <protection hidden="1"/>
    </xf>
    <xf numFmtId="0" fontId="24" fillId="2" borderId="0" xfId="0" applyFont="1" applyFill="1" applyBorder="1" applyAlignment="1" applyProtection="1">
      <alignment horizontal="right"/>
      <protection hidden="1"/>
    </xf>
    <xf numFmtId="0" fontId="4" fillId="2" borderId="22" xfId="0" quotePrefix="1" applyFont="1" applyFill="1" applyBorder="1" applyAlignment="1" applyProtection="1">
      <alignment horizontal="right"/>
      <protection hidden="1"/>
    </xf>
    <xf numFmtId="0" fontId="199" fillId="2" borderId="5" xfId="0" quotePrefix="1" applyFont="1" applyFill="1" applyBorder="1" applyAlignment="1" applyProtection="1">
      <alignment horizontal="left"/>
      <protection hidden="1"/>
    </xf>
    <xf numFmtId="0" fontId="19" fillId="2" borderId="5" xfId="0" applyFont="1" applyFill="1" applyBorder="1" applyProtection="1">
      <protection hidden="1"/>
    </xf>
    <xf numFmtId="37" fontId="23" fillId="2" borderId="5" xfId="0" applyNumberFormat="1" applyFont="1" applyFill="1" applyBorder="1" applyProtection="1">
      <protection hidden="1"/>
    </xf>
    <xf numFmtId="3" fontId="137" fillId="2" borderId="5" xfId="0" applyNumberFormat="1" applyFont="1" applyFill="1" applyBorder="1" applyProtection="1">
      <protection hidden="1"/>
    </xf>
    <xf numFmtId="0" fontId="137" fillId="2" borderId="5" xfId="0" applyFont="1" applyFill="1" applyBorder="1" applyProtection="1">
      <protection hidden="1"/>
    </xf>
    <xf numFmtId="3" fontId="19" fillId="32" borderId="1" xfId="0" applyNumberFormat="1" applyFont="1" applyFill="1" applyBorder="1" applyAlignment="1" applyProtection="1">
      <alignment horizontal="right"/>
      <protection hidden="1"/>
    </xf>
    <xf numFmtId="3" fontId="19" fillId="21" borderId="1" xfId="0" applyNumberFormat="1" applyFont="1" applyFill="1" applyBorder="1" applyAlignment="1" applyProtection="1">
      <alignment horizontal="right"/>
      <protection locked="0"/>
    </xf>
    <xf numFmtId="3" fontId="0" fillId="30" borderId="1" xfId="0" applyNumberFormat="1" applyFill="1" applyBorder="1" applyProtection="1">
      <protection hidden="1"/>
    </xf>
    <xf numFmtId="3" fontId="19" fillId="30" borderId="1" xfId="0" applyNumberFormat="1" applyFont="1" applyFill="1" applyBorder="1" applyAlignment="1" applyProtection="1">
      <alignment horizontal="right"/>
      <protection hidden="1"/>
    </xf>
    <xf numFmtId="0" fontId="4" fillId="30" borderId="13" xfId="0" quotePrefix="1" applyFont="1" applyFill="1" applyBorder="1" applyAlignment="1" applyProtection="1">
      <alignment horizontal="center"/>
      <protection hidden="1"/>
    </xf>
    <xf numFmtId="39" fontId="1" fillId="3" borderId="2" xfId="0" applyNumberFormat="1" applyFont="1" applyFill="1" applyBorder="1" applyAlignment="1" applyProtection="1">
      <alignment horizontal="center" vertical="center"/>
      <protection locked="0"/>
    </xf>
    <xf numFmtId="37" fontId="249" fillId="3" borderId="9" xfId="0" applyNumberFormat="1" applyFont="1" applyFill="1" applyBorder="1" applyAlignment="1" applyProtection="1">
      <alignment horizontal="left" vertical="top" wrapText="1"/>
      <protection hidden="1"/>
    </xf>
    <xf numFmtId="0" fontId="10" fillId="2" borderId="27" xfId="0" applyFont="1" applyFill="1" applyBorder="1" applyProtection="1">
      <protection hidden="1"/>
    </xf>
    <xf numFmtId="0" fontId="26" fillId="2" borderId="1" xfId="0" applyFont="1" applyFill="1" applyBorder="1" applyAlignment="1" applyProtection="1">
      <alignment horizontal="center" vertical="center"/>
      <protection hidden="1"/>
    </xf>
    <xf numFmtId="0" fontId="26" fillId="2" borderId="1" xfId="0" applyFont="1" applyFill="1" applyBorder="1" applyProtection="1">
      <protection hidden="1"/>
    </xf>
    <xf numFmtId="0" fontId="3" fillId="3" borderId="0" xfId="0" applyFont="1" applyFill="1" applyBorder="1" applyAlignment="1" applyProtection="1">
      <alignment horizontal="left" vertical="center"/>
      <protection hidden="1"/>
    </xf>
    <xf numFmtId="0" fontId="78" fillId="2" borderId="0" xfId="2" applyFill="1" applyAlignment="1" applyProtection="1">
      <protection hidden="1"/>
    </xf>
    <xf numFmtId="0" fontId="115" fillId="2" borderId="6" xfId="0" applyFont="1" applyFill="1" applyBorder="1" applyAlignment="1" applyProtection="1">
      <alignment horizontal="right"/>
      <protection hidden="1"/>
    </xf>
    <xf numFmtId="0" fontId="63" fillId="2" borderId="27" xfId="0" applyFont="1" applyFill="1" applyBorder="1" applyProtection="1">
      <protection hidden="1"/>
    </xf>
    <xf numFmtId="0" fontId="4" fillId="2" borderId="1" xfId="0" applyFont="1" applyFill="1" applyBorder="1" applyProtection="1">
      <protection hidden="1"/>
    </xf>
    <xf numFmtId="37" fontId="19" fillId="2" borderId="1" xfId="0" applyNumberFormat="1" applyFont="1" applyFill="1" applyBorder="1" applyProtection="1">
      <protection hidden="1"/>
    </xf>
    <xf numFmtId="37" fontId="137" fillId="2" borderId="1" xfId="0" applyNumberFormat="1" applyFont="1" applyFill="1" applyBorder="1" applyAlignment="1" applyProtection="1">
      <alignment horizontal="right"/>
      <protection hidden="1"/>
    </xf>
    <xf numFmtId="3" fontId="137" fillId="2" borderId="1" xfId="0" applyNumberFormat="1" applyFont="1" applyFill="1" applyBorder="1" applyProtection="1">
      <protection hidden="1"/>
    </xf>
    <xf numFmtId="0" fontId="137" fillId="2" borderId="1" xfId="0" applyFont="1" applyFill="1" applyBorder="1" applyProtection="1">
      <protection hidden="1"/>
    </xf>
    <xf numFmtId="0" fontId="0" fillId="2" borderId="30" xfId="0" applyFill="1" applyBorder="1" applyProtection="1">
      <protection hidden="1"/>
    </xf>
    <xf numFmtId="0" fontId="137" fillId="2" borderId="0" xfId="0" applyFont="1" applyFill="1" applyBorder="1" applyAlignment="1" applyProtection="1">
      <alignment vertical="top"/>
      <protection hidden="1"/>
    </xf>
    <xf numFmtId="0" fontId="19" fillId="2" borderId="5" xfId="0" quotePrefix="1" applyFont="1" applyFill="1" applyBorder="1" applyAlignment="1" applyProtection="1">
      <alignment horizontal="right"/>
      <protection hidden="1"/>
    </xf>
    <xf numFmtId="3" fontId="23" fillId="2" borderId="5" xfId="0" applyNumberFormat="1" applyFont="1" applyFill="1" applyBorder="1" applyProtection="1">
      <protection hidden="1"/>
    </xf>
    <xf numFmtId="0" fontId="23" fillId="2" borderId="5" xfId="0" applyFont="1" applyFill="1" applyBorder="1" applyProtection="1">
      <protection hidden="1"/>
    </xf>
    <xf numFmtId="37" fontId="181" fillId="2" borderId="1" xfId="0" applyNumberFormat="1" applyFont="1" applyFill="1" applyBorder="1" applyProtection="1">
      <protection hidden="1"/>
    </xf>
    <xf numFmtId="37" fontId="19" fillId="30" borderId="1" xfId="0" applyNumberFormat="1" applyFont="1" applyFill="1" applyBorder="1" applyAlignment="1" applyProtection="1">
      <alignment horizontal="right"/>
      <protection hidden="1"/>
    </xf>
    <xf numFmtId="37" fontId="19" fillId="21" borderId="1" xfId="0" applyNumberFormat="1" applyFont="1" applyFill="1" applyBorder="1" applyAlignment="1" applyProtection="1">
      <alignment horizontal="right"/>
      <protection locked="0"/>
    </xf>
    <xf numFmtId="177" fontId="19" fillId="30" borderId="1" xfId="0" applyNumberFormat="1" applyFont="1" applyFill="1" applyBorder="1" applyAlignment="1" applyProtection="1">
      <alignment horizontal="right"/>
      <protection hidden="1"/>
    </xf>
    <xf numFmtId="173" fontId="161" fillId="2" borderId="0" xfId="0" applyNumberFormat="1" applyFont="1" applyFill="1" applyBorder="1" applyProtection="1">
      <protection hidden="1"/>
    </xf>
    <xf numFmtId="0" fontId="10" fillId="21" borderId="13" xfId="0" applyFont="1" applyFill="1" applyBorder="1" applyAlignment="1" applyProtection="1">
      <alignment horizontal="center" vertical="center"/>
      <protection locked="0" hidden="1"/>
    </xf>
    <xf numFmtId="189" fontId="1" fillId="0" borderId="5" xfId="0" applyNumberFormat="1" applyFont="1" applyBorder="1" applyAlignment="1" applyProtection="1">
      <alignment horizontal="center" wrapText="1"/>
      <protection hidden="1"/>
    </xf>
    <xf numFmtId="189" fontId="0" fillId="0" borderId="0" xfId="0" applyNumberFormat="1" applyAlignment="1" applyProtection="1">
      <alignment horizontal="center" vertical="top" wrapText="1"/>
      <protection hidden="1"/>
    </xf>
    <xf numFmtId="189" fontId="161" fillId="0" borderId="0" xfId="0" applyNumberFormat="1" applyFont="1" applyAlignment="1" applyProtection="1">
      <alignment horizontal="center" vertical="top" wrapText="1"/>
      <protection hidden="1"/>
    </xf>
    <xf numFmtId="190" fontId="8" fillId="5" borderId="0" xfId="0" applyNumberFormat="1" applyFont="1" applyFill="1" applyBorder="1" applyAlignment="1" applyProtection="1">
      <alignment horizontal="center"/>
      <protection hidden="1"/>
    </xf>
    <xf numFmtId="40" fontId="181" fillId="2" borderId="0" xfId="0" applyNumberFormat="1" applyFont="1" applyFill="1" applyBorder="1" applyAlignment="1" applyProtection="1">
      <alignment horizontal="right"/>
      <protection hidden="1"/>
    </xf>
    <xf numFmtId="0" fontId="66" fillId="29" borderId="8" xfId="0" applyFont="1" applyFill="1" applyBorder="1" applyProtection="1">
      <protection hidden="1"/>
    </xf>
    <xf numFmtId="0" fontId="2" fillId="29" borderId="8" xfId="0" applyFont="1" applyFill="1" applyBorder="1" applyProtection="1">
      <protection hidden="1"/>
    </xf>
    <xf numFmtId="0" fontId="66" fillId="29" borderId="24" xfId="0" applyFont="1" applyFill="1" applyBorder="1" applyProtection="1">
      <protection hidden="1"/>
    </xf>
    <xf numFmtId="3" fontId="7" fillId="25" borderId="1" xfId="0" applyNumberFormat="1" applyFont="1" applyFill="1" applyBorder="1" applyProtection="1">
      <protection locked="0"/>
    </xf>
    <xf numFmtId="3" fontId="7" fillId="33" borderId="1" xfId="0" applyNumberFormat="1" applyFont="1" applyFill="1" applyBorder="1" applyAlignment="1" applyProtection="1">
      <alignment horizontal="right"/>
      <protection hidden="1"/>
    </xf>
    <xf numFmtId="0" fontId="2" fillId="29" borderId="63" xfId="0" applyFont="1" applyFill="1" applyBorder="1" applyAlignment="1" applyProtection="1">
      <alignment horizontal="right"/>
      <protection hidden="1"/>
    </xf>
    <xf numFmtId="177" fontId="7" fillId="33" borderId="1" xfId="0" applyNumberFormat="1" applyFont="1" applyFill="1" applyBorder="1" applyProtection="1">
      <protection hidden="1"/>
    </xf>
    <xf numFmtId="179" fontId="188" fillId="29" borderId="0" xfId="0" applyNumberFormat="1" applyFont="1" applyFill="1" applyBorder="1" applyProtection="1">
      <protection hidden="1"/>
    </xf>
    <xf numFmtId="3" fontId="250" fillId="29" borderId="0" xfId="0" applyNumberFormat="1" applyFont="1" applyFill="1" applyBorder="1" applyProtection="1">
      <protection hidden="1"/>
    </xf>
    <xf numFmtId="3" fontId="69" fillId="2" borderId="0" xfId="0" applyNumberFormat="1" applyFont="1" applyFill="1" applyBorder="1" applyAlignment="1" applyProtection="1">
      <alignment horizontal="center"/>
      <protection hidden="1"/>
    </xf>
    <xf numFmtId="0" fontId="11" fillId="21" borderId="90" xfId="4" applyFont="1" applyFill="1" applyBorder="1" applyAlignment="1" applyProtection="1">
      <alignment horizontal="center" vertical="center"/>
      <protection locked="0" hidden="1"/>
    </xf>
    <xf numFmtId="0" fontId="161" fillId="2" borderId="0" xfId="0" applyFont="1" applyFill="1" applyAlignment="1" applyProtection="1">
      <alignment vertical="top"/>
      <protection hidden="1"/>
    </xf>
    <xf numFmtId="0" fontId="161" fillId="2" borderId="0" xfId="0" applyFont="1" applyFill="1" applyAlignment="1" applyProtection="1">
      <alignment horizontal="right" vertical="top"/>
      <protection hidden="1"/>
    </xf>
    <xf numFmtId="0" fontId="161" fillId="2" borderId="0" xfId="0" applyFont="1" applyFill="1" applyBorder="1" applyAlignment="1" applyProtection="1">
      <alignment vertical="top"/>
      <protection hidden="1"/>
    </xf>
    <xf numFmtId="37" fontId="6" fillId="25" borderId="10" xfId="0" applyNumberFormat="1" applyFont="1" applyFill="1" applyBorder="1" applyAlignment="1" applyProtection="1">
      <alignment horizontal="center"/>
      <protection locked="0"/>
    </xf>
    <xf numFmtId="0" fontId="4" fillId="32" borderId="13" xfId="0" applyFont="1" applyFill="1" applyBorder="1" applyAlignment="1" applyProtection="1">
      <alignment horizontal="center" vertical="center"/>
      <protection hidden="1"/>
    </xf>
    <xf numFmtId="0" fontId="1" fillId="20" borderId="0" xfId="0" applyFont="1" applyFill="1" applyBorder="1" applyAlignment="1" applyProtection="1">
      <alignment horizontal="center"/>
      <protection hidden="1"/>
    </xf>
    <xf numFmtId="1" fontId="236" fillId="20" borderId="2" xfId="0" applyNumberFormat="1" applyFont="1" applyFill="1" applyBorder="1" applyAlignment="1" applyProtection="1">
      <alignment horizontal="center"/>
      <protection locked="0"/>
    </xf>
    <xf numFmtId="168" fontId="213" fillId="0" borderId="13" xfId="0" applyNumberFormat="1" applyFont="1" applyBorder="1" applyAlignment="1">
      <alignment vertical="center" wrapText="1"/>
    </xf>
    <xf numFmtId="168" fontId="213" fillId="0" borderId="61" xfId="0" applyNumberFormat="1" applyFont="1" applyBorder="1" applyAlignment="1">
      <alignment vertical="center" wrapText="1"/>
    </xf>
    <xf numFmtId="3" fontId="0" fillId="0" borderId="0" xfId="0" applyNumberFormat="1" applyFill="1" applyBorder="1" applyProtection="1">
      <protection hidden="1"/>
    </xf>
    <xf numFmtId="0" fontId="8" fillId="29" borderId="0" xfId="0" applyFont="1" applyFill="1" applyBorder="1" applyAlignment="1" applyProtection="1">
      <protection hidden="1"/>
    </xf>
    <xf numFmtId="168" fontId="0" fillId="29" borderId="0" xfId="0" applyNumberFormat="1" applyFill="1" applyBorder="1" applyProtection="1">
      <protection hidden="1"/>
    </xf>
    <xf numFmtId="0" fontId="14" fillId="29" borderId="0" xfId="0" applyFont="1" applyFill="1" applyBorder="1" applyAlignment="1" applyProtection="1">
      <alignment horizontal="right"/>
      <protection hidden="1"/>
    </xf>
    <xf numFmtId="0" fontId="5" fillId="29" borderId="0" xfId="0" applyFont="1" applyFill="1" applyBorder="1" applyAlignment="1" applyProtection="1">
      <protection hidden="1"/>
    </xf>
    <xf numFmtId="0" fontId="8" fillId="29" borderId="5" xfId="0" applyFont="1" applyFill="1" applyBorder="1" applyAlignment="1" applyProtection="1">
      <protection hidden="1"/>
    </xf>
    <xf numFmtId="4" fontId="179" fillId="3" borderId="3" xfId="0" applyNumberFormat="1" applyFont="1" applyFill="1" applyBorder="1" applyAlignment="1" applyProtection="1">
      <alignment horizontal="center"/>
      <protection hidden="1"/>
    </xf>
    <xf numFmtId="0" fontId="3" fillId="5" borderId="0" xfId="0" applyFont="1" applyFill="1" applyAlignment="1" applyProtection="1">
      <alignment horizontal="center"/>
      <protection locked="0"/>
    </xf>
    <xf numFmtId="3" fontId="182" fillId="10" borderId="0" xfId="0" applyNumberFormat="1" applyFont="1" applyFill="1" applyAlignment="1" applyProtection="1">
      <alignment horizontal="left"/>
      <protection hidden="1"/>
    </xf>
    <xf numFmtId="0" fontId="5" fillId="29" borderId="6" xfId="0" applyFont="1" applyFill="1" applyBorder="1" applyAlignment="1" applyProtection="1">
      <alignment horizontal="right"/>
      <protection hidden="1"/>
    </xf>
    <xf numFmtId="0" fontId="161" fillId="20" borderId="5" xfId="0" applyFont="1" applyFill="1" applyBorder="1" applyAlignment="1" applyProtection="1">
      <alignment horizontal="center"/>
      <protection hidden="1"/>
    </xf>
    <xf numFmtId="0" fontId="161" fillId="20" borderId="5" xfId="0" applyFont="1" applyFill="1" applyBorder="1" applyProtection="1">
      <protection hidden="1"/>
    </xf>
    <xf numFmtId="0" fontId="3" fillId="3" borderId="0" xfId="0" applyFont="1" applyFill="1" applyBorder="1" applyAlignment="1" applyProtection="1">
      <alignment vertical="center"/>
      <protection hidden="1"/>
    </xf>
    <xf numFmtId="0" fontId="1" fillId="3" borderId="8" xfId="0" applyFont="1" applyFill="1" applyBorder="1" applyAlignment="1" applyProtection="1">
      <alignment horizontal="left" vertical="top"/>
      <protection hidden="1"/>
    </xf>
    <xf numFmtId="0" fontId="1" fillId="3" borderId="8" xfId="0" applyFont="1" applyFill="1" applyBorder="1" applyAlignment="1" applyProtection="1">
      <alignment vertical="center"/>
      <protection hidden="1"/>
    </xf>
    <xf numFmtId="0" fontId="1" fillId="0" borderId="0" xfId="0" applyFont="1" applyAlignment="1">
      <alignment horizontal="right"/>
    </xf>
    <xf numFmtId="4" fontId="19" fillId="0" borderId="1" xfId="0" applyNumberFormat="1" applyFont="1" applyFill="1" applyBorder="1" applyProtection="1">
      <protection hidden="1"/>
    </xf>
    <xf numFmtId="4" fontId="4" fillId="2" borderId="49" xfId="0" applyNumberFormat="1" applyFont="1" applyFill="1" applyBorder="1" applyProtection="1">
      <protection hidden="1"/>
    </xf>
    <xf numFmtId="4" fontId="4" fillId="2" borderId="50" xfId="0" applyNumberFormat="1" applyFont="1" applyFill="1" applyBorder="1" applyProtection="1">
      <protection hidden="1"/>
    </xf>
    <xf numFmtId="4" fontId="159" fillId="2" borderId="50" xfId="0" applyNumberFormat="1" applyFont="1" applyFill="1" applyBorder="1" applyProtection="1">
      <protection hidden="1"/>
    </xf>
    <xf numFmtId="4" fontId="159" fillId="2" borderId="54" xfId="0" applyNumberFormat="1" applyFont="1" applyFill="1" applyBorder="1" applyProtection="1">
      <protection hidden="1"/>
    </xf>
    <xf numFmtId="4" fontId="6" fillId="23" borderId="21" xfId="0" applyNumberFormat="1" applyFont="1" applyFill="1" applyBorder="1" applyAlignment="1" applyProtection="1">
      <alignment horizontal="right"/>
      <protection hidden="1"/>
    </xf>
    <xf numFmtId="0" fontId="31" fillId="0" borderId="0" xfId="0" applyFont="1" applyFill="1" applyBorder="1" applyAlignment="1" applyProtection="1">
      <alignment horizontal="center"/>
      <protection hidden="1"/>
    </xf>
    <xf numFmtId="3" fontId="31" fillId="0" borderId="0" xfId="0" applyNumberFormat="1" applyFont="1" applyFill="1" applyBorder="1" applyAlignment="1" applyProtection="1">
      <alignment horizontal="right"/>
      <protection hidden="1"/>
    </xf>
    <xf numFmtId="3" fontId="8" fillId="0" borderId="0" xfId="0" applyNumberFormat="1" applyFont="1" applyFill="1" applyBorder="1" applyAlignment="1" applyProtection="1">
      <alignment horizontal="center"/>
      <protection hidden="1"/>
    </xf>
    <xf numFmtId="0" fontId="8" fillId="0" borderId="0" xfId="0" applyFont="1" applyFill="1" applyBorder="1" applyAlignment="1" applyProtection="1">
      <alignment horizontal="center"/>
      <protection hidden="1"/>
    </xf>
    <xf numFmtId="0" fontId="75" fillId="0" borderId="0" xfId="0" applyFont="1" applyFill="1" applyBorder="1" applyProtection="1">
      <protection hidden="1"/>
    </xf>
    <xf numFmtId="0" fontId="246" fillId="0" borderId="0" xfId="0" applyFont="1" applyFill="1" applyBorder="1" applyAlignment="1">
      <alignment horizontal="center" vertical="center"/>
    </xf>
    <xf numFmtId="0" fontId="0" fillId="0" borderId="0" xfId="0" applyBorder="1" applyAlignment="1" applyProtection="1">
      <alignment vertical="center"/>
      <protection hidden="1"/>
    </xf>
    <xf numFmtId="0" fontId="0" fillId="0" borderId="9" xfId="0" applyBorder="1" applyAlignment="1" applyProtection="1">
      <alignment horizontal="center"/>
      <protection hidden="1"/>
    </xf>
    <xf numFmtId="0" fontId="0" fillId="0" borderId="0" xfId="0" applyBorder="1" applyAlignment="1" applyProtection="1">
      <alignment horizontal="center"/>
      <protection hidden="1"/>
    </xf>
    <xf numFmtId="0" fontId="0" fillId="0" borderId="1" xfId="0" applyBorder="1" applyAlignment="1" applyProtection="1">
      <alignment horizontal="center"/>
      <protection hidden="1"/>
    </xf>
    <xf numFmtId="0" fontId="0" fillId="0" borderId="0" xfId="0" applyAlignment="1" applyProtection="1">
      <alignment horizontal="center"/>
      <protection hidden="1"/>
    </xf>
    <xf numFmtId="0" fontId="5" fillId="2" borderId="0" xfId="0" applyFont="1" applyFill="1" applyBorder="1" applyAlignment="1" applyProtection="1">
      <protection hidden="1"/>
    </xf>
    <xf numFmtId="0" fontId="0" fillId="20" borderId="8" xfId="0" applyFill="1" applyBorder="1" applyAlignment="1" applyProtection="1">
      <protection hidden="1"/>
    </xf>
    <xf numFmtId="49" fontId="7" fillId="20" borderId="8" xfId="0" applyNumberFormat="1" applyFont="1" applyFill="1" applyBorder="1" applyAlignment="1" applyProtection="1">
      <alignment horizontal="right"/>
      <protection hidden="1"/>
    </xf>
    <xf numFmtId="0" fontId="3" fillId="20" borderId="5" xfId="0" applyFont="1" applyFill="1" applyBorder="1" applyAlignment="1" applyProtection="1">
      <alignment vertical="top"/>
      <protection hidden="1"/>
    </xf>
    <xf numFmtId="49" fontId="7" fillId="20" borderId="0" xfId="0" applyNumberFormat="1" applyFont="1" applyFill="1" applyBorder="1" applyAlignment="1" applyProtection="1">
      <alignment horizontal="right"/>
      <protection hidden="1"/>
    </xf>
    <xf numFmtId="0" fontId="41" fillId="20" borderId="0" xfId="0" applyFont="1" applyFill="1" applyBorder="1" applyAlignment="1" applyProtection="1">
      <alignment horizontal="left" vertical="center"/>
      <protection hidden="1"/>
    </xf>
    <xf numFmtId="0" fontId="41" fillId="20" borderId="0" xfId="0" applyFont="1" applyFill="1" applyBorder="1" applyAlignment="1" applyProtection="1">
      <alignment vertical="center"/>
      <protection hidden="1"/>
    </xf>
    <xf numFmtId="49" fontId="7" fillId="20" borderId="5" xfId="0" applyNumberFormat="1" applyFont="1" applyFill="1" applyBorder="1" applyAlignment="1" applyProtection="1">
      <alignment horizontal="right"/>
      <protection hidden="1"/>
    </xf>
    <xf numFmtId="0" fontId="0" fillId="20" borderId="0" xfId="0" applyFill="1" applyBorder="1" applyAlignment="1" applyProtection="1">
      <alignment vertical="center"/>
      <protection hidden="1"/>
    </xf>
    <xf numFmtId="40" fontId="67" fillId="20" borderId="0" xfId="0" applyNumberFormat="1" applyFont="1" applyFill="1" applyBorder="1" applyAlignment="1" applyProtection="1">
      <alignment horizontal="centerContinuous"/>
      <protection hidden="1"/>
    </xf>
    <xf numFmtId="0" fontId="251" fillId="5" borderId="0" xfId="0" applyFont="1" applyFill="1" applyProtection="1">
      <protection hidden="1"/>
    </xf>
    <xf numFmtId="0" fontId="4" fillId="20" borderId="8" xfId="0" quotePrefix="1" applyFont="1" applyFill="1" applyBorder="1" applyAlignment="1" applyProtection="1">
      <alignment horizontal="right"/>
      <protection hidden="1"/>
    </xf>
    <xf numFmtId="0" fontId="199" fillId="20" borderId="8" xfId="0" quotePrefix="1" applyFont="1" applyFill="1" applyBorder="1" applyAlignment="1" applyProtection="1">
      <alignment horizontal="left"/>
      <protection hidden="1"/>
    </xf>
    <xf numFmtId="37" fontId="23" fillId="20" borderId="8" xfId="0" applyNumberFormat="1" applyFont="1" applyFill="1" applyBorder="1" applyProtection="1">
      <protection hidden="1"/>
    </xf>
    <xf numFmtId="3" fontId="137" fillId="20" borderId="8" xfId="0" applyNumberFormat="1" applyFont="1" applyFill="1" applyBorder="1" applyProtection="1">
      <protection hidden="1"/>
    </xf>
    <xf numFmtId="0" fontId="137" fillId="20" borderId="8" xfId="0" applyFont="1" applyFill="1" applyBorder="1" applyProtection="1">
      <protection hidden="1"/>
    </xf>
    <xf numFmtId="0" fontId="199" fillId="2" borderId="6" xfId="0" quotePrefix="1" applyFont="1" applyFill="1" applyBorder="1" applyAlignment="1" applyProtection="1">
      <alignment horizontal="left" indent="1"/>
      <protection hidden="1"/>
    </xf>
    <xf numFmtId="0" fontId="199" fillId="2" borderId="0" xfId="0" quotePrefix="1" applyFont="1" applyFill="1" applyBorder="1" applyAlignment="1" applyProtection="1">
      <alignment horizontal="left" indent="1"/>
      <protection hidden="1"/>
    </xf>
    <xf numFmtId="0" fontId="98" fillId="2" borderId="5" xfId="0" applyFont="1" applyFill="1" applyBorder="1" applyAlignment="1" applyProtection="1">
      <alignment horizontal="center"/>
      <protection hidden="1"/>
    </xf>
    <xf numFmtId="40" fontId="83" fillId="2" borderId="5" xfId="0" applyNumberFormat="1" applyFont="1" applyFill="1" applyBorder="1" applyAlignment="1" applyProtection="1">
      <alignment horizontal="left"/>
      <protection hidden="1"/>
    </xf>
    <xf numFmtId="40" fontId="83" fillId="2" borderId="5" xfId="0" applyNumberFormat="1" applyFont="1" applyFill="1" applyBorder="1" applyAlignment="1" applyProtection="1">
      <alignment horizontal="center"/>
      <protection hidden="1"/>
    </xf>
    <xf numFmtId="40" fontId="67" fillId="2" borderId="5" xfId="0" applyNumberFormat="1" applyFont="1" applyFill="1" applyBorder="1" applyAlignment="1" applyProtection="1">
      <alignment horizontal="right"/>
      <protection hidden="1"/>
    </xf>
    <xf numFmtId="40" fontId="21" fillId="2" borderId="23" xfId="0" applyNumberFormat="1" applyFont="1" applyFill="1" applyBorder="1" applyAlignment="1" applyProtection="1">
      <alignment horizontal="right"/>
      <protection hidden="1"/>
    </xf>
    <xf numFmtId="0" fontId="21" fillId="23" borderId="0" xfId="0" applyFont="1" applyFill="1" applyBorder="1" applyProtection="1">
      <protection hidden="1"/>
    </xf>
    <xf numFmtId="39" fontId="3" fillId="3" borderId="1" xfId="0" applyNumberFormat="1" applyFont="1" applyFill="1" applyBorder="1" applyProtection="1">
      <protection hidden="1"/>
    </xf>
    <xf numFmtId="40" fontId="161" fillId="2" borderId="0" xfId="0" applyNumberFormat="1" applyFont="1" applyFill="1" applyBorder="1" applyAlignment="1" applyProtection="1">
      <protection hidden="1"/>
    </xf>
    <xf numFmtId="4" fontId="19" fillId="37" borderId="137" xfId="0" applyNumberFormat="1" applyFont="1" applyFill="1" applyBorder="1" applyProtection="1">
      <protection locked="0"/>
    </xf>
    <xf numFmtId="4" fontId="19" fillId="37" borderId="138" xfId="0" applyNumberFormat="1" applyFont="1" applyFill="1" applyBorder="1" applyProtection="1">
      <protection locked="0"/>
    </xf>
    <xf numFmtId="4" fontId="19" fillId="37" borderId="139" xfId="0" applyNumberFormat="1" applyFont="1" applyFill="1" applyBorder="1" applyProtection="1">
      <protection locked="0"/>
    </xf>
    <xf numFmtId="4" fontId="19" fillId="37" borderId="140" xfId="0" applyNumberFormat="1" applyFont="1" applyFill="1" applyBorder="1" applyProtection="1">
      <protection locked="0"/>
    </xf>
    <xf numFmtId="4" fontId="19" fillId="37" borderId="141" xfId="0" applyNumberFormat="1" applyFont="1" applyFill="1" applyBorder="1" applyProtection="1">
      <protection locked="0"/>
    </xf>
    <xf numFmtId="4" fontId="19" fillId="37" borderId="142" xfId="0" applyNumberFormat="1" applyFont="1" applyFill="1" applyBorder="1" applyProtection="1">
      <protection locked="0"/>
    </xf>
    <xf numFmtId="4" fontId="19" fillId="37" borderId="143" xfId="0" applyNumberFormat="1" applyFont="1" applyFill="1" applyBorder="1" applyProtection="1">
      <protection locked="0"/>
    </xf>
    <xf numFmtId="4" fontId="19" fillId="37" borderId="144" xfId="0" applyNumberFormat="1" applyFont="1" applyFill="1" applyBorder="1" applyProtection="1">
      <protection locked="0"/>
    </xf>
    <xf numFmtId="4" fontId="19" fillId="37" borderId="145" xfId="0" applyNumberFormat="1" applyFont="1" applyFill="1" applyBorder="1" applyProtection="1">
      <protection locked="0"/>
    </xf>
    <xf numFmtId="0" fontId="4" fillId="37" borderId="0" xfId="0" applyFont="1" applyFill="1" applyBorder="1" applyAlignment="1" applyProtection="1">
      <alignment horizontal="center" wrapText="1"/>
      <protection locked="0"/>
    </xf>
    <xf numFmtId="0" fontId="1" fillId="37" borderId="0" xfId="0" applyFont="1" applyFill="1" applyBorder="1" applyAlignment="1" applyProtection="1">
      <alignment horizontal="center" wrapText="1"/>
      <protection locked="0"/>
    </xf>
    <xf numFmtId="4" fontId="3" fillId="37" borderId="89" xfId="0" applyNumberFormat="1" applyFont="1" applyFill="1" applyBorder="1" applyAlignment="1" applyProtection="1">
      <alignment horizontal="center"/>
      <protection locked="0"/>
    </xf>
    <xf numFmtId="4" fontId="0" fillId="37" borderId="91" xfId="0" applyNumberFormat="1" applyFill="1" applyBorder="1" applyAlignment="1" applyProtection="1">
      <alignment horizontal="center"/>
      <protection locked="0"/>
    </xf>
    <xf numFmtId="4" fontId="0" fillId="37" borderId="90" xfId="0" applyNumberFormat="1" applyFill="1" applyBorder="1" applyAlignment="1" applyProtection="1">
      <alignment horizontal="center"/>
      <protection locked="0"/>
    </xf>
    <xf numFmtId="4" fontId="19" fillId="37" borderId="44" xfId="0" applyNumberFormat="1" applyFont="1" applyFill="1" applyBorder="1" applyProtection="1">
      <protection locked="0"/>
    </xf>
    <xf numFmtId="4" fontId="19" fillId="37" borderId="48" xfId="0" applyNumberFormat="1" applyFont="1" applyFill="1" applyBorder="1" applyProtection="1">
      <protection locked="0"/>
    </xf>
    <xf numFmtId="4" fontId="19" fillId="37" borderId="47" xfId="0" applyNumberFormat="1" applyFont="1" applyFill="1" applyBorder="1" applyAlignment="1" applyProtection="1">
      <alignment horizontal="right"/>
      <protection locked="0"/>
    </xf>
    <xf numFmtId="4" fontId="19" fillId="37" borderId="13" xfId="0" applyNumberFormat="1" applyFont="1" applyFill="1" applyBorder="1" applyAlignment="1" applyProtection="1">
      <alignment horizontal="right"/>
      <protection locked="0"/>
    </xf>
    <xf numFmtId="4" fontId="19" fillId="37" borderId="40" xfId="0" applyNumberFormat="1" applyFont="1" applyFill="1" applyBorder="1" applyAlignment="1" applyProtection="1">
      <alignment horizontal="right"/>
      <protection locked="0"/>
    </xf>
    <xf numFmtId="49" fontId="3" fillId="37" borderId="47" xfId="0" applyNumberFormat="1" applyFont="1" applyFill="1" applyBorder="1" applyAlignment="1" applyProtection="1">
      <alignment horizontal="right"/>
      <protection locked="0"/>
    </xf>
    <xf numFmtId="49" fontId="3" fillId="37" borderId="13" xfId="0" applyNumberFormat="1" applyFont="1" applyFill="1" applyBorder="1" applyAlignment="1" applyProtection="1">
      <alignment horizontal="right"/>
      <protection locked="0"/>
    </xf>
    <xf numFmtId="49" fontId="19" fillId="37" borderId="40" xfId="0" applyNumberFormat="1" applyFont="1" applyFill="1" applyBorder="1" applyAlignment="1" applyProtection="1">
      <alignment horizontal="right"/>
      <protection locked="0"/>
    </xf>
    <xf numFmtId="171" fontId="19" fillId="37" borderId="47" xfId="0" applyNumberFormat="1" applyFont="1" applyFill="1" applyBorder="1" applyAlignment="1" applyProtection="1">
      <alignment horizontal="right"/>
      <protection locked="0"/>
    </xf>
    <xf numFmtId="171" fontId="19" fillId="37" borderId="13" xfId="0" applyNumberFormat="1" applyFont="1" applyFill="1" applyBorder="1" applyAlignment="1" applyProtection="1">
      <alignment horizontal="right"/>
      <protection locked="0"/>
    </xf>
    <xf numFmtId="171" fontId="19" fillId="37" borderId="40" xfId="0" applyNumberFormat="1" applyFont="1" applyFill="1" applyBorder="1" applyAlignment="1" applyProtection="1">
      <alignment horizontal="right"/>
      <protection locked="0"/>
    </xf>
    <xf numFmtId="49" fontId="8" fillId="37" borderId="47" xfId="0" applyNumberFormat="1" applyFont="1" applyFill="1" applyBorder="1" applyAlignment="1" applyProtection="1">
      <alignment horizontal="right"/>
      <protection locked="0"/>
    </xf>
    <xf numFmtId="49" fontId="8" fillId="37" borderId="13" xfId="0" applyNumberFormat="1" applyFont="1" applyFill="1" applyBorder="1" applyAlignment="1" applyProtection="1">
      <alignment horizontal="right"/>
      <protection locked="0"/>
    </xf>
    <xf numFmtId="49" fontId="8" fillId="37" borderId="40" xfId="0" applyNumberFormat="1" applyFont="1" applyFill="1" applyBorder="1" applyAlignment="1" applyProtection="1">
      <alignment horizontal="right"/>
      <protection locked="0"/>
    </xf>
    <xf numFmtId="4" fontId="19" fillId="37" borderId="51" xfId="0" applyNumberFormat="1" applyFont="1" applyFill="1" applyBorder="1" applyAlignment="1" applyProtection="1">
      <alignment horizontal="right"/>
      <protection locked="0"/>
    </xf>
    <xf numFmtId="4" fontId="19" fillId="37" borderId="52" xfId="0" applyNumberFormat="1" applyFont="1" applyFill="1" applyBorder="1" applyAlignment="1" applyProtection="1">
      <alignment horizontal="right"/>
      <protection locked="0"/>
    </xf>
    <xf numFmtId="4" fontId="19" fillId="37" borderId="53" xfId="0" applyNumberFormat="1" applyFont="1" applyFill="1" applyBorder="1" applyAlignment="1" applyProtection="1">
      <alignment horizontal="right"/>
      <protection locked="0"/>
    </xf>
    <xf numFmtId="0" fontId="4" fillId="0" borderId="0" xfId="0" applyFont="1" applyBorder="1" applyProtection="1">
      <protection hidden="1"/>
    </xf>
    <xf numFmtId="4" fontId="19" fillId="37" borderId="69" xfId="0" applyNumberFormat="1" applyFont="1" applyFill="1" applyBorder="1" applyProtection="1">
      <protection locked="0"/>
    </xf>
    <xf numFmtId="4" fontId="19" fillId="37" borderId="50" xfId="0" applyNumberFormat="1" applyFont="1" applyFill="1" applyBorder="1" applyAlignment="1" applyProtection="1">
      <alignment horizontal="right"/>
      <protection locked="0"/>
    </xf>
    <xf numFmtId="4" fontId="19" fillId="37" borderId="54" xfId="0" applyNumberFormat="1" applyFont="1" applyFill="1" applyBorder="1" applyAlignment="1" applyProtection="1">
      <alignment horizontal="right"/>
      <protection locked="0"/>
    </xf>
    <xf numFmtId="0" fontId="1" fillId="37" borderId="26" xfId="0" applyFont="1" applyFill="1" applyBorder="1" applyAlignment="1" applyProtection="1">
      <alignment horizontal="center" wrapText="1"/>
      <protection locked="0"/>
    </xf>
    <xf numFmtId="0" fontId="4" fillId="37" borderId="26" xfId="0" applyFont="1" applyFill="1" applyBorder="1" applyAlignment="1" applyProtection="1">
      <alignment horizontal="center" wrapText="1"/>
      <protection locked="0"/>
    </xf>
    <xf numFmtId="186" fontId="161" fillId="20" borderId="0" xfId="0" applyNumberFormat="1" applyFont="1" applyFill="1" applyAlignment="1" applyProtection="1">
      <alignment horizontal="center"/>
      <protection hidden="1"/>
    </xf>
    <xf numFmtId="0" fontId="5" fillId="29" borderId="6" xfId="0" quotePrefix="1" applyFont="1" applyFill="1" applyBorder="1" applyAlignment="1" applyProtection="1">
      <alignment horizontal="right"/>
      <protection hidden="1"/>
    </xf>
    <xf numFmtId="0" fontId="186" fillId="20" borderId="22" xfId="0" applyFont="1" applyFill="1" applyBorder="1" applyAlignment="1" applyProtection="1">
      <alignment horizontal="right"/>
      <protection hidden="1"/>
    </xf>
    <xf numFmtId="0" fontId="161" fillId="20" borderId="23" xfId="0" applyFont="1" applyFill="1" applyBorder="1" applyProtection="1">
      <protection hidden="1"/>
    </xf>
    <xf numFmtId="0" fontId="1" fillId="20" borderId="6" xfId="0" applyFont="1" applyFill="1" applyBorder="1" applyAlignment="1" applyProtection="1">
      <alignment horizontal="left"/>
      <protection hidden="1"/>
    </xf>
    <xf numFmtId="0" fontId="2" fillId="20" borderId="0" xfId="0" applyFont="1" applyFill="1" applyBorder="1" applyAlignment="1" applyProtection="1">
      <alignment horizontal="right"/>
      <protection hidden="1"/>
    </xf>
    <xf numFmtId="0" fontId="252" fillId="20" borderId="0" xfId="0" applyFont="1" applyFill="1" applyBorder="1" applyAlignment="1" applyProtection="1">
      <alignment horizontal="center"/>
      <protection hidden="1"/>
    </xf>
    <xf numFmtId="0" fontId="0" fillId="20" borderId="113" xfId="0" applyFill="1" applyBorder="1" applyAlignment="1" applyProtection="1">
      <alignment horizontal="centerContinuous"/>
      <protection hidden="1"/>
    </xf>
    <xf numFmtId="0" fontId="0" fillId="20" borderId="0" xfId="0" applyFill="1" applyBorder="1" applyAlignment="1" applyProtection="1">
      <alignment horizontal="centerContinuous"/>
      <protection hidden="1"/>
    </xf>
    <xf numFmtId="0" fontId="0" fillId="20" borderId="79" xfId="0" applyFill="1" applyBorder="1" applyAlignment="1" applyProtection="1">
      <alignment horizontal="centerContinuous"/>
      <protection hidden="1"/>
    </xf>
    <xf numFmtId="0" fontId="253" fillId="20" borderId="0" xfId="0" applyFont="1" applyFill="1" applyBorder="1" applyAlignment="1" applyProtection="1">
      <alignment horizontal="center"/>
      <protection hidden="1"/>
    </xf>
    <xf numFmtId="0" fontId="0" fillId="20" borderId="5" xfId="0" applyFill="1" applyBorder="1" applyAlignment="1"/>
    <xf numFmtId="0" fontId="10" fillId="2" borderId="26" xfId="0" applyFont="1" applyFill="1" applyBorder="1" applyAlignment="1" applyProtection="1">
      <alignment vertical="center"/>
      <protection hidden="1"/>
    </xf>
    <xf numFmtId="0" fontId="1" fillId="20" borderId="0" xfId="0" applyFont="1" applyFill="1" applyBorder="1" applyAlignment="1" applyProtection="1">
      <alignment horizontal="left"/>
      <protection hidden="1"/>
    </xf>
    <xf numFmtId="0" fontId="3" fillId="20" borderId="0" xfId="0" applyFont="1" applyFill="1" applyAlignment="1" applyProtection="1">
      <alignment vertical="top"/>
      <protection hidden="1"/>
    </xf>
    <xf numFmtId="0" fontId="0" fillId="20" borderId="0" xfId="0" applyFill="1" applyAlignment="1" applyProtection="1">
      <alignment horizontal="center"/>
      <protection hidden="1"/>
    </xf>
    <xf numFmtId="0" fontId="161" fillId="20" borderId="0" xfId="0" applyFont="1" applyFill="1" applyBorder="1" applyProtection="1">
      <protection hidden="1"/>
    </xf>
    <xf numFmtId="0" fontId="0" fillId="20" borderId="3" xfId="0" applyFill="1" applyBorder="1" applyAlignment="1" applyProtection="1">
      <alignment horizontal="center"/>
      <protection hidden="1"/>
    </xf>
    <xf numFmtId="0" fontId="0" fillId="20" borderId="0" xfId="0" applyFill="1" applyBorder="1" applyAlignment="1" applyProtection="1">
      <alignment horizontal="center"/>
      <protection hidden="1"/>
    </xf>
    <xf numFmtId="0" fontId="5" fillId="20" borderId="5" xfId="0" applyFont="1" applyFill="1" applyBorder="1" applyProtection="1">
      <protection hidden="1"/>
    </xf>
    <xf numFmtId="0" fontId="16" fillId="20" borderId="31" xfId="0" applyFont="1" applyFill="1" applyBorder="1" applyAlignment="1" applyProtection="1">
      <alignment horizontal="center" vertical="top"/>
      <protection hidden="1"/>
    </xf>
    <xf numFmtId="0" fontId="16" fillId="20" borderId="9" xfId="0" applyFont="1" applyFill="1" applyBorder="1" applyAlignment="1" applyProtection="1">
      <alignment horizontal="center" vertical="top"/>
      <protection hidden="1"/>
    </xf>
    <xf numFmtId="0" fontId="1" fillId="29" borderId="8" xfId="0" applyFont="1" applyFill="1" applyBorder="1" applyAlignment="1" applyProtection="1">
      <alignment horizontal="right"/>
      <protection hidden="1"/>
    </xf>
    <xf numFmtId="0" fontId="66" fillId="29" borderId="62" xfId="0" applyFont="1" applyFill="1" applyBorder="1" applyAlignment="1" applyProtection="1">
      <alignment vertical="center"/>
      <protection hidden="1"/>
    </xf>
    <xf numFmtId="0" fontId="8" fillId="29" borderId="8" xfId="0" applyFont="1" applyFill="1" applyBorder="1" applyProtection="1">
      <protection hidden="1"/>
    </xf>
    <xf numFmtId="0" fontId="0" fillId="20" borderId="8" xfId="0" applyFill="1" applyBorder="1" applyAlignment="1"/>
    <xf numFmtId="0" fontId="0" fillId="20" borderId="0" xfId="0" applyFill="1" applyBorder="1" applyAlignment="1"/>
    <xf numFmtId="0" fontId="8" fillId="20" borderId="6" xfId="0" applyFont="1" applyFill="1" applyBorder="1" applyAlignment="1" applyProtection="1">
      <alignment horizontal="left" indent="1"/>
      <protection hidden="1"/>
    </xf>
    <xf numFmtId="0" fontId="1" fillId="20" borderId="24" xfId="0" applyFont="1" applyFill="1" applyBorder="1" applyAlignment="1" applyProtection="1">
      <alignment horizontal="left" vertical="top" indent="1"/>
      <protection hidden="1"/>
    </xf>
    <xf numFmtId="0" fontId="1" fillId="20" borderId="6" xfId="0" applyFont="1" applyFill="1" applyBorder="1" applyAlignment="1" applyProtection="1">
      <alignment horizontal="left" vertical="top" indent="1"/>
      <protection hidden="1"/>
    </xf>
    <xf numFmtId="0" fontId="0" fillId="0" borderId="0" xfId="0" applyAlignment="1"/>
    <xf numFmtId="0" fontId="19" fillId="3" borderId="0" xfId="0" applyFont="1" applyFill="1" applyBorder="1" applyAlignment="1" applyProtection="1">
      <alignment horizontal="left"/>
      <protection hidden="1"/>
    </xf>
    <xf numFmtId="0" fontId="10"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199" fillId="29" borderId="0" xfId="0" applyFont="1" applyFill="1" applyBorder="1" applyProtection="1">
      <protection hidden="1"/>
    </xf>
    <xf numFmtId="0" fontId="0" fillId="0" borderId="0" xfId="0" applyBorder="1" applyAlignment="1" applyProtection="1">
      <alignment horizontal="right"/>
      <protection hidden="1"/>
    </xf>
    <xf numFmtId="0" fontId="4" fillId="34" borderId="24" xfId="0" applyFont="1" applyFill="1" applyBorder="1" applyAlignment="1" applyProtection="1">
      <alignment horizontal="right"/>
      <protection hidden="1"/>
    </xf>
    <xf numFmtId="0" fontId="4" fillId="34" borderId="8" xfId="0" applyFont="1" applyFill="1" applyBorder="1" applyAlignment="1" applyProtection="1">
      <alignment horizontal="right"/>
      <protection hidden="1"/>
    </xf>
    <xf numFmtId="0" fontId="19" fillId="34" borderId="8" xfId="0" applyFont="1" applyFill="1" applyBorder="1" applyAlignment="1" applyProtection="1">
      <alignment horizontal="left"/>
      <protection hidden="1"/>
    </xf>
    <xf numFmtId="0" fontId="8" fillId="34" borderId="8" xfId="0" applyFont="1" applyFill="1" applyBorder="1" applyAlignment="1" applyProtection="1">
      <alignment horizontal="left"/>
      <protection hidden="1"/>
    </xf>
    <xf numFmtId="0" fontId="4" fillId="34" borderId="6" xfId="0" quotePrefix="1" applyFont="1" applyFill="1" applyBorder="1" applyAlignment="1" applyProtection="1">
      <alignment horizontal="right"/>
      <protection hidden="1"/>
    </xf>
    <xf numFmtId="0" fontId="4" fillId="34" borderId="0" xfId="0" applyFont="1" applyFill="1" applyBorder="1" applyAlignment="1" applyProtection="1">
      <alignment horizontal="right"/>
      <protection hidden="1"/>
    </xf>
    <xf numFmtId="0" fontId="3" fillId="34" borderId="0" xfId="0" applyFont="1" applyFill="1" applyBorder="1" applyAlignment="1" applyProtection="1">
      <alignment horizontal="left"/>
      <protection hidden="1"/>
    </xf>
    <xf numFmtId="0" fontId="19" fillId="34" borderId="0" xfId="0" applyFont="1" applyFill="1" applyBorder="1" applyAlignment="1" applyProtection="1">
      <alignment horizontal="left"/>
      <protection hidden="1"/>
    </xf>
    <xf numFmtId="0" fontId="8" fillId="34" borderId="0" xfId="0" applyFont="1" applyFill="1" applyBorder="1" applyAlignment="1" applyProtection="1">
      <alignment horizontal="left"/>
      <protection hidden="1"/>
    </xf>
    <xf numFmtId="0" fontId="4" fillId="34" borderId="6" xfId="0" applyFont="1" applyFill="1" applyBorder="1" applyAlignment="1" applyProtection="1">
      <alignment horizontal="right"/>
      <protection hidden="1"/>
    </xf>
    <xf numFmtId="0" fontId="5" fillId="34" borderId="0" xfId="0" applyFont="1" applyFill="1" applyBorder="1" applyAlignment="1" applyProtection="1">
      <alignment horizontal="left"/>
      <protection hidden="1"/>
    </xf>
    <xf numFmtId="0" fontId="1" fillId="34" borderId="6" xfId="0" quotePrefix="1" applyFont="1" applyFill="1" applyBorder="1" applyAlignment="1" applyProtection="1">
      <alignment horizontal="right"/>
      <protection hidden="1"/>
    </xf>
    <xf numFmtId="0" fontId="4" fillId="34" borderId="0" xfId="0" quotePrefix="1" applyFont="1" applyFill="1" applyBorder="1" applyAlignment="1" applyProtection="1">
      <alignment horizontal="right"/>
      <protection hidden="1"/>
    </xf>
    <xf numFmtId="1" fontId="1" fillId="34" borderId="0" xfId="0" quotePrefix="1" applyNumberFormat="1" applyFont="1" applyFill="1" applyBorder="1" applyAlignment="1" applyProtection="1">
      <alignment horizontal="right"/>
      <protection hidden="1"/>
    </xf>
    <xf numFmtId="0" fontId="28" fillId="34" borderId="0" xfId="0" applyFont="1" applyFill="1" applyBorder="1" applyAlignment="1" applyProtection="1">
      <alignment horizontal="left"/>
      <protection hidden="1"/>
    </xf>
    <xf numFmtId="1" fontId="4" fillId="34" borderId="0" xfId="0" applyNumberFormat="1" applyFont="1" applyFill="1" applyBorder="1" applyAlignment="1" applyProtection="1">
      <alignment horizontal="right"/>
      <protection hidden="1"/>
    </xf>
    <xf numFmtId="0" fontId="6" fillId="34" borderId="0" xfId="0" applyFont="1" applyFill="1" applyBorder="1" applyAlignment="1" applyProtection="1">
      <alignment horizontal="right" vertical="center"/>
      <protection hidden="1"/>
    </xf>
    <xf numFmtId="0" fontId="28" fillId="34" borderId="6" xfId="0" applyFont="1" applyFill="1" applyBorder="1" applyAlignment="1" applyProtection="1">
      <alignment horizontal="right"/>
      <protection hidden="1"/>
    </xf>
    <xf numFmtId="0" fontId="28" fillId="34" borderId="0" xfId="0" applyFont="1" applyFill="1" applyBorder="1" applyAlignment="1" applyProtection="1">
      <alignment horizontal="right"/>
      <protection hidden="1"/>
    </xf>
    <xf numFmtId="0" fontId="15" fillId="34" borderId="0" xfId="0" applyFont="1" applyFill="1" applyBorder="1" applyAlignment="1" applyProtection="1">
      <alignment horizontal="right"/>
      <protection hidden="1"/>
    </xf>
    <xf numFmtId="39" fontId="8" fillId="34" borderId="22" xfId="0" applyNumberFormat="1" applyFont="1" applyFill="1" applyBorder="1" applyAlignment="1" applyProtection="1">
      <alignment horizontal="right"/>
      <protection hidden="1"/>
    </xf>
    <xf numFmtId="39" fontId="8" fillId="34" borderId="5" xfId="0" applyNumberFormat="1" applyFont="1" applyFill="1" applyBorder="1" applyAlignment="1" applyProtection="1">
      <alignment horizontal="right"/>
      <protection hidden="1"/>
    </xf>
    <xf numFmtId="0" fontId="11" fillId="34" borderId="0" xfId="0" applyFont="1" applyFill="1" applyBorder="1" applyAlignment="1" applyProtection="1">
      <alignment horizontal="right"/>
      <protection hidden="1"/>
    </xf>
    <xf numFmtId="0" fontId="1" fillId="34" borderId="0" xfId="0" quotePrefix="1" applyFont="1" applyFill="1" applyBorder="1" applyAlignment="1" applyProtection="1">
      <alignment horizontal="right"/>
      <protection hidden="1"/>
    </xf>
    <xf numFmtId="0" fontId="8" fillId="34" borderId="20" xfId="0" applyFont="1" applyFill="1" applyBorder="1" applyAlignment="1" applyProtection="1">
      <alignment horizontal="left"/>
      <protection hidden="1"/>
    </xf>
    <xf numFmtId="39" fontId="8" fillId="34" borderId="21" xfId="0" applyNumberFormat="1" applyFont="1" applyFill="1" applyBorder="1" applyAlignment="1" applyProtection="1">
      <alignment horizontal="right"/>
      <protection hidden="1"/>
    </xf>
    <xf numFmtId="39" fontId="8" fillId="34" borderId="23" xfId="0" applyNumberFormat="1" applyFont="1" applyFill="1" applyBorder="1" applyAlignment="1" applyProtection="1">
      <alignment horizontal="right"/>
      <protection hidden="1"/>
    </xf>
    <xf numFmtId="3" fontId="6" fillId="34" borderId="0" xfId="0" applyNumberFormat="1" applyFont="1" applyFill="1" applyBorder="1" applyAlignment="1" applyProtection="1">
      <alignment horizontal="right"/>
      <protection hidden="1"/>
    </xf>
    <xf numFmtId="39" fontId="8" fillId="34" borderId="0" xfId="0" applyNumberFormat="1" applyFont="1" applyFill="1" applyBorder="1" applyAlignment="1" applyProtection="1">
      <alignment horizontal="right"/>
      <protection hidden="1"/>
    </xf>
    <xf numFmtId="37" fontId="5" fillId="34" borderId="0" xfId="0" applyNumberFormat="1" applyFont="1" applyFill="1" applyBorder="1" applyAlignment="1" applyProtection="1">
      <alignment horizontal="right"/>
      <protection locked="0"/>
    </xf>
    <xf numFmtId="0" fontId="6" fillId="34" borderId="0" xfId="0" applyFont="1" applyFill="1" applyBorder="1" applyAlignment="1" applyProtection="1">
      <alignment horizontal="left"/>
      <protection hidden="1"/>
    </xf>
    <xf numFmtId="0" fontId="8" fillId="34" borderId="21" xfId="0" applyFont="1" applyFill="1" applyBorder="1" applyAlignment="1" applyProtection="1">
      <alignment horizontal="left"/>
      <protection hidden="1"/>
    </xf>
    <xf numFmtId="0" fontId="1" fillId="34" borderId="0" xfId="0" applyFont="1" applyFill="1" applyBorder="1" applyAlignment="1" applyProtection="1">
      <alignment horizontal="left"/>
      <protection hidden="1"/>
    </xf>
    <xf numFmtId="0" fontId="3" fillId="34" borderId="0" xfId="0" applyFont="1" applyFill="1" applyBorder="1" applyAlignment="1" applyProtection="1">
      <alignment horizontal="right"/>
      <protection hidden="1"/>
    </xf>
    <xf numFmtId="0" fontId="4" fillId="34" borderId="27" xfId="0" applyFont="1" applyFill="1" applyBorder="1" applyAlignment="1" applyProtection="1">
      <alignment horizontal="right"/>
      <protection hidden="1"/>
    </xf>
    <xf numFmtId="0" fontId="19" fillId="34" borderId="1" xfId="0" applyFont="1" applyFill="1" applyBorder="1" applyAlignment="1" applyProtection="1">
      <alignment horizontal="left"/>
      <protection hidden="1"/>
    </xf>
    <xf numFmtId="0" fontId="8" fillId="34" borderId="1" xfId="0" applyFont="1" applyFill="1" applyBorder="1" applyAlignment="1" applyProtection="1">
      <alignment horizontal="left"/>
      <protection hidden="1"/>
    </xf>
    <xf numFmtId="0" fontId="4" fillId="34" borderId="1" xfId="0" applyFont="1" applyFill="1" applyBorder="1" applyAlignment="1" applyProtection="1">
      <alignment horizontal="right"/>
      <protection hidden="1"/>
    </xf>
    <xf numFmtId="0" fontId="8" fillId="34" borderId="30" xfId="0" applyFont="1" applyFill="1" applyBorder="1" applyAlignment="1" applyProtection="1">
      <alignment horizontal="left"/>
      <protection hidden="1"/>
    </xf>
    <xf numFmtId="0" fontId="3" fillId="34" borderId="1" xfId="0" applyFont="1" applyFill="1" applyBorder="1" applyAlignment="1" applyProtection="1">
      <alignment horizontal="left" vertical="center"/>
      <protection hidden="1"/>
    </xf>
    <xf numFmtId="3" fontId="157" fillId="34" borderId="0" xfId="0" applyNumberFormat="1" applyFont="1" applyFill="1" applyBorder="1" applyAlignment="1" applyProtection="1">
      <alignment horizontal="right"/>
      <protection hidden="1"/>
    </xf>
    <xf numFmtId="0" fontId="163" fillId="34" borderId="0" xfId="0" applyFont="1" applyFill="1" applyBorder="1" applyAlignment="1" applyProtection="1">
      <alignment horizontal="center"/>
      <protection hidden="1"/>
    </xf>
    <xf numFmtId="0" fontId="181" fillId="34" borderId="0" xfId="0" applyFont="1" applyFill="1" applyBorder="1" applyAlignment="1" applyProtection="1">
      <alignment horizontal="left"/>
      <protection hidden="1"/>
    </xf>
    <xf numFmtId="0" fontId="8" fillId="34" borderId="0" xfId="0" applyFont="1" applyFill="1" applyBorder="1" applyAlignment="1" applyProtection="1">
      <alignment horizontal="right"/>
      <protection hidden="1"/>
    </xf>
    <xf numFmtId="0" fontId="8" fillId="34" borderId="8" xfId="0" applyFont="1" applyFill="1" applyBorder="1" applyAlignment="1" applyProtection="1">
      <alignment horizontal="right"/>
      <protection hidden="1"/>
    </xf>
    <xf numFmtId="0" fontId="8" fillId="0" borderId="0" xfId="0" applyFont="1" applyAlignment="1" applyProtection="1">
      <protection hidden="1"/>
    </xf>
    <xf numFmtId="0" fontId="163" fillId="0" borderId="0" xfId="0" applyFont="1" applyProtection="1">
      <protection hidden="1"/>
    </xf>
    <xf numFmtId="0" fontId="175" fillId="34" borderId="8" xfId="0" applyFont="1" applyFill="1" applyBorder="1" applyAlignment="1" applyProtection="1">
      <alignment horizontal="right"/>
      <protection hidden="1"/>
    </xf>
    <xf numFmtId="0" fontId="175" fillId="2" borderId="0" xfId="0" applyFont="1" applyFill="1" applyBorder="1" applyProtection="1">
      <protection hidden="1"/>
    </xf>
    <xf numFmtId="0" fontId="8" fillId="20" borderId="31" xfId="0" applyFont="1" applyFill="1" applyBorder="1" applyProtection="1">
      <protection hidden="1"/>
    </xf>
    <xf numFmtId="0" fontId="8" fillId="20" borderId="9" xfId="0" quotePrefix="1" applyFont="1" applyFill="1" applyBorder="1"/>
    <xf numFmtId="0" fontId="8" fillId="20" borderId="0" xfId="0" quotePrefix="1" applyFont="1" applyFill="1" applyBorder="1"/>
    <xf numFmtId="0" fontId="8" fillId="20" borderId="10" xfId="0" applyFont="1" applyFill="1" applyBorder="1" applyProtection="1">
      <protection hidden="1"/>
    </xf>
    <xf numFmtId="0" fontId="8" fillId="20" borderId="1" xfId="0" applyFont="1" applyFill="1" applyBorder="1"/>
    <xf numFmtId="0" fontId="31" fillId="29" borderId="22" xfId="0" applyFont="1" applyFill="1" applyBorder="1" applyAlignment="1" applyProtection="1">
      <alignment horizontal="center"/>
      <protection hidden="1"/>
    </xf>
    <xf numFmtId="3" fontId="31" fillId="29" borderId="5" xfId="0" applyNumberFormat="1" applyFont="1" applyFill="1" applyBorder="1" applyAlignment="1" applyProtection="1">
      <alignment horizontal="right"/>
      <protection hidden="1"/>
    </xf>
    <xf numFmtId="3" fontId="8" fillId="29" borderId="5" xfId="0" applyNumberFormat="1" applyFont="1" applyFill="1" applyBorder="1" applyAlignment="1" applyProtection="1">
      <alignment horizontal="center"/>
      <protection hidden="1"/>
    </xf>
    <xf numFmtId="0" fontId="8" fillId="29" borderId="5" xfId="0" applyFont="1" applyFill="1" applyBorder="1" applyAlignment="1" applyProtection="1">
      <alignment horizontal="left"/>
      <protection hidden="1"/>
    </xf>
    <xf numFmtId="0" fontId="8" fillId="29" borderId="5" xfId="0" applyFont="1" applyFill="1" applyBorder="1" applyAlignment="1" applyProtection="1">
      <alignment horizontal="center"/>
      <protection hidden="1"/>
    </xf>
    <xf numFmtId="0" fontId="75" fillId="29" borderId="5" xfId="0" applyFont="1" applyFill="1" applyBorder="1" applyProtection="1">
      <protection hidden="1"/>
    </xf>
    <xf numFmtId="0" fontId="75" fillId="29" borderId="23" xfId="0" applyFont="1" applyFill="1" applyBorder="1" applyProtection="1">
      <protection hidden="1"/>
    </xf>
    <xf numFmtId="3" fontId="5" fillId="32" borderId="1" xfId="0" applyNumberFormat="1" applyFont="1" applyFill="1" applyBorder="1" applyProtection="1">
      <protection hidden="1"/>
    </xf>
    <xf numFmtId="3" fontId="5" fillId="32" borderId="1" xfId="0" applyNumberFormat="1" applyFont="1" applyFill="1" applyBorder="1" applyAlignment="1" applyProtection="1">
      <protection hidden="1"/>
    </xf>
    <xf numFmtId="3" fontId="5" fillId="21" borderId="1" xfId="0" applyNumberFormat="1" applyFont="1" applyFill="1" applyBorder="1" applyProtection="1">
      <protection locked="0"/>
    </xf>
    <xf numFmtId="164" fontId="6" fillId="29" borderId="6" xfId="0" applyNumberFormat="1" applyFont="1" applyFill="1" applyBorder="1" applyAlignment="1" applyProtection="1">
      <alignment horizontal="right"/>
      <protection hidden="1"/>
    </xf>
    <xf numFmtId="0" fontId="1" fillId="29" borderId="0" xfId="0" applyFont="1" applyFill="1" applyBorder="1" applyProtection="1">
      <protection hidden="1"/>
    </xf>
    <xf numFmtId="4" fontId="6" fillId="29" borderId="0" xfId="0" applyNumberFormat="1" applyFont="1" applyFill="1" applyBorder="1" applyAlignment="1" applyProtection="1">
      <alignment horizontal="right"/>
      <protection hidden="1"/>
    </xf>
    <xf numFmtId="164" fontId="6" fillId="29" borderId="0" xfId="0" applyNumberFormat="1" applyFont="1" applyFill="1" applyBorder="1" applyAlignment="1" applyProtection="1">
      <alignment horizontal="right"/>
      <protection hidden="1"/>
    </xf>
    <xf numFmtId="4" fontId="5" fillId="29" borderId="0" xfId="0" applyNumberFormat="1" applyFont="1" applyFill="1" applyBorder="1" applyProtection="1">
      <protection hidden="1"/>
    </xf>
    <xf numFmtId="0" fontId="6" fillId="29" borderId="0" xfId="0" applyFont="1" applyFill="1" applyBorder="1" applyProtection="1">
      <protection hidden="1"/>
    </xf>
    <xf numFmtId="0" fontId="171" fillId="29" borderId="0" xfId="0" applyFont="1" applyFill="1" applyBorder="1" applyAlignment="1" applyProtection="1">
      <alignment vertical="center"/>
      <protection hidden="1"/>
    </xf>
    <xf numFmtId="0" fontId="11" fillId="29" borderId="6" xfId="0" applyFont="1" applyFill="1" applyBorder="1" applyAlignment="1" applyProtection="1">
      <alignment vertical="top"/>
      <protection hidden="1"/>
    </xf>
    <xf numFmtId="0" fontId="5" fillId="29" borderId="0" xfId="0" applyFont="1" applyFill="1" applyBorder="1" applyAlignment="1" applyProtection="1">
      <alignment vertical="top"/>
      <protection hidden="1"/>
    </xf>
    <xf numFmtId="164" fontId="6" fillId="29" borderId="0" xfId="0" applyNumberFormat="1" applyFont="1" applyFill="1" applyBorder="1" applyAlignment="1" applyProtection="1">
      <alignment vertical="top"/>
      <protection hidden="1"/>
    </xf>
    <xf numFmtId="4" fontId="5" fillId="29" borderId="0" xfId="0" applyNumberFormat="1" applyFont="1" applyFill="1" applyBorder="1" applyAlignment="1" applyProtection="1">
      <alignment vertical="top"/>
      <protection hidden="1"/>
    </xf>
    <xf numFmtId="164" fontId="6" fillId="29" borderId="0" xfId="0" applyNumberFormat="1" applyFont="1" applyFill="1" applyBorder="1" applyAlignment="1" applyProtection="1">
      <alignment horizontal="right" vertical="center"/>
      <protection hidden="1"/>
    </xf>
    <xf numFmtId="0" fontId="67" fillId="29" borderId="5" xfId="0" applyFont="1" applyFill="1" applyBorder="1" applyAlignment="1" applyProtection="1">
      <alignment vertical="center"/>
      <protection hidden="1"/>
    </xf>
    <xf numFmtId="0" fontId="8" fillId="29" borderId="5" xfId="0" applyFont="1" applyFill="1" applyBorder="1" applyProtection="1">
      <protection hidden="1"/>
    </xf>
    <xf numFmtId="0" fontId="11" fillId="29" borderId="5" xfId="0" applyFont="1" applyFill="1" applyBorder="1" applyAlignment="1" applyProtection="1">
      <alignment horizontal="right"/>
      <protection hidden="1"/>
    </xf>
    <xf numFmtId="4" fontId="5" fillId="29" borderId="5" xfId="0" applyNumberFormat="1" applyFont="1" applyFill="1" applyBorder="1" applyProtection="1">
      <protection hidden="1"/>
    </xf>
    <xf numFmtId="0" fontId="6" fillId="29" borderId="5" xfId="0" applyFont="1" applyFill="1" applyBorder="1" applyProtection="1">
      <protection hidden="1"/>
    </xf>
    <xf numFmtId="0" fontId="11" fillId="29" borderId="6" xfId="0" applyFont="1" applyFill="1" applyBorder="1" applyProtection="1">
      <protection hidden="1"/>
    </xf>
    <xf numFmtId="164" fontId="6" fillId="29" borderId="0" xfId="0" applyNumberFormat="1" applyFont="1" applyFill="1" applyBorder="1" applyProtection="1">
      <protection hidden="1"/>
    </xf>
    <xf numFmtId="0" fontId="11" fillId="29" borderId="6" xfId="0" applyFont="1" applyFill="1" applyBorder="1" applyAlignment="1" applyProtection="1">
      <alignment horizontal="right" vertical="top"/>
      <protection hidden="1"/>
    </xf>
    <xf numFmtId="3" fontId="5" fillId="29" borderId="0" xfId="0" applyNumberFormat="1" applyFont="1" applyFill="1" applyBorder="1" applyProtection="1">
      <protection hidden="1"/>
    </xf>
    <xf numFmtId="0" fontId="6" fillId="29" borderId="0" xfId="0" applyFont="1" applyFill="1" applyBorder="1" applyAlignment="1" applyProtection="1">
      <alignment horizontal="right"/>
      <protection hidden="1"/>
    </xf>
    <xf numFmtId="0" fontId="6" fillId="29" borderId="0" xfId="0" applyFont="1" applyFill="1" applyBorder="1" applyAlignment="1" applyProtection="1">
      <alignment horizontal="right" vertical="top"/>
      <protection hidden="1"/>
    </xf>
    <xf numFmtId="0" fontId="6" fillId="29" borderId="0" xfId="0" applyFont="1" applyFill="1" applyBorder="1" applyAlignment="1" applyProtection="1">
      <alignment vertical="top"/>
      <protection hidden="1"/>
    </xf>
    <xf numFmtId="3" fontId="5" fillId="29" borderId="0" xfId="0" applyNumberFormat="1" applyFont="1" applyFill="1" applyBorder="1" applyAlignment="1" applyProtection="1">
      <alignment vertical="top"/>
      <protection hidden="1"/>
    </xf>
    <xf numFmtId="0" fontId="0" fillId="29" borderId="21" xfId="0" applyFill="1" applyBorder="1" applyAlignment="1" applyProtection="1">
      <alignment vertical="top"/>
      <protection hidden="1"/>
    </xf>
    <xf numFmtId="4" fontId="5" fillId="29" borderId="9" xfId="0" applyNumberFormat="1" applyFont="1" applyFill="1" applyBorder="1" applyAlignment="1" applyProtection="1">
      <alignment vertical="center" wrapText="1"/>
      <protection hidden="1"/>
    </xf>
    <xf numFmtId="4" fontId="5" fillId="29" borderId="0" xfId="0" applyNumberFormat="1" applyFont="1" applyFill="1" applyBorder="1" applyAlignment="1" applyProtection="1">
      <alignment vertical="center" wrapText="1"/>
      <protection hidden="1"/>
    </xf>
    <xf numFmtId="0" fontId="0" fillId="29" borderId="0" xfId="0" applyFill="1" applyAlignment="1" applyProtection="1">
      <alignment vertical="center" wrapText="1"/>
      <protection hidden="1"/>
    </xf>
    <xf numFmtId="3" fontId="6" fillId="29" borderId="0" xfId="0" applyNumberFormat="1" applyFont="1" applyFill="1" applyBorder="1" applyProtection="1">
      <protection hidden="1"/>
    </xf>
    <xf numFmtId="3" fontId="5" fillId="29" borderId="5" xfId="0" applyNumberFormat="1" applyFont="1" applyFill="1" applyBorder="1" applyProtection="1">
      <protection hidden="1"/>
    </xf>
    <xf numFmtId="0" fontId="3" fillId="29" borderId="8" xfId="0" applyFont="1" applyFill="1" applyBorder="1" applyAlignment="1">
      <alignment horizontal="left" vertical="top"/>
    </xf>
    <xf numFmtId="0" fontId="3" fillId="29" borderId="20" xfId="0" applyFont="1" applyFill="1" applyBorder="1" applyAlignment="1">
      <alignment horizontal="left" vertical="top"/>
    </xf>
    <xf numFmtId="0" fontId="3" fillId="29" borderId="0" xfId="0" applyFont="1" applyFill="1" applyBorder="1" applyAlignment="1">
      <alignment horizontal="left" vertical="top"/>
    </xf>
    <xf numFmtId="0" fontId="3" fillId="29" borderId="21" xfId="0" applyFont="1" applyFill="1" applyBorder="1" applyAlignment="1">
      <alignment horizontal="left" vertical="top"/>
    </xf>
    <xf numFmtId="0" fontId="2" fillId="29" borderId="5" xfId="0" applyFont="1" applyFill="1" applyBorder="1" applyAlignment="1" applyProtection="1">
      <alignment horizontal="left"/>
      <protection hidden="1"/>
    </xf>
    <xf numFmtId="0" fontId="3" fillId="29" borderId="23" xfId="0" applyFont="1" applyFill="1" applyBorder="1" applyAlignment="1">
      <alignment horizontal="left" vertical="top"/>
    </xf>
    <xf numFmtId="0" fontId="1" fillId="29" borderId="24" xfId="0" applyFont="1" applyFill="1" applyBorder="1" applyAlignment="1" applyProtection="1">
      <alignment horizontal="left" vertical="center"/>
      <protection hidden="1"/>
    </xf>
    <xf numFmtId="0" fontId="0" fillId="29" borderId="8" xfId="0" applyFill="1" applyBorder="1" applyAlignment="1">
      <alignment horizontal="left" vertical="center"/>
    </xf>
    <xf numFmtId="0" fontId="1" fillId="29" borderId="6" xfId="0" applyFont="1" applyFill="1" applyBorder="1" applyAlignment="1" applyProtection="1">
      <alignment horizontal="left" vertical="center"/>
      <protection hidden="1"/>
    </xf>
    <xf numFmtId="0" fontId="0" fillId="29" borderId="0" xfId="0" applyFill="1" applyAlignment="1">
      <alignment horizontal="left" vertical="center"/>
    </xf>
    <xf numFmtId="0" fontId="3" fillId="29" borderId="0" xfId="0" applyFont="1" applyFill="1" applyAlignment="1">
      <alignment horizontal="left" vertical="top"/>
    </xf>
    <xf numFmtId="0" fontId="0" fillId="29" borderId="22" xfId="0" applyFill="1" applyBorder="1" applyAlignment="1">
      <alignment horizontal="left" vertical="center"/>
    </xf>
    <xf numFmtId="0" fontId="0" fillId="29" borderId="5" xfId="0" applyFill="1" applyBorder="1" applyAlignment="1">
      <alignment horizontal="left" vertical="center"/>
    </xf>
    <xf numFmtId="0" fontId="3" fillId="29" borderId="128" xfId="0" applyFont="1" applyFill="1" applyBorder="1"/>
    <xf numFmtId="0" fontId="0" fillId="29" borderId="28" xfId="0" applyFill="1" applyBorder="1"/>
    <xf numFmtId="0" fontId="3" fillId="29" borderId="28" xfId="0" applyFont="1" applyFill="1" applyBorder="1"/>
    <xf numFmtId="0" fontId="8" fillId="29" borderId="88" xfId="0" applyFont="1" applyFill="1" applyBorder="1" applyAlignment="1">
      <alignment horizontal="right"/>
    </xf>
    <xf numFmtId="0" fontId="8" fillId="29" borderId="9" xfId="0" applyFont="1" applyFill="1" applyBorder="1"/>
    <xf numFmtId="0" fontId="8" fillId="29" borderId="6" xfId="0" applyFont="1" applyFill="1" applyBorder="1" applyAlignment="1">
      <alignment horizontal="right"/>
    </xf>
    <xf numFmtId="0" fontId="8" fillId="29" borderId="0" xfId="0" applyFont="1" applyFill="1" applyBorder="1" applyAlignment="1">
      <alignment horizontal="left" indent="1"/>
    </xf>
    <xf numFmtId="0" fontId="8" fillId="29" borderId="0" xfId="0" applyFont="1" applyFill="1" applyBorder="1"/>
    <xf numFmtId="0" fontId="8" fillId="29" borderId="0" xfId="0" applyFont="1" applyFill="1" applyBorder="1" applyAlignment="1">
      <alignment horizontal="right"/>
    </xf>
    <xf numFmtId="0" fontId="11" fillId="29" borderId="0" xfId="0" applyFont="1" applyFill="1" applyBorder="1" applyAlignment="1">
      <alignment horizontal="left" indent="1"/>
    </xf>
    <xf numFmtId="0" fontId="8" fillId="29" borderId="22" xfId="0" applyFont="1" applyFill="1" applyBorder="1" applyAlignment="1">
      <alignment horizontal="right"/>
    </xf>
    <xf numFmtId="0" fontId="8" fillId="29" borderId="5" xfId="0" applyFont="1" applyFill="1" applyBorder="1" applyAlignment="1">
      <alignment horizontal="left" indent="1"/>
    </xf>
    <xf numFmtId="0" fontId="8" fillId="29" borderId="5" xfId="0" applyFont="1" applyFill="1" applyBorder="1"/>
    <xf numFmtId="0" fontId="2" fillId="29" borderId="5" xfId="0" applyFont="1" applyFill="1" applyBorder="1" applyAlignment="1" applyProtection="1">
      <alignment horizontal="right"/>
      <protection hidden="1"/>
    </xf>
    <xf numFmtId="0" fontId="0" fillId="29" borderId="129" xfId="0" applyFill="1" applyBorder="1"/>
    <xf numFmtId="0" fontId="8" fillId="29" borderId="99" xfId="0" applyFont="1" applyFill="1" applyBorder="1"/>
    <xf numFmtId="0" fontId="8" fillId="29" borderId="21" xfId="0" applyFont="1" applyFill="1" applyBorder="1"/>
    <xf numFmtId="3" fontId="163" fillId="29" borderId="0" xfId="0" applyNumberFormat="1" applyFont="1" applyFill="1" applyBorder="1"/>
    <xf numFmtId="4" fontId="163" fillId="29" borderId="0" xfId="0" applyNumberFormat="1" applyFont="1" applyFill="1" applyBorder="1"/>
    <xf numFmtId="0" fontId="8" fillId="29" borderId="23" xfId="0" applyFont="1" applyFill="1" applyBorder="1"/>
    <xf numFmtId="0" fontId="208" fillId="29" borderId="0" xfId="0" applyFont="1" applyFill="1" applyBorder="1"/>
    <xf numFmtId="3" fontId="6" fillId="32" borderId="1" xfId="0" applyNumberFormat="1" applyFont="1" applyFill="1" applyBorder="1" applyAlignment="1" applyProtection="1">
      <alignment horizontal="right"/>
      <protection hidden="1"/>
    </xf>
    <xf numFmtId="0" fontId="8" fillId="29" borderId="0" xfId="0" applyFont="1" applyFill="1" applyBorder="1" applyAlignment="1">
      <alignment horizontal="left"/>
    </xf>
    <xf numFmtId="0" fontId="188" fillId="29" borderId="28" xfId="0" applyFont="1" applyFill="1" applyBorder="1"/>
    <xf numFmtId="168" fontId="6" fillId="32" borderId="1" xfId="0" applyNumberFormat="1" applyFont="1" applyFill="1" applyBorder="1" applyAlignment="1" applyProtection="1">
      <alignment horizontal="center"/>
      <protection hidden="1"/>
    </xf>
    <xf numFmtId="0" fontId="163" fillId="0" borderId="0" xfId="0" applyFont="1" applyAlignment="1"/>
    <xf numFmtId="0" fontId="5" fillId="29" borderId="0" xfId="0" applyFont="1" applyFill="1" applyBorder="1" applyAlignment="1" applyProtection="1">
      <alignment horizontal="right" wrapText="1"/>
      <protection hidden="1"/>
    </xf>
    <xf numFmtId="0" fontId="3" fillId="29" borderId="0" xfId="0" applyFont="1" applyFill="1" applyBorder="1" applyAlignment="1" applyProtection="1">
      <alignment horizontal="right"/>
      <protection hidden="1"/>
    </xf>
    <xf numFmtId="0" fontId="250" fillId="29" borderId="86" xfId="0" applyFont="1" applyFill="1" applyBorder="1" applyAlignment="1" applyProtection="1">
      <alignment horizontal="right"/>
      <protection hidden="1"/>
    </xf>
    <xf numFmtId="0" fontId="250" fillId="29" borderId="23" xfId="0" applyFont="1" applyFill="1" applyBorder="1" applyAlignment="1" applyProtection="1">
      <alignment horizontal="right"/>
      <protection hidden="1"/>
    </xf>
    <xf numFmtId="3" fontId="205" fillId="0" borderId="0" xfId="0" applyNumberFormat="1" applyFont="1" applyAlignment="1">
      <alignment vertical="center"/>
    </xf>
    <xf numFmtId="6" fontId="195" fillId="0" borderId="21" xfId="0" applyNumberFormat="1" applyFont="1" applyBorder="1" applyAlignment="1" applyProtection="1">
      <alignment horizontal="right"/>
      <protection hidden="1"/>
    </xf>
    <xf numFmtId="6" fontId="195" fillId="0" borderId="0" xfId="0" applyNumberFormat="1" applyFont="1" applyAlignment="1" applyProtection="1">
      <alignment horizontal="right"/>
      <protection hidden="1"/>
    </xf>
    <xf numFmtId="6" fontId="195" fillId="0" borderId="0" xfId="0" applyNumberFormat="1" applyFont="1" applyBorder="1" applyAlignment="1" applyProtection="1">
      <alignment horizontal="right"/>
      <protection hidden="1"/>
    </xf>
    <xf numFmtId="3" fontId="0" fillId="0" borderId="0" xfId="0" applyNumberFormat="1" applyAlignment="1" applyProtection="1">
      <alignment horizontal="right"/>
      <protection hidden="1"/>
    </xf>
    <xf numFmtId="3" fontId="0" fillId="0" borderId="21" xfId="0" applyNumberFormat="1" applyBorder="1" applyAlignment="1" applyProtection="1">
      <alignment horizontal="right"/>
      <protection hidden="1"/>
    </xf>
    <xf numFmtId="0" fontId="254" fillId="2" borderId="0" xfId="4" applyFont="1" applyFill="1" applyAlignment="1" applyProtection="1">
      <alignment horizontal="center" vertical="center"/>
      <protection hidden="1"/>
    </xf>
    <xf numFmtId="4" fontId="161" fillId="2" borderId="0" xfId="4" applyNumberFormat="1" applyFont="1" applyFill="1" applyBorder="1" applyProtection="1">
      <protection hidden="1"/>
    </xf>
    <xf numFmtId="0" fontId="254" fillId="29" borderId="6" xfId="0" applyFont="1" applyFill="1" applyBorder="1" applyAlignment="1" applyProtection="1">
      <alignment horizontal="right"/>
      <protection hidden="1"/>
    </xf>
    <xf numFmtId="4" fontId="181" fillId="2" borderId="0" xfId="0" applyNumberFormat="1" applyFont="1" applyFill="1" applyBorder="1" applyProtection="1">
      <protection hidden="1"/>
    </xf>
    <xf numFmtId="0" fontId="6" fillId="32" borderId="2" xfId="0" applyFont="1" applyFill="1" applyBorder="1" applyAlignment="1" applyProtection="1">
      <alignment horizontal="center"/>
      <protection hidden="1"/>
    </xf>
    <xf numFmtId="0" fontId="10" fillId="20" borderId="24" xfId="0" applyFont="1" applyFill="1" applyBorder="1" applyProtection="1">
      <protection hidden="1"/>
    </xf>
    <xf numFmtId="0" fontId="10" fillId="20" borderId="6" xfId="0" applyFont="1" applyFill="1" applyBorder="1" applyProtection="1">
      <protection hidden="1"/>
    </xf>
    <xf numFmtId="37" fontId="0" fillId="32" borderId="1" xfId="0" applyNumberFormat="1" applyFill="1" applyBorder="1" applyProtection="1">
      <protection hidden="1"/>
    </xf>
    <xf numFmtId="0" fontId="23" fillId="0" borderId="0" xfId="0" applyFont="1" applyFill="1" applyProtection="1">
      <protection hidden="1"/>
    </xf>
    <xf numFmtId="0" fontId="234" fillId="0" borderId="0" xfId="0" applyFont="1" applyFill="1" applyProtection="1">
      <protection hidden="1"/>
    </xf>
    <xf numFmtId="1" fontId="34" fillId="0" borderId="2" xfId="0" applyNumberFormat="1" applyFont="1" applyFill="1" applyBorder="1" applyAlignment="1" applyProtection="1">
      <protection locked="0"/>
    </xf>
    <xf numFmtId="0" fontId="67" fillId="0" borderId="0" xfId="0" applyFont="1" applyFill="1" applyProtection="1">
      <protection hidden="1"/>
    </xf>
    <xf numFmtId="0" fontId="3" fillId="20" borderId="0" xfId="0" quotePrefix="1" applyFont="1" applyFill="1" applyBorder="1" applyAlignment="1" applyProtection="1">
      <alignment horizontal="right"/>
      <protection hidden="1"/>
    </xf>
    <xf numFmtId="0" fontId="3" fillId="20" borderId="6" xfId="0" quotePrefix="1" applyFont="1" applyFill="1" applyBorder="1" applyAlignment="1" applyProtection="1">
      <alignment horizontal="right"/>
      <protection hidden="1"/>
    </xf>
    <xf numFmtId="0" fontId="2" fillId="20" borderId="0" xfId="0" applyFont="1" applyFill="1" applyBorder="1" applyProtection="1">
      <protection hidden="1"/>
    </xf>
    <xf numFmtId="0" fontId="1" fillId="32" borderId="13" xfId="0" applyFont="1" applyFill="1" applyBorder="1" applyAlignment="1" applyProtection="1">
      <alignment horizontal="center"/>
      <protection hidden="1"/>
    </xf>
    <xf numFmtId="0" fontId="1" fillId="30" borderId="13" xfId="0" applyFont="1" applyFill="1" applyBorder="1" applyAlignment="1" applyProtection="1">
      <alignment horizontal="center"/>
      <protection hidden="1"/>
    </xf>
    <xf numFmtId="0" fontId="1" fillId="30" borderId="13" xfId="0" applyFont="1" applyFill="1" applyBorder="1" applyAlignment="1" applyProtection="1">
      <alignment horizontal="center"/>
      <protection locked="0"/>
    </xf>
    <xf numFmtId="0" fontId="1" fillId="30" borderId="13" xfId="0" applyFont="1" applyFill="1" applyBorder="1" applyAlignment="1" applyProtection="1">
      <alignment horizontal="center"/>
      <protection locked="0" hidden="1"/>
    </xf>
    <xf numFmtId="0" fontId="181" fillId="29" borderId="24" xfId="0" applyFont="1" applyFill="1" applyBorder="1" applyProtection="1">
      <protection hidden="1"/>
    </xf>
    <xf numFmtId="0" fontId="160" fillId="20" borderId="3" xfId="0" quotePrefix="1" applyFont="1" applyFill="1" applyBorder="1" applyAlignment="1" applyProtection="1">
      <alignment horizontal="center"/>
      <protection hidden="1"/>
    </xf>
    <xf numFmtId="37" fontId="0" fillId="20" borderId="1" xfId="0" applyNumberFormat="1" applyFill="1" applyBorder="1" applyAlignment="1" applyProtection="1">
      <alignment horizontal="right"/>
      <protection hidden="1"/>
    </xf>
    <xf numFmtId="0" fontId="233" fillId="0" borderId="31" xfId="0" applyFont="1" applyFill="1" applyBorder="1" applyAlignment="1">
      <alignment horizontal="center" vertical="center" wrapText="1"/>
    </xf>
    <xf numFmtId="182" fontId="233" fillId="0" borderId="15" xfId="0" applyNumberFormat="1" applyFont="1" applyFill="1" applyBorder="1" applyAlignment="1">
      <alignment horizontal="center" vertical="center" wrapText="1"/>
    </xf>
    <xf numFmtId="0" fontId="233" fillId="0" borderId="3" xfId="0" applyFont="1" applyFill="1" applyBorder="1" applyAlignment="1">
      <alignment horizontal="center" vertical="center" wrapText="1"/>
    </xf>
    <xf numFmtId="182" fontId="233" fillId="0" borderId="25" xfId="0" applyNumberFormat="1" applyFont="1" applyFill="1" applyBorder="1" applyAlignment="1">
      <alignment horizontal="center" vertical="center" wrapText="1"/>
    </xf>
    <xf numFmtId="0" fontId="233" fillId="0" borderId="10" xfId="0" applyFont="1" applyFill="1" applyBorder="1" applyAlignment="1">
      <alignment horizontal="center" vertical="center" wrapText="1"/>
    </xf>
    <xf numFmtId="182" fontId="233" fillId="0" borderId="12" xfId="0" applyNumberFormat="1" applyFont="1" applyFill="1" applyBorder="1" applyAlignment="1">
      <alignment horizontal="center" vertical="center" wrapText="1"/>
    </xf>
    <xf numFmtId="0" fontId="5" fillId="29" borderId="0" xfId="0" applyFont="1" applyFill="1" applyBorder="1" applyAlignment="1" applyProtection="1">
      <alignment vertical="center"/>
      <protection hidden="1"/>
    </xf>
    <xf numFmtId="0" fontId="0" fillId="20" borderId="6" xfId="0" applyFill="1" applyBorder="1" applyAlignment="1">
      <alignment horizontal="center"/>
    </xf>
    <xf numFmtId="0" fontId="1" fillId="31" borderId="2" xfId="0" applyFont="1" applyFill="1" applyBorder="1" applyAlignment="1" applyProtection="1">
      <alignment horizontal="center" vertical="center"/>
      <protection hidden="1"/>
    </xf>
    <xf numFmtId="1" fontId="94" fillId="20" borderId="6" xfId="0" applyNumberFormat="1" applyFont="1" applyFill="1" applyBorder="1" applyAlignment="1" applyProtection="1">
      <alignment horizontal="center"/>
      <protection hidden="1"/>
    </xf>
    <xf numFmtId="1" fontId="94" fillId="20" borderId="0" xfId="0" applyNumberFormat="1" applyFont="1" applyFill="1" applyBorder="1" applyProtection="1">
      <protection hidden="1"/>
    </xf>
    <xf numFmtId="1" fontId="94" fillId="20" borderId="22" xfId="0" applyNumberFormat="1" applyFont="1" applyFill="1" applyBorder="1" applyAlignment="1" applyProtection="1">
      <alignment horizontal="center"/>
      <protection hidden="1"/>
    </xf>
    <xf numFmtId="1" fontId="94" fillId="20" borderId="5" xfId="0" applyNumberFormat="1" applyFont="1" applyFill="1" applyBorder="1" applyProtection="1">
      <protection hidden="1"/>
    </xf>
    <xf numFmtId="0" fontId="67" fillId="3" borderId="0" xfId="0" applyFont="1" applyFill="1" applyBorder="1" applyProtection="1">
      <protection hidden="1"/>
    </xf>
    <xf numFmtId="0" fontId="43" fillId="20" borderId="0" xfId="0" applyFont="1" applyFill="1" applyBorder="1" applyAlignment="1" applyProtection="1">
      <alignment horizontal="left"/>
      <protection hidden="1"/>
    </xf>
    <xf numFmtId="0" fontId="3" fillId="20" borderId="0" xfId="0" applyFont="1" applyFill="1" applyBorder="1" applyAlignment="1" applyProtection="1">
      <alignment horizontal="center"/>
      <protection hidden="1"/>
    </xf>
    <xf numFmtId="0" fontId="12" fillId="20" borderId="0" xfId="0" applyFont="1" applyFill="1" applyBorder="1" applyProtection="1">
      <protection hidden="1"/>
    </xf>
    <xf numFmtId="0" fontId="17" fillId="20" borderId="0" xfId="0" applyFont="1" applyFill="1" applyBorder="1" applyAlignment="1" applyProtection="1">
      <alignment horizontal="right" wrapText="1"/>
      <protection hidden="1"/>
    </xf>
    <xf numFmtId="0" fontId="8" fillId="20" borderId="24" xfId="0" applyFont="1" applyFill="1" applyBorder="1" applyAlignment="1" applyProtection="1">
      <alignment horizontal="left"/>
      <protection hidden="1"/>
    </xf>
    <xf numFmtId="0" fontId="161" fillId="20" borderId="8" xfId="0" applyFont="1" applyFill="1" applyBorder="1" applyProtection="1">
      <protection hidden="1"/>
    </xf>
    <xf numFmtId="0" fontId="43" fillId="20" borderId="6" xfId="0" applyFont="1" applyFill="1" applyBorder="1" applyAlignment="1" applyProtection="1">
      <alignment horizontal="left"/>
      <protection hidden="1"/>
    </xf>
    <xf numFmtId="0" fontId="43" fillId="20" borderId="21" xfId="0" applyFont="1" applyFill="1" applyBorder="1" applyAlignment="1" applyProtection="1">
      <alignment horizontal="left"/>
      <protection hidden="1"/>
    </xf>
    <xf numFmtId="0" fontId="12" fillId="20" borderId="6" xfId="0" applyFont="1" applyFill="1" applyBorder="1" applyProtection="1">
      <protection hidden="1"/>
    </xf>
    <xf numFmtId="0" fontId="12" fillId="20" borderId="21" xfId="0" applyFont="1" applyFill="1" applyBorder="1" applyProtection="1">
      <protection hidden="1"/>
    </xf>
    <xf numFmtId="0" fontId="17" fillId="20" borderId="22" xfId="0" applyFont="1" applyFill="1" applyBorder="1" applyAlignment="1" applyProtection="1">
      <alignment horizontal="right" wrapText="1"/>
      <protection hidden="1"/>
    </xf>
    <xf numFmtId="0" fontId="17" fillId="20" borderId="5" xfId="0" applyFont="1" applyFill="1" applyBorder="1" applyAlignment="1" applyProtection="1">
      <alignment horizontal="right" wrapText="1"/>
      <protection hidden="1"/>
    </xf>
    <xf numFmtId="0" fontId="17" fillId="20" borderId="23" xfId="0" applyFont="1" applyFill="1" applyBorder="1" applyAlignment="1" applyProtection="1">
      <alignment horizontal="right" wrapText="1"/>
      <protection hidden="1"/>
    </xf>
    <xf numFmtId="0" fontId="0" fillId="20" borderId="6" xfId="0" applyFill="1" applyBorder="1" applyAlignment="1"/>
    <xf numFmtId="0" fontId="10" fillId="21" borderId="2" xfId="0" applyFont="1" applyFill="1" applyBorder="1" applyAlignment="1" applyProtection="1">
      <alignment horizontal="center"/>
      <protection locked="0"/>
    </xf>
    <xf numFmtId="0" fontId="3" fillId="0" borderId="130" xfId="0" applyFont="1" applyBorder="1" applyProtection="1">
      <protection hidden="1"/>
    </xf>
    <xf numFmtId="0" fontId="3" fillId="0" borderId="69" xfId="0" applyFont="1" applyBorder="1" applyProtection="1">
      <protection hidden="1"/>
    </xf>
    <xf numFmtId="0" fontId="3" fillId="0" borderId="47" xfId="0" applyFont="1" applyBorder="1" applyProtection="1">
      <protection hidden="1"/>
    </xf>
    <xf numFmtId="0" fontId="3" fillId="0" borderId="61" xfId="0" applyFont="1" applyBorder="1" applyProtection="1">
      <protection hidden="1"/>
    </xf>
    <xf numFmtId="0" fontId="3" fillId="0" borderId="47" xfId="0" applyFont="1" applyBorder="1" applyAlignment="1" applyProtection="1">
      <alignment horizontal="center"/>
      <protection hidden="1"/>
    </xf>
    <xf numFmtId="0" fontId="3" fillId="0" borderId="61" xfId="0" applyFont="1" applyBorder="1" applyAlignment="1" applyProtection="1">
      <alignment horizontal="center"/>
      <protection hidden="1"/>
    </xf>
    <xf numFmtId="0" fontId="3" fillId="0" borderId="51" xfId="0" applyFont="1" applyBorder="1" applyProtection="1">
      <protection hidden="1"/>
    </xf>
    <xf numFmtId="0" fontId="3" fillId="0" borderId="131" xfId="0" applyFont="1" applyBorder="1" applyProtection="1">
      <protection hidden="1"/>
    </xf>
    <xf numFmtId="0" fontId="92" fillId="20" borderId="0" xfId="0" applyFont="1" applyFill="1" applyBorder="1" applyAlignment="1" applyProtection="1">
      <alignment horizontal="left"/>
      <protection hidden="1"/>
    </xf>
    <xf numFmtId="0" fontId="3" fillId="20" borderId="0" xfId="0" applyFont="1" applyFill="1" applyBorder="1" applyAlignment="1" applyProtection="1">
      <alignment horizontal="right"/>
      <protection hidden="1"/>
    </xf>
    <xf numFmtId="4" fontId="23" fillId="20" borderId="0" xfId="0" applyNumberFormat="1" applyFont="1" applyFill="1" applyBorder="1" applyProtection="1">
      <protection hidden="1"/>
    </xf>
    <xf numFmtId="0" fontId="23" fillId="20" borderId="0" xfId="0" applyFont="1" applyFill="1" applyProtection="1">
      <protection hidden="1"/>
    </xf>
    <xf numFmtId="0" fontId="3" fillId="20" borderId="24" xfId="4" applyFill="1" applyBorder="1" applyProtection="1">
      <protection hidden="1"/>
    </xf>
    <xf numFmtId="0" fontId="3" fillId="20" borderId="8" xfId="4" applyFill="1" applyBorder="1" applyProtection="1">
      <protection hidden="1"/>
    </xf>
    <xf numFmtId="0" fontId="255" fillId="20" borderId="8" xfId="4" applyFont="1" applyFill="1" applyBorder="1" applyProtection="1">
      <protection hidden="1"/>
    </xf>
    <xf numFmtId="0" fontId="3" fillId="20" borderId="8" xfId="4" applyFill="1" applyBorder="1" applyAlignment="1" applyProtection="1">
      <alignment horizontal="center"/>
      <protection hidden="1"/>
    </xf>
    <xf numFmtId="0" fontId="3" fillId="20" borderId="20" xfId="4" applyFill="1" applyBorder="1" applyAlignment="1" applyProtection="1">
      <alignment horizontal="center"/>
      <protection hidden="1"/>
    </xf>
    <xf numFmtId="0" fontId="3" fillId="20" borderId="6" xfId="4" applyFill="1" applyBorder="1" applyProtection="1">
      <protection hidden="1"/>
    </xf>
    <xf numFmtId="0" fontId="3" fillId="20" borderId="0" xfId="4" applyFill="1" applyBorder="1" applyProtection="1">
      <protection hidden="1"/>
    </xf>
    <xf numFmtId="0" fontId="3" fillId="20" borderId="0" xfId="4" applyFill="1" applyBorder="1" applyAlignment="1" applyProtection="1">
      <alignment horizontal="center"/>
      <protection hidden="1"/>
    </xf>
    <xf numFmtId="0" fontId="3" fillId="20" borderId="21" xfId="4" applyFill="1" applyBorder="1" applyAlignment="1" applyProtection="1">
      <alignment horizontal="center"/>
      <protection hidden="1"/>
    </xf>
    <xf numFmtId="4" fontId="34" fillId="20" borderId="0" xfId="0" applyNumberFormat="1" applyFont="1" applyFill="1" applyBorder="1" applyProtection="1">
      <protection hidden="1"/>
    </xf>
    <xf numFmtId="0" fontId="3" fillId="20" borderId="0" xfId="4" applyFill="1" applyBorder="1" applyAlignment="1" applyProtection="1">
      <alignment horizontal="right"/>
      <protection hidden="1"/>
    </xf>
    <xf numFmtId="0" fontId="3" fillId="20" borderId="0" xfId="4" applyFont="1" applyFill="1" applyBorder="1" applyAlignment="1" applyProtection="1">
      <alignment horizontal="center"/>
      <protection hidden="1"/>
    </xf>
    <xf numFmtId="0" fontId="3" fillId="20" borderId="21" xfId="4" applyFont="1" applyFill="1" applyBorder="1" applyAlignment="1" applyProtection="1">
      <alignment horizontal="center"/>
      <protection hidden="1"/>
    </xf>
    <xf numFmtId="0" fontId="3" fillId="20" borderId="6" xfId="4" applyFont="1" applyFill="1" applyBorder="1" applyAlignment="1" applyProtection="1">
      <alignment horizontal="center"/>
      <protection hidden="1"/>
    </xf>
    <xf numFmtId="0" fontId="3" fillId="20" borderId="0" xfId="4" applyFont="1" applyFill="1" applyBorder="1" applyProtection="1">
      <protection hidden="1"/>
    </xf>
    <xf numFmtId="0" fontId="3" fillId="20" borderId="0" xfId="4" quotePrefix="1" applyFont="1" applyFill="1" applyBorder="1" applyAlignment="1" applyProtection="1">
      <alignment horizontal="right"/>
      <protection hidden="1"/>
    </xf>
    <xf numFmtId="0" fontId="3" fillId="20" borderId="6" xfId="4" applyFont="1" applyFill="1" applyBorder="1" applyProtection="1">
      <protection hidden="1"/>
    </xf>
    <xf numFmtId="0" fontId="3" fillId="20" borderId="0" xfId="4" applyFont="1" applyFill="1" applyBorder="1" applyAlignment="1" applyProtection="1">
      <alignment horizontal="right"/>
      <protection hidden="1"/>
    </xf>
    <xf numFmtId="0" fontId="3" fillId="20" borderId="2" xfId="4" applyFont="1" applyFill="1" applyBorder="1" applyProtection="1">
      <protection hidden="1"/>
    </xf>
    <xf numFmtId="190" fontId="3" fillId="20" borderId="0" xfId="4" applyNumberFormat="1" applyFill="1" applyBorder="1" applyAlignment="1" applyProtection="1">
      <alignment horizontal="center"/>
      <protection hidden="1"/>
    </xf>
    <xf numFmtId="0" fontId="4" fillId="20" borderId="0" xfId="0" applyFont="1" applyFill="1" applyAlignment="1" applyProtection="1">
      <alignment horizontal="center"/>
      <protection hidden="1"/>
    </xf>
    <xf numFmtId="0" fontId="3" fillId="20" borderId="1" xfId="4" applyFill="1" applyBorder="1" applyAlignment="1" applyProtection="1">
      <alignment horizontal="center"/>
      <protection hidden="1"/>
    </xf>
    <xf numFmtId="0" fontId="3" fillId="20" borderId="30" xfId="4" applyFill="1" applyBorder="1" applyAlignment="1" applyProtection="1">
      <alignment horizontal="center"/>
      <protection hidden="1"/>
    </xf>
    <xf numFmtId="37" fontId="0" fillId="20" borderId="0" xfId="0" applyNumberFormat="1" applyFill="1" applyProtection="1">
      <protection hidden="1"/>
    </xf>
    <xf numFmtId="0" fontId="3" fillId="20" borderId="22" xfId="4" applyFill="1" applyBorder="1"/>
    <xf numFmtId="0" fontId="3" fillId="20" borderId="5" xfId="4" applyFill="1" applyBorder="1"/>
    <xf numFmtId="0" fontId="3" fillId="20" borderId="5" xfId="4" applyFill="1" applyBorder="1" applyAlignment="1">
      <alignment horizontal="center"/>
    </xf>
    <xf numFmtId="0" fontId="3" fillId="20" borderId="5" xfId="4" applyFont="1" applyFill="1" applyBorder="1" applyAlignment="1" applyProtection="1">
      <alignment horizontal="center"/>
      <protection hidden="1"/>
    </xf>
    <xf numFmtId="0" fontId="3" fillId="20" borderId="23" xfId="4" applyFill="1" applyBorder="1" applyAlignment="1" applyProtection="1">
      <alignment horizontal="center"/>
      <protection hidden="1"/>
    </xf>
    <xf numFmtId="3" fontId="3" fillId="20" borderId="0" xfId="0" applyNumberFormat="1" applyFont="1" applyFill="1" applyProtection="1">
      <protection hidden="1"/>
    </xf>
    <xf numFmtId="0" fontId="159" fillId="20" borderId="0" xfId="0" applyFont="1" applyFill="1" applyAlignment="1" applyProtection="1">
      <alignment horizontal="center"/>
      <protection locked="0"/>
    </xf>
    <xf numFmtId="0" fontId="160" fillId="20" borderId="0" xfId="0" applyFont="1" applyFill="1" applyBorder="1" applyAlignment="1" applyProtection="1">
      <alignment horizontal="center" vertical="center"/>
      <protection hidden="1"/>
    </xf>
    <xf numFmtId="14" fontId="161" fillId="20" borderId="0" xfId="0" applyNumberFormat="1" applyFont="1" applyFill="1" applyAlignment="1" applyProtection="1">
      <alignment horizontal="center"/>
      <protection hidden="1"/>
    </xf>
    <xf numFmtId="185" fontId="0" fillId="20" borderId="0" xfId="0" applyNumberFormat="1" applyFill="1" applyProtection="1">
      <protection hidden="1"/>
    </xf>
    <xf numFmtId="14" fontId="3" fillId="20" borderId="0" xfId="0" applyNumberFormat="1" applyFont="1" applyFill="1" applyAlignment="1" applyProtection="1">
      <alignment horizontal="center"/>
      <protection hidden="1"/>
    </xf>
    <xf numFmtId="1" fontId="228" fillId="20" borderId="0" xfId="0" applyNumberFormat="1" applyFont="1" applyFill="1" applyBorder="1" applyAlignment="1" applyProtection="1">
      <alignment horizontal="center"/>
      <protection hidden="1"/>
    </xf>
    <xf numFmtId="2" fontId="19" fillId="20" borderId="0" xfId="0" applyNumberFormat="1" applyFont="1" applyFill="1" applyBorder="1" applyAlignment="1" applyProtection="1">
      <alignment horizontal="center"/>
      <protection hidden="1"/>
    </xf>
    <xf numFmtId="0" fontId="19" fillId="20" borderId="0" xfId="0" applyFont="1" applyFill="1" applyProtection="1">
      <protection hidden="1"/>
    </xf>
    <xf numFmtId="0" fontId="19" fillId="20" borderId="0" xfId="0" applyFont="1" applyFill="1" applyAlignment="1" applyProtection="1">
      <alignment horizontal="center"/>
      <protection hidden="1"/>
    </xf>
    <xf numFmtId="0" fontId="0" fillId="20" borderId="0" xfId="0" applyFill="1" applyAlignment="1">
      <alignment horizontal="center" vertical="center"/>
    </xf>
    <xf numFmtId="0" fontId="26" fillId="20" borderId="0" xfId="0" applyFont="1" applyFill="1" applyAlignment="1" applyProtection="1">
      <alignment horizontal="right"/>
      <protection hidden="1"/>
    </xf>
    <xf numFmtId="0" fontId="99" fillId="20" borderId="0" xfId="0" applyFont="1" applyFill="1" applyProtection="1">
      <protection hidden="1"/>
    </xf>
    <xf numFmtId="1" fontId="99" fillId="20" borderId="0" xfId="0" applyNumberFormat="1" applyFont="1" applyFill="1" applyProtection="1">
      <protection hidden="1"/>
    </xf>
    <xf numFmtId="0" fontId="8" fillId="20" borderId="0" xfId="0" applyFont="1" applyFill="1" applyAlignment="1" applyProtection="1">
      <alignment horizontal="center"/>
      <protection hidden="1"/>
    </xf>
    <xf numFmtId="0" fontId="19" fillId="20" borderId="56" xfId="0" applyFont="1" applyFill="1" applyBorder="1" applyAlignment="1" applyProtection="1">
      <alignment horizontal="right"/>
      <protection hidden="1"/>
    </xf>
    <xf numFmtId="0" fontId="19" fillId="20" borderId="8" xfId="0" applyFont="1" applyFill="1" applyBorder="1" applyAlignment="1" applyProtection="1">
      <alignment horizontal="right"/>
      <protection hidden="1"/>
    </xf>
    <xf numFmtId="0" fontId="19" fillId="20" borderId="20" xfId="0" applyFont="1" applyFill="1" applyBorder="1" applyAlignment="1" applyProtection="1">
      <alignment horizontal="right"/>
      <protection hidden="1"/>
    </xf>
    <xf numFmtId="0" fontId="19" fillId="20" borderId="57" xfId="0" applyFont="1" applyFill="1" applyBorder="1" applyAlignment="1" applyProtection="1">
      <alignment horizontal="right"/>
      <protection hidden="1"/>
    </xf>
    <xf numFmtId="0" fontId="19" fillId="20" borderId="1" xfId="0" applyFont="1" applyFill="1" applyBorder="1" applyAlignment="1" applyProtection="1">
      <alignment horizontal="right"/>
      <protection hidden="1"/>
    </xf>
    <xf numFmtId="0" fontId="19" fillId="20" borderId="0" xfId="0" applyFont="1" applyFill="1" applyBorder="1" applyAlignment="1" applyProtection="1">
      <alignment horizontal="right"/>
      <protection hidden="1"/>
    </xf>
    <xf numFmtId="0" fontId="19" fillId="20" borderId="21" xfId="0" applyFont="1" applyFill="1" applyBorder="1" applyAlignment="1" applyProtection="1">
      <alignment horizontal="right"/>
      <protection hidden="1"/>
    </xf>
    <xf numFmtId="3" fontId="19" fillId="20" borderId="58" xfId="0" applyNumberFormat="1" applyFont="1" applyFill="1" applyBorder="1" applyAlignment="1" applyProtection="1">
      <alignment horizontal="right"/>
      <protection hidden="1"/>
    </xf>
    <xf numFmtId="3" fontId="19" fillId="20" borderId="6" xfId="0" applyNumberFormat="1" applyFont="1" applyFill="1" applyBorder="1" applyAlignment="1" applyProtection="1">
      <alignment horizontal="right"/>
      <protection hidden="1"/>
    </xf>
    <xf numFmtId="0" fontId="19" fillId="20" borderId="9" xfId="0" applyFont="1" applyFill="1" applyBorder="1" applyAlignment="1" applyProtection="1">
      <alignment horizontal="right"/>
      <protection hidden="1"/>
    </xf>
    <xf numFmtId="3" fontId="19" fillId="20" borderId="22" xfId="0" applyNumberFormat="1" applyFont="1" applyFill="1" applyBorder="1" applyAlignment="1" applyProtection="1">
      <alignment horizontal="right"/>
      <protection hidden="1"/>
    </xf>
    <xf numFmtId="0" fontId="19" fillId="20" borderId="5" xfId="0" applyFont="1" applyFill="1" applyBorder="1" applyAlignment="1" applyProtection="1">
      <alignment horizontal="right"/>
      <protection hidden="1"/>
    </xf>
    <xf numFmtId="0" fontId="19" fillId="20" borderId="23" xfId="0" applyFont="1" applyFill="1" applyBorder="1" applyAlignment="1" applyProtection="1">
      <alignment horizontal="right"/>
      <protection hidden="1"/>
    </xf>
    <xf numFmtId="0" fontId="3" fillId="20" borderId="0" xfId="0" quotePrefix="1" applyFont="1" applyFill="1" applyAlignment="1" applyProtection="1">
      <alignment horizontal="center"/>
      <protection hidden="1"/>
    </xf>
    <xf numFmtId="3" fontId="1" fillId="20" borderId="31" xfId="0" applyNumberFormat="1" applyFont="1" applyFill="1" applyBorder="1" applyAlignment="1" applyProtection="1">
      <alignment horizontal="center"/>
      <protection hidden="1"/>
    </xf>
    <xf numFmtId="4" fontId="0" fillId="20" borderId="15" xfId="0" applyNumberFormat="1" applyFill="1" applyBorder="1" applyProtection="1">
      <protection hidden="1"/>
    </xf>
    <xf numFmtId="3" fontId="1" fillId="20" borderId="3" xfId="0" applyNumberFormat="1" applyFont="1" applyFill="1" applyBorder="1" applyAlignment="1" applyProtection="1">
      <alignment horizontal="center"/>
      <protection hidden="1"/>
    </xf>
    <xf numFmtId="177" fontId="34" fillId="20" borderId="0" xfId="0" applyNumberFormat="1" applyFont="1" applyFill="1" applyBorder="1" applyProtection="1">
      <protection hidden="1"/>
    </xf>
    <xf numFmtId="4" fontId="34" fillId="20" borderId="0" xfId="0" quotePrefix="1" applyNumberFormat="1" applyFont="1" applyFill="1" applyBorder="1" applyAlignment="1" applyProtection="1">
      <alignment horizontal="center"/>
      <protection hidden="1"/>
    </xf>
    <xf numFmtId="3" fontId="0" fillId="20" borderId="3" xfId="0" applyNumberFormat="1" applyFill="1" applyBorder="1" applyProtection="1">
      <protection hidden="1"/>
    </xf>
    <xf numFmtId="4" fontId="0" fillId="20" borderId="25" xfId="0" applyNumberFormat="1" applyFill="1" applyBorder="1" applyAlignment="1" applyProtection="1">
      <alignment vertical="center"/>
      <protection hidden="1"/>
    </xf>
    <xf numFmtId="3" fontId="0" fillId="20" borderId="10" xfId="0" applyNumberFormat="1" applyFill="1" applyBorder="1" applyProtection="1">
      <protection hidden="1"/>
    </xf>
    <xf numFmtId="4" fontId="0" fillId="20" borderId="12" xfId="0" applyNumberFormat="1" applyFill="1" applyBorder="1" applyProtection="1">
      <protection hidden="1"/>
    </xf>
    <xf numFmtId="2" fontId="3" fillId="20" borderId="0" xfId="0" applyNumberFormat="1" applyFont="1" applyFill="1" applyProtection="1">
      <protection hidden="1"/>
    </xf>
    <xf numFmtId="2" fontId="0" fillId="20" borderId="0" xfId="0" applyNumberFormat="1" applyFill="1" applyProtection="1">
      <protection hidden="1"/>
    </xf>
    <xf numFmtId="0" fontId="0" fillId="20" borderId="9" xfId="0" applyFill="1" applyBorder="1" applyAlignment="1" applyProtection="1">
      <alignment horizontal="center"/>
      <protection hidden="1"/>
    </xf>
    <xf numFmtId="4" fontId="3" fillId="20" borderId="25" xfId="0" applyNumberFormat="1" applyFont="1" applyFill="1" applyBorder="1" applyProtection="1">
      <protection hidden="1"/>
    </xf>
    <xf numFmtId="0" fontId="0" fillId="20" borderId="1" xfId="0" applyFill="1" applyBorder="1" applyAlignment="1" applyProtection="1">
      <alignment horizontal="center"/>
      <protection hidden="1"/>
    </xf>
    <xf numFmtId="4" fontId="3" fillId="20" borderId="12" xfId="0" applyNumberFormat="1" applyFont="1" applyFill="1" applyBorder="1" applyProtection="1">
      <protection hidden="1"/>
    </xf>
    <xf numFmtId="4" fontId="0" fillId="20" borderId="0" xfId="0" applyNumberFormat="1" applyFill="1" applyAlignment="1" applyProtection="1">
      <alignment horizontal="center"/>
      <protection hidden="1"/>
    </xf>
    <xf numFmtId="3" fontId="19" fillId="20" borderId="3" xfId="0" applyNumberFormat="1" applyFont="1" applyFill="1" applyBorder="1" applyProtection="1">
      <protection hidden="1"/>
    </xf>
    <xf numFmtId="4" fontId="34" fillId="20" borderId="0" xfId="0" applyNumberFormat="1" applyFont="1" applyFill="1" applyBorder="1" applyAlignment="1" applyProtection="1">
      <alignment horizontal="center"/>
      <protection hidden="1"/>
    </xf>
    <xf numFmtId="0" fontId="23" fillId="20" borderId="0" xfId="0" applyFont="1" applyFill="1" applyAlignment="1" applyProtection="1">
      <alignment horizontal="center"/>
      <protection hidden="1"/>
    </xf>
    <xf numFmtId="177" fontId="0" fillId="20" borderId="0" xfId="0" applyNumberFormat="1" applyFill="1"/>
    <xf numFmtId="0" fontId="179" fillId="20" borderId="0" xfId="0" applyFont="1" applyFill="1"/>
    <xf numFmtId="0" fontId="181" fillId="20" borderId="8" xfId="0" applyFont="1" applyFill="1" applyBorder="1" applyAlignment="1" applyProtection="1">
      <alignment vertical="center"/>
      <protection hidden="1"/>
    </xf>
    <xf numFmtId="0" fontId="8" fillId="20" borderId="78" xfId="0" applyFont="1" applyFill="1" applyBorder="1" applyAlignment="1" applyProtection="1">
      <alignment vertical="top"/>
      <protection hidden="1"/>
    </xf>
    <xf numFmtId="0" fontId="1" fillId="21" borderId="1" xfId="0" applyFont="1" applyFill="1" applyBorder="1" applyAlignment="1" applyProtection="1">
      <alignment horizontal="center"/>
      <protection locked="0"/>
    </xf>
    <xf numFmtId="1" fontId="6" fillId="21" borderId="1" xfId="0" applyNumberFormat="1" applyFont="1" applyFill="1" applyBorder="1" applyAlignment="1" applyProtection="1">
      <alignment horizontal="center" vertical="center" wrapText="1"/>
      <protection locked="0"/>
    </xf>
    <xf numFmtId="0" fontId="2" fillId="2" borderId="0" xfId="4" quotePrefix="1" applyFont="1" applyFill="1" applyBorder="1" applyProtection="1">
      <protection hidden="1"/>
    </xf>
    <xf numFmtId="0" fontId="0" fillId="26" borderId="0" xfId="0" applyFill="1"/>
    <xf numFmtId="0" fontId="106" fillId="26" borderId="0" xfId="2" applyFont="1" applyFill="1" applyAlignment="1" applyProtection="1">
      <alignment horizontal="center"/>
    </xf>
    <xf numFmtId="0" fontId="1" fillId="26" borderId="0" xfId="0" applyFont="1" applyFill="1" applyBorder="1"/>
    <xf numFmtId="0" fontId="1" fillId="26" borderId="0" xfId="0" applyFont="1" applyFill="1"/>
    <xf numFmtId="4" fontId="5" fillId="26" borderId="0" xfId="0" applyNumberFormat="1" applyFont="1" applyFill="1"/>
    <xf numFmtId="0" fontId="1" fillId="26" borderId="0" xfId="0" applyFont="1" applyFill="1" applyAlignment="1">
      <alignment horizontal="center"/>
    </xf>
    <xf numFmtId="4" fontId="5" fillId="26" borderId="0" xfId="0" applyNumberFormat="1" applyFont="1" applyFill="1" applyBorder="1"/>
    <xf numFmtId="0" fontId="23" fillId="2" borderId="24" xfId="0" applyFont="1" applyFill="1" applyBorder="1" applyAlignment="1" applyProtection="1">
      <alignment horizontal="center"/>
      <protection hidden="1"/>
    </xf>
    <xf numFmtId="0" fontId="67" fillId="2" borderId="8" xfId="0" applyFont="1" applyFill="1" applyBorder="1" applyProtection="1">
      <protection hidden="1"/>
    </xf>
    <xf numFmtId="0" fontId="23" fillId="2" borderId="22" xfId="0" applyFont="1" applyFill="1" applyBorder="1" applyAlignment="1" applyProtection="1">
      <alignment horizontal="center"/>
      <protection hidden="1"/>
    </xf>
    <xf numFmtId="0" fontId="6" fillId="2" borderId="5" xfId="0" applyFont="1" applyFill="1" applyBorder="1" applyAlignment="1" applyProtection="1">
      <alignment horizontal="center" vertical="center"/>
      <protection locked="0"/>
    </xf>
    <xf numFmtId="0" fontId="0" fillId="2" borderId="27" xfId="0" applyFill="1" applyBorder="1" applyAlignment="1" applyProtection="1">
      <alignment horizontal="center"/>
      <protection hidden="1"/>
    </xf>
    <xf numFmtId="0" fontId="23" fillId="2" borderId="88" xfId="0" applyFont="1" applyFill="1" applyBorder="1" applyAlignment="1" applyProtection="1">
      <alignment horizontal="center"/>
      <protection hidden="1"/>
    </xf>
    <xf numFmtId="0" fontId="67" fillId="2" borderId="9" xfId="0" applyFont="1" applyFill="1" applyBorder="1" applyProtection="1">
      <protection hidden="1"/>
    </xf>
    <xf numFmtId="0" fontId="0" fillId="2" borderId="99" xfId="0" applyFill="1" applyBorder="1" applyProtection="1">
      <protection hidden="1"/>
    </xf>
    <xf numFmtId="0" fontId="8" fillId="5" borderId="6" xfId="0" applyFont="1" applyFill="1" applyBorder="1" applyAlignment="1" applyProtection="1">
      <alignment horizontal="center"/>
      <protection hidden="1"/>
    </xf>
    <xf numFmtId="0" fontId="0" fillId="2" borderId="0" xfId="0" applyFill="1" applyAlignment="1" applyProtection="1">
      <protection hidden="1"/>
    </xf>
    <xf numFmtId="0" fontId="0" fillId="2" borderId="0" xfId="0" applyFill="1" applyAlignment="1" applyProtection="1">
      <protection hidden="1"/>
    </xf>
    <xf numFmtId="186" fontId="50" fillId="2" borderId="0" xfId="0" applyNumberFormat="1" applyFont="1" applyFill="1" applyBorder="1" applyProtection="1">
      <protection hidden="1"/>
    </xf>
    <xf numFmtId="40" fontId="0" fillId="2" borderId="0" xfId="0" applyNumberFormat="1" applyFill="1" applyAlignment="1" applyProtection="1">
      <protection hidden="1"/>
    </xf>
    <xf numFmtId="15" fontId="161" fillId="2" borderId="0" xfId="0" applyNumberFormat="1" applyFont="1" applyFill="1" applyProtection="1">
      <protection hidden="1"/>
    </xf>
    <xf numFmtId="0" fontId="6" fillId="2" borderId="21" xfId="0" applyFont="1" applyFill="1" applyBorder="1" applyProtection="1">
      <protection hidden="1"/>
    </xf>
    <xf numFmtId="0" fontId="117" fillId="2" borderId="6" xfId="0" applyFont="1" applyFill="1" applyBorder="1" applyProtection="1">
      <protection hidden="1"/>
    </xf>
    <xf numFmtId="40" fontId="82" fillId="2" borderId="21" xfId="0" applyNumberFormat="1" applyFont="1" applyFill="1" applyBorder="1" applyAlignment="1" applyProtection="1">
      <alignment horizontal="right" vertical="center"/>
      <protection hidden="1"/>
    </xf>
    <xf numFmtId="0" fontId="0" fillId="26" borderId="0" xfId="0" applyFill="1" applyAlignment="1" applyProtection="1">
      <alignment horizontal="center"/>
      <protection hidden="1"/>
    </xf>
    <xf numFmtId="0" fontId="0" fillId="26" borderId="21" xfId="0" applyFill="1" applyBorder="1" applyAlignment="1" applyProtection="1">
      <alignment horizontal="center"/>
      <protection hidden="1"/>
    </xf>
    <xf numFmtId="0" fontId="8" fillId="5" borderId="8" xfId="0" applyFont="1" applyFill="1" applyBorder="1" applyAlignment="1" applyProtection="1">
      <alignment horizontal="left"/>
      <protection hidden="1"/>
    </xf>
    <xf numFmtId="40" fontId="31" fillId="2" borderId="0" xfId="0" applyNumberFormat="1" applyFont="1" applyFill="1" applyBorder="1" applyAlignment="1" applyProtection="1">
      <alignment horizontal="right"/>
      <protection hidden="1"/>
    </xf>
    <xf numFmtId="164" fontId="1" fillId="2" borderId="8" xfId="0" applyNumberFormat="1" applyFont="1" applyFill="1" applyBorder="1" applyAlignment="1" applyProtection="1">
      <alignment horizontal="center" vertical="center"/>
      <protection locked="0"/>
    </xf>
    <xf numFmtId="164" fontId="1" fillId="2" borderId="0" xfId="0" applyNumberFormat="1" applyFont="1" applyFill="1" applyBorder="1" applyAlignment="1" applyProtection="1">
      <alignment horizontal="center" vertical="center"/>
      <protection locked="0"/>
    </xf>
    <xf numFmtId="0" fontId="40" fillId="2" borderId="0" xfId="0" applyFont="1" applyFill="1" applyBorder="1" applyAlignment="1" applyProtection="1">
      <alignment horizontal="right"/>
      <protection hidden="1"/>
    </xf>
    <xf numFmtId="186" fontId="161" fillId="2" borderId="0" xfId="0" applyNumberFormat="1" applyFont="1" applyFill="1" applyAlignment="1" applyProtection="1">
      <alignment horizontal="center"/>
      <protection hidden="1"/>
    </xf>
    <xf numFmtId="0" fontId="5" fillId="2" borderId="0" xfId="0" quotePrefix="1" applyFont="1" applyFill="1" applyBorder="1" applyAlignment="1" applyProtection="1">
      <protection hidden="1"/>
    </xf>
    <xf numFmtId="14" fontId="161" fillId="2" borderId="0" xfId="0" applyNumberFormat="1" applyFont="1" applyFill="1" applyAlignment="1" applyProtection="1">
      <alignment horizontal="center"/>
      <protection hidden="1"/>
    </xf>
    <xf numFmtId="0" fontId="161" fillId="2" borderId="0" xfId="0" applyFont="1" applyFill="1" applyAlignment="1" applyProtection="1">
      <alignment horizontal="center"/>
      <protection hidden="1"/>
    </xf>
    <xf numFmtId="186" fontId="5" fillId="2" borderId="0" xfId="0" applyNumberFormat="1" applyFont="1" applyFill="1" applyBorder="1" applyProtection="1">
      <protection locked="0"/>
    </xf>
    <xf numFmtId="0" fontId="0" fillId="2" borderId="146" xfId="0" applyFill="1" applyBorder="1" applyAlignment="1" applyProtection="1">
      <alignment horizontal="center" vertical="center"/>
      <protection hidden="1"/>
    </xf>
    <xf numFmtId="0" fontId="174" fillId="0" borderId="0" xfId="0" applyFont="1" applyFill="1" applyAlignment="1">
      <alignment horizontal="centerContinuous"/>
    </xf>
    <xf numFmtId="0" fontId="161" fillId="0" borderId="0" xfId="0" applyFont="1" applyFill="1" applyAlignment="1">
      <alignment horizontal="centerContinuous"/>
    </xf>
    <xf numFmtId="1" fontId="1" fillId="38" borderId="2" xfId="0" applyNumberFormat="1" applyFont="1" applyFill="1" applyBorder="1" applyAlignment="1" applyProtection="1">
      <alignment horizontal="center" vertical="center"/>
      <protection locked="0"/>
    </xf>
    <xf numFmtId="0" fontId="6" fillId="23" borderId="0" xfId="0" applyFont="1" applyFill="1" applyBorder="1" applyAlignment="1" applyProtection="1">
      <alignment horizontal="right" indent="1"/>
      <protection hidden="1"/>
    </xf>
    <xf numFmtId="0" fontId="181" fillId="2" borderId="0" xfId="0" applyFont="1" applyFill="1" applyBorder="1" applyAlignment="1" applyProtection="1">
      <alignment horizontal="center"/>
      <protection hidden="1"/>
    </xf>
    <xf numFmtId="0" fontId="24" fillId="20" borderId="0" xfId="0" applyFont="1" applyFill="1" applyBorder="1" applyAlignment="1" applyProtection="1">
      <alignment horizontal="left"/>
      <protection hidden="1"/>
    </xf>
    <xf numFmtId="0" fontId="188" fillId="29" borderId="5" xfId="0" applyFont="1" applyFill="1" applyBorder="1" applyProtection="1">
      <protection hidden="1"/>
    </xf>
    <xf numFmtId="0" fontId="1" fillId="29" borderId="6" xfId="0" quotePrefix="1" applyFont="1" applyFill="1" applyBorder="1" applyAlignment="1" applyProtection="1">
      <alignment horizontal="right"/>
      <protection hidden="1"/>
    </xf>
    <xf numFmtId="0" fontId="160" fillId="20" borderId="8" xfId="0" applyFont="1" applyFill="1" applyBorder="1" applyProtection="1">
      <protection locked="0"/>
    </xf>
    <xf numFmtId="4" fontId="5" fillId="25" borderId="1" xfId="0" applyNumberFormat="1" applyFont="1" applyFill="1" applyBorder="1" applyProtection="1">
      <protection locked="0"/>
    </xf>
    <xf numFmtId="0" fontId="0" fillId="0" borderId="0" xfId="0" applyAlignment="1">
      <alignment vertical="top" wrapText="1"/>
    </xf>
    <xf numFmtId="189" fontId="3" fillId="0" borderId="0" xfId="0" applyNumberFormat="1" applyFont="1" applyAlignment="1" applyProtection="1">
      <alignment horizontal="center" vertical="top" wrapText="1"/>
      <protection hidden="1"/>
    </xf>
    <xf numFmtId="0" fontId="1" fillId="20" borderId="0" xfId="0" applyFont="1" applyFill="1" applyAlignment="1" applyProtection="1">
      <alignment horizontal="right"/>
      <protection hidden="1"/>
    </xf>
    <xf numFmtId="37" fontId="256" fillId="3" borderId="3" xfId="0" applyNumberFormat="1" applyFont="1" applyFill="1" applyBorder="1" applyAlignment="1" applyProtection="1">
      <alignment horizontal="center"/>
      <protection hidden="1"/>
    </xf>
    <xf numFmtId="0" fontId="224" fillId="5" borderId="0" xfId="0" applyFont="1" applyFill="1" applyProtection="1">
      <protection hidden="1"/>
    </xf>
    <xf numFmtId="39" fontId="1" fillId="3" borderId="0" xfId="0" applyNumberFormat="1" applyFont="1" applyFill="1" applyBorder="1" applyAlignment="1" applyProtection="1">
      <alignment horizontal="center" vertical="center"/>
      <protection locked="0"/>
    </xf>
    <xf numFmtId="39" fontId="3" fillId="3" borderId="0" xfId="0" applyNumberFormat="1" applyFont="1" applyFill="1" applyBorder="1" applyAlignment="1" applyProtection="1">
      <alignment horizontal="right"/>
      <protection hidden="1"/>
    </xf>
    <xf numFmtId="0" fontId="1" fillId="20" borderId="0" xfId="0" applyFont="1" applyFill="1" applyBorder="1" applyAlignment="1" applyProtection="1">
      <alignment horizontal="center"/>
      <protection hidden="1"/>
    </xf>
    <xf numFmtId="0" fontId="0" fillId="0" borderId="0" xfId="0" applyProtection="1">
      <protection locked="0"/>
    </xf>
    <xf numFmtId="0" fontId="224" fillId="2" borderId="0" xfId="0" applyFont="1" applyFill="1" applyProtection="1">
      <protection hidden="1"/>
    </xf>
    <xf numFmtId="0" fontId="31" fillId="20" borderId="8" xfId="0" applyFont="1" applyFill="1" applyBorder="1"/>
    <xf numFmtId="0" fontId="31" fillId="20" borderId="20" xfId="0" applyFont="1" applyFill="1" applyBorder="1"/>
    <xf numFmtId="0" fontId="31" fillId="20" borderId="21" xfId="0" applyFont="1" applyFill="1" applyBorder="1"/>
    <xf numFmtId="0" fontId="3" fillId="20" borderId="5" xfId="0" applyFont="1" applyFill="1" applyBorder="1"/>
    <xf numFmtId="0" fontId="3" fillId="20" borderId="23" xfId="0" applyFont="1" applyFill="1" applyBorder="1"/>
    <xf numFmtId="0" fontId="0" fillId="0" borderId="0" xfId="0" applyAlignment="1">
      <alignment vertical="top" wrapText="1"/>
    </xf>
    <xf numFmtId="0" fontId="67" fillId="2" borderId="0" xfId="0" applyFont="1" applyFill="1" applyBorder="1" applyAlignment="1" applyProtection="1">
      <alignment horizontal="left"/>
      <protection hidden="1"/>
    </xf>
    <xf numFmtId="0" fontId="198" fillId="2" borderId="3" xfId="0" applyFont="1" applyFill="1" applyBorder="1" applyProtection="1">
      <protection locked="0"/>
    </xf>
    <xf numFmtId="0" fontId="4" fillId="20" borderId="0" xfId="0" applyFont="1" applyFill="1" applyBorder="1" applyAlignment="1" applyProtection="1">
      <alignment horizontal="center"/>
      <protection hidden="1"/>
    </xf>
    <xf numFmtId="4" fontId="3" fillId="37" borderId="141" xfId="0" applyNumberFormat="1" applyFont="1" applyFill="1" applyBorder="1" applyProtection="1">
      <protection locked="0"/>
    </xf>
    <xf numFmtId="4" fontId="3" fillId="37" borderId="140" xfId="0" applyNumberFormat="1" applyFont="1" applyFill="1" applyBorder="1" applyProtection="1">
      <protection locked="0"/>
    </xf>
    <xf numFmtId="0" fontId="17" fillId="23" borderId="0" xfId="0" applyFont="1" applyFill="1" applyBorder="1" applyAlignment="1" applyProtection="1">
      <alignment vertical="top"/>
      <protection hidden="1"/>
    </xf>
    <xf numFmtId="4" fontId="3" fillId="37" borderId="69" xfId="0" applyNumberFormat="1" applyFont="1" applyFill="1" applyBorder="1" applyProtection="1">
      <protection locked="0"/>
    </xf>
    <xf numFmtId="0" fontId="16" fillId="20" borderId="2" xfId="0" applyFont="1" applyFill="1" applyBorder="1" applyAlignment="1" applyProtection="1">
      <alignment horizontal="center"/>
      <protection locked="0"/>
    </xf>
    <xf numFmtId="0" fontId="0" fillId="2" borderId="0" xfId="0" applyFill="1" applyBorder="1" applyAlignment="1" applyProtection="1">
      <protection hidden="1"/>
    </xf>
    <xf numFmtId="0" fontId="0" fillId="2" borderId="0" xfId="0" applyFill="1" applyBorder="1" applyAlignment="1" applyProtection="1">
      <alignment vertical="top"/>
      <protection hidden="1"/>
    </xf>
    <xf numFmtId="0" fontId="0" fillId="0" borderId="0" xfId="0" applyAlignment="1"/>
    <xf numFmtId="0" fontId="5" fillId="2" borderId="0" xfId="0" applyFont="1" applyFill="1" applyBorder="1" applyAlignment="1" applyProtection="1">
      <protection hidden="1"/>
    </xf>
    <xf numFmtId="0" fontId="0" fillId="20" borderId="25" xfId="0" applyFill="1" applyBorder="1" applyAlignment="1" applyProtection="1">
      <protection hidden="1"/>
    </xf>
    <xf numFmtId="0" fontId="1" fillId="2" borderId="0" xfId="0" applyFont="1" applyFill="1" applyAlignment="1" applyProtection="1">
      <alignment horizontal="left"/>
      <protection hidden="1"/>
    </xf>
    <xf numFmtId="37" fontId="6" fillId="25" borderId="12" xfId="0" applyNumberFormat="1" applyFont="1" applyFill="1" applyBorder="1" applyAlignment="1" applyProtection="1">
      <alignment horizontal="right"/>
      <protection locked="0"/>
    </xf>
    <xf numFmtId="0" fontId="0" fillId="0" borderId="0" xfId="0" applyAlignment="1">
      <alignment horizontal="left"/>
    </xf>
    <xf numFmtId="0" fontId="0" fillId="2" borderId="3" xfId="0" applyFill="1" applyBorder="1" applyAlignment="1" applyProtection="1">
      <protection hidden="1"/>
    </xf>
    <xf numFmtId="0" fontId="157" fillId="2" borderId="0" xfId="0" applyFont="1" applyFill="1" applyBorder="1" applyAlignment="1" applyProtection="1">
      <alignment horizontal="center"/>
      <protection hidden="1"/>
    </xf>
    <xf numFmtId="0" fontId="157" fillId="0" borderId="0" xfId="0" applyFont="1" applyAlignment="1">
      <alignment horizontal="center"/>
    </xf>
    <xf numFmtId="0" fontId="126" fillId="2" borderId="0" xfId="0" applyFont="1" applyFill="1" applyBorder="1" applyAlignment="1" applyProtection="1">
      <protection hidden="1"/>
    </xf>
    <xf numFmtId="0" fontId="0" fillId="2" borderId="0" xfId="0" applyFill="1" applyAlignment="1" applyProtection="1">
      <protection hidden="1"/>
    </xf>
    <xf numFmtId="0" fontId="0" fillId="2" borderId="9" xfId="0" applyFill="1" applyBorder="1" applyAlignment="1" applyProtection="1">
      <protection hidden="1"/>
    </xf>
    <xf numFmtId="0" fontId="0" fillId="2" borderId="0" xfId="0" applyFill="1" applyAlignment="1" applyProtection="1">
      <alignment vertical="center"/>
      <protection hidden="1"/>
    </xf>
    <xf numFmtId="0" fontId="67" fillId="2" borderId="3" xfId="0" applyFont="1" applyFill="1" applyBorder="1" applyAlignment="1" applyProtection="1">
      <alignment horizontal="center"/>
      <protection hidden="1"/>
    </xf>
    <xf numFmtId="0" fontId="67" fillId="2" borderId="0" xfId="0" applyFont="1" applyFill="1" applyBorder="1" applyAlignment="1" applyProtection="1">
      <alignment horizontal="center"/>
      <protection hidden="1"/>
    </xf>
    <xf numFmtId="0" fontId="0" fillId="0" borderId="0" xfId="0" applyBorder="1" applyAlignment="1">
      <alignment horizontal="center" vertical="center"/>
    </xf>
    <xf numFmtId="0" fontId="0" fillId="0" borderId="0" xfId="0" applyBorder="1" applyAlignment="1" applyProtection="1">
      <alignment horizontal="center"/>
      <protection hidden="1"/>
    </xf>
    <xf numFmtId="0" fontId="3" fillId="2" borderId="0" xfId="0" applyFont="1" applyFill="1" applyBorder="1" applyAlignment="1" applyProtection="1">
      <protection hidden="1"/>
    </xf>
    <xf numFmtId="0" fontId="0" fillId="2" borderId="0" xfId="0" applyFill="1" applyBorder="1" applyAlignment="1" applyProtection="1">
      <protection hidden="1"/>
    </xf>
    <xf numFmtId="0" fontId="5" fillId="2" borderId="0" xfId="0" applyFont="1" applyFill="1" applyBorder="1" applyAlignment="1" applyProtection="1">
      <protection hidden="1"/>
    </xf>
    <xf numFmtId="0" fontId="0" fillId="2" borderId="3" xfId="0" applyFill="1" applyBorder="1" applyAlignment="1" applyProtection="1">
      <protection hidden="1"/>
    </xf>
    <xf numFmtId="0" fontId="0" fillId="2" borderId="0" xfId="0" applyFill="1" applyAlignment="1" applyProtection="1">
      <protection hidden="1"/>
    </xf>
    <xf numFmtId="0" fontId="3" fillId="2" borderId="0" xfId="0" applyFont="1" applyFill="1" applyBorder="1" applyAlignment="1" applyProtection="1">
      <protection hidden="1"/>
    </xf>
    <xf numFmtId="0" fontId="8" fillId="2" borderId="0" xfId="0" applyFont="1" applyFill="1" applyBorder="1" applyAlignment="1" applyProtection="1">
      <alignment horizontal="center" vertical="center"/>
      <protection hidden="1"/>
    </xf>
    <xf numFmtId="0" fontId="174" fillId="36" borderId="28" xfId="0" applyFont="1" applyFill="1" applyBorder="1" applyAlignment="1" applyProtection="1">
      <alignment vertical="center"/>
      <protection hidden="1"/>
    </xf>
    <xf numFmtId="0" fontId="0" fillId="2" borderId="28" xfId="0" applyFill="1" applyBorder="1" applyAlignment="1" applyProtection="1">
      <alignment vertical="center"/>
      <protection hidden="1"/>
    </xf>
    <xf numFmtId="0" fontId="1" fillId="2" borderId="10" xfId="0" quotePrefix="1" applyFont="1" applyFill="1" applyBorder="1" applyAlignment="1" applyProtection="1">
      <alignment horizontal="center" vertical="center"/>
      <protection hidden="1"/>
    </xf>
    <xf numFmtId="0" fontId="1" fillId="2" borderId="11" xfId="0" applyFont="1" applyFill="1" applyBorder="1" applyAlignment="1" applyProtection="1">
      <alignment horizontal="center"/>
      <protection hidden="1"/>
    </xf>
    <xf numFmtId="0" fontId="23" fillId="2" borderId="0" xfId="0" applyFont="1" applyFill="1" applyAlignment="1" applyProtection="1">
      <protection hidden="1"/>
    </xf>
    <xf numFmtId="4" fontId="126" fillId="2" borderId="0" xfId="0" applyNumberFormat="1" applyFont="1" applyFill="1" applyBorder="1" applyAlignment="1" applyProtection="1">
      <alignment horizontal="right"/>
      <protection hidden="1"/>
    </xf>
    <xf numFmtId="0" fontId="0" fillId="2" borderId="7" xfId="0" applyFill="1" applyBorder="1" applyAlignment="1" applyProtection="1">
      <protection hidden="1"/>
    </xf>
    <xf numFmtId="4" fontId="23" fillId="2" borderId="0" xfId="0" applyNumberFormat="1" applyFont="1" applyFill="1" applyAlignment="1" applyProtection="1">
      <protection hidden="1"/>
    </xf>
    <xf numFmtId="0" fontId="3" fillId="2" borderId="28" xfId="0" applyFont="1" applyFill="1" applyBorder="1" applyAlignment="1" applyProtection="1">
      <alignment horizontal="left" vertical="center" indent="1"/>
      <protection hidden="1"/>
    </xf>
    <xf numFmtId="0" fontId="258" fillId="36" borderId="28" xfId="0" applyFont="1" applyFill="1" applyBorder="1" applyAlignment="1" applyProtection="1">
      <alignment horizontal="left" vertical="center"/>
      <protection hidden="1"/>
    </xf>
    <xf numFmtId="0" fontId="3" fillId="2" borderId="0" xfId="0" applyFont="1" applyFill="1" applyBorder="1" applyAlignment="1" applyProtection="1">
      <alignment horizontal="left" vertical="center" indent="1"/>
      <protection hidden="1"/>
    </xf>
    <xf numFmtId="0" fontId="3" fillId="2" borderId="0" xfId="0" quotePrefix="1" applyFont="1" applyFill="1" applyBorder="1" applyAlignment="1" applyProtection="1">
      <alignment horizontal="left" vertical="center" indent="1"/>
      <protection hidden="1"/>
    </xf>
    <xf numFmtId="0" fontId="0" fillId="2" borderId="147" xfId="0" applyFill="1" applyBorder="1" applyProtection="1">
      <protection hidden="1"/>
    </xf>
    <xf numFmtId="0" fontId="4" fillId="2" borderId="147" xfId="0" applyFont="1" applyFill="1" applyBorder="1" applyAlignment="1" applyProtection="1">
      <alignment horizontal="center"/>
      <protection hidden="1"/>
    </xf>
    <xf numFmtId="0" fontId="8" fillId="2" borderId="147" xfId="0" applyFont="1" applyFill="1" applyBorder="1" applyAlignment="1" applyProtection="1">
      <alignment horizontal="left"/>
      <protection hidden="1"/>
    </xf>
    <xf numFmtId="0" fontId="8" fillId="2" borderId="147" xfId="0" applyFont="1" applyFill="1" applyBorder="1" applyAlignment="1" applyProtection="1">
      <alignment horizontal="center"/>
      <protection hidden="1"/>
    </xf>
    <xf numFmtId="0" fontId="8" fillId="2" borderId="147" xfId="0" applyFont="1" applyFill="1" applyBorder="1" applyAlignment="1" applyProtection="1">
      <alignment horizontal="right"/>
      <protection hidden="1"/>
    </xf>
    <xf numFmtId="0" fontId="1" fillId="32" borderId="13" xfId="0" applyFont="1" applyFill="1" applyBorder="1" applyAlignment="1" applyProtection="1">
      <alignment horizontal="center" vertical="center"/>
      <protection hidden="1"/>
    </xf>
    <xf numFmtId="0" fontId="6" fillId="2" borderId="147" xfId="0" applyFont="1" applyFill="1" applyBorder="1" applyAlignment="1" applyProtection="1">
      <alignment horizontal="left"/>
      <protection hidden="1"/>
    </xf>
    <xf numFmtId="0" fontId="5" fillId="2" borderId="5" xfId="0" applyFont="1" applyFill="1" applyBorder="1" applyAlignment="1" applyProtection="1">
      <alignment horizontal="right"/>
      <protection hidden="1"/>
    </xf>
    <xf numFmtId="0" fontId="258" fillId="36" borderId="8" xfId="0" applyFont="1" applyFill="1" applyBorder="1" applyAlignment="1" applyProtection="1">
      <alignment horizontal="left" vertical="center"/>
      <protection hidden="1"/>
    </xf>
    <xf numFmtId="0" fontId="174" fillId="36" borderId="8" xfId="0" applyFont="1" applyFill="1" applyBorder="1" applyAlignment="1" applyProtection="1">
      <alignment vertical="center"/>
      <protection hidden="1"/>
    </xf>
    <xf numFmtId="0" fontId="0" fillId="2" borderId="8" xfId="0" applyFill="1" applyBorder="1" applyAlignment="1" applyProtection="1">
      <alignment vertical="center"/>
      <protection hidden="1"/>
    </xf>
    <xf numFmtId="0" fontId="5" fillId="2" borderId="8" xfId="0" applyFont="1" applyFill="1" applyBorder="1" applyAlignment="1" applyProtection="1">
      <alignment wrapText="1"/>
      <protection hidden="1"/>
    </xf>
    <xf numFmtId="0" fontId="5" fillId="2" borderId="0" xfId="0" applyFont="1" applyFill="1" applyBorder="1" applyAlignment="1" applyProtection="1">
      <alignment wrapText="1"/>
      <protection hidden="1"/>
    </xf>
    <xf numFmtId="0" fontId="5" fillId="2" borderId="1" xfId="0" applyFont="1" applyFill="1" applyBorder="1" applyAlignment="1" applyProtection="1">
      <protection hidden="1"/>
    </xf>
    <xf numFmtId="0" fontId="41" fillId="2" borderId="0" xfId="0" applyFont="1" applyFill="1" applyAlignment="1" applyProtection="1">
      <alignment horizontal="right" vertical="center"/>
      <protection hidden="1"/>
    </xf>
    <xf numFmtId="0" fontId="5" fillId="2" borderId="1" xfId="0" applyFont="1" applyFill="1" applyBorder="1" applyAlignment="1" applyProtection="1">
      <alignment wrapText="1"/>
      <protection hidden="1"/>
    </xf>
    <xf numFmtId="0" fontId="16" fillId="2" borderId="8" xfId="0" applyFont="1" applyFill="1" applyBorder="1" applyAlignment="1" applyProtection="1">
      <alignment horizontal="left" vertical="center" indent="1"/>
      <protection hidden="1"/>
    </xf>
    <xf numFmtId="0" fontId="16" fillId="2" borderId="28" xfId="0" applyFont="1" applyFill="1" applyBorder="1" applyAlignment="1" applyProtection="1">
      <alignment horizontal="left" vertical="center" indent="1"/>
      <protection hidden="1"/>
    </xf>
    <xf numFmtId="0" fontId="5" fillId="2" borderId="9" xfId="0" applyFont="1" applyFill="1" applyBorder="1" applyAlignment="1" applyProtection="1">
      <alignment wrapText="1"/>
      <protection hidden="1"/>
    </xf>
    <xf numFmtId="0" fontId="0" fillId="10" borderId="0" xfId="0" applyFill="1" applyBorder="1" applyProtection="1">
      <protection hidden="1"/>
    </xf>
    <xf numFmtId="0" fontId="13" fillId="2" borderId="1" xfId="0" applyFont="1" applyFill="1" applyBorder="1" applyAlignment="1" applyProtection="1">
      <alignment horizontal="left" vertical="center"/>
      <protection hidden="1"/>
    </xf>
    <xf numFmtId="0" fontId="21" fillId="2" borderId="1" xfId="0" applyFont="1" applyFill="1" applyBorder="1" applyAlignment="1" applyProtection="1">
      <alignment vertical="center"/>
      <protection hidden="1"/>
    </xf>
    <xf numFmtId="0" fontId="13" fillId="2" borderId="9" xfId="0" applyFont="1" applyFill="1" applyBorder="1" applyAlignment="1" applyProtection="1">
      <alignment horizontal="left" vertical="center"/>
      <protection hidden="1"/>
    </xf>
    <xf numFmtId="0" fontId="21" fillId="2" borderId="9" xfId="0" applyFont="1" applyFill="1" applyBorder="1" applyAlignment="1" applyProtection="1">
      <alignment vertical="center"/>
      <protection hidden="1"/>
    </xf>
    <xf numFmtId="0" fontId="1" fillId="2" borderId="7" xfId="0" applyFont="1" applyFill="1" applyBorder="1" applyAlignment="1" applyProtection="1">
      <alignment horizontal="center"/>
      <protection hidden="1"/>
    </xf>
    <xf numFmtId="0" fontId="4" fillId="2" borderId="7" xfId="0" applyFont="1" applyFill="1" applyBorder="1" applyAlignment="1" applyProtection="1">
      <alignment horizontal="center" vertical="center"/>
      <protection hidden="1"/>
    </xf>
    <xf numFmtId="3" fontId="0" fillId="20" borderId="9" xfId="0" applyNumberFormat="1" applyFill="1" applyBorder="1" applyAlignment="1" applyProtection="1">
      <alignment vertical="center"/>
      <protection hidden="1"/>
    </xf>
    <xf numFmtId="0" fontId="41" fillId="2" borderId="0" xfId="0" applyFont="1" applyFill="1" applyAlignment="1" applyProtection="1">
      <alignment horizontal="right"/>
      <protection hidden="1"/>
    </xf>
    <xf numFmtId="0" fontId="1" fillId="2" borderId="0" xfId="0" applyFont="1" applyFill="1" applyAlignment="1" applyProtection="1">
      <alignment horizontal="left" vertical="top"/>
      <protection hidden="1"/>
    </xf>
    <xf numFmtId="0" fontId="55" fillId="2" borderId="0" xfId="0" applyFont="1" applyFill="1" applyBorder="1" applyAlignment="1" applyProtection="1">
      <protection hidden="1"/>
    </xf>
    <xf numFmtId="190" fontId="5" fillId="2" borderId="2" xfId="0" applyNumberFormat="1" applyFont="1" applyFill="1" applyBorder="1" applyAlignment="1" applyProtection="1">
      <alignment horizontal="center"/>
      <protection locked="0"/>
    </xf>
    <xf numFmtId="3" fontId="4" fillId="2" borderId="3" xfId="0" applyNumberFormat="1" applyFont="1" applyFill="1" applyBorder="1" applyAlignment="1" applyProtection="1">
      <alignment horizontal="right" vertical="center"/>
      <protection locked="0"/>
    </xf>
    <xf numFmtId="3" fontId="4" fillId="2" borderId="0" xfId="0" applyNumberFormat="1" applyFont="1" applyFill="1" applyBorder="1" applyAlignment="1" applyProtection="1">
      <alignment horizontal="right" vertical="center"/>
      <protection locked="0"/>
    </xf>
    <xf numFmtId="3" fontId="4" fillId="2" borderId="25" xfId="0" applyNumberFormat="1" applyFont="1" applyFill="1" applyBorder="1" applyAlignment="1" applyProtection="1">
      <alignment horizontal="right" vertical="center"/>
      <protection locked="0"/>
    </xf>
    <xf numFmtId="0" fontId="0" fillId="2" borderId="3" xfId="0" applyFill="1" applyBorder="1" applyAlignment="1" applyProtection="1">
      <alignment vertical="top"/>
      <protection hidden="1"/>
    </xf>
    <xf numFmtId="0" fontId="0" fillId="2" borderId="25" xfId="0" applyFill="1" applyBorder="1" applyAlignment="1" applyProtection="1">
      <alignment vertical="top"/>
      <protection hidden="1"/>
    </xf>
    <xf numFmtId="0" fontId="0" fillId="2" borderId="1" xfId="0" applyFill="1" applyBorder="1" applyAlignment="1" applyProtection="1">
      <protection hidden="1"/>
    </xf>
    <xf numFmtId="0" fontId="0" fillId="0" borderId="3" xfId="0" applyBorder="1" applyAlignment="1"/>
    <xf numFmtId="0" fontId="5" fillId="2" borderId="5" xfId="0" applyFont="1" applyFill="1" applyBorder="1" applyAlignment="1" applyProtection="1">
      <alignment horizontal="right" indent="1"/>
      <protection hidden="1"/>
    </xf>
    <xf numFmtId="0" fontId="0" fillId="10" borderId="16" xfId="0" applyFill="1" applyBorder="1" applyProtection="1">
      <protection hidden="1"/>
    </xf>
    <xf numFmtId="0" fontId="0" fillId="10" borderId="11" xfId="0" applyFill="1" applyBorder="1" applyProtection="1">
      <protection hidden="1"/>
    </xf>
    <xf numFmtId="0" fontId="0" fillId="2" borderId="16" xfId="0" applyFill="1" applyBorder="1" applyAlignment="1" applyProtection="1">
      <protection hidden="1"/>
    </xf>
    <xf numFmtId="0" fontId="4" fillId="2" borderId="11" xfId="0" applyFont="1" applyFill="1" applyBorder="1" applyAlignment="1" applyProtection="1">
      <alignment horizontal="right" vertical="center"/>
      <protection hidden="1"/>
    </xf>
    <xf numFmtId="0" fontId="0" fillId="2" borderId="7" xfId="0" applyFill="1" applyBorder="1" applyAlignment="1" applyProtection="1">
      <alignment vertical="top"/>
      <protection hidden="1"/>
    </xf>
    <xf numFmtId="0" fontId="0" fillId="10" borderId="25" xfId="0" applyFill="1" applyBorder="1" applyAlignment="1" applyProtection="1">
      <protection hidden="1"/>
    </xf>
    <xf numFmtId="0" fontId="0" fillId="10" borderId="10" xfId="0" applyFill="1" applyBorder="1" applyAlignment="1" applyProtection="1">
      <protection hidden="1"/>
    </xf>
    <xf numFmtId="0" fontId="0" fillId="10" borderId="12" xfId="0" applyFill="1" applyBorder="1" applyAlignment="1" applyProtection="1">
      <protection hidden="1"/>
    </xf>
    <xf numFmtId="0" fontId="0" fillId="10" borderId="40" xfId="0" applyFill="1" applyBorder="1" applyAlignment="1" applyProtection="1">
      <protection hidden="1"/>
    </xf>
    <xf numFmtId="0" fontId="0" fillId="10" borderId="55" xfId="0" applyFill="1" applyBorder="1" applyAlignment="1" applyProtection="1">
      <protection hidden="1"/>
    </xf>
    <xf numFmtId="0" fontId="4" fillId="2" borderId="7" xfId="0" applyFont="1" applyFill="1" applyBorder="1" applyAlignment="1" applyProtection="1">
      <alignment horizontal="right" vertical="center"/>
      <protection hidden="1"/>
    </xf>
    <xf numFmtId="0" fontId="3" fillId="2" borderId="9" xfId="0" applyFont="1" applyFill="1" applyBorder="1" applyAlignment="1" applyProtection="1">
      <alignment vertical="center"/>
      <protection hidden="1"/>
    </xf>
    <xf numFmtId="0" fontId="0" fillId="10" borderId="31" xfId="0" applyFill="1" applyBorder="1" applyAlignment="1" applyProtection="1">
      <protection hidden="1"/>
    </xf>
    <xf numFmtId="0" fontId="0" fillId="10" borderId="15" xfId="0" applyFill="1" applyBorder="1" applyAlignment="1" applyProtection="1">
      <protection hidden="1"/>
    </xf>
    <xf numFmtId="0" fontId="29" fillId="2" borderId="0" xfId="0" applyFont="1" applyFill="1" applyAlignment="1" applyProtection="1">
      <alignment vertical="top"/>
      <protection hidden="1"/>
    </xf>
    <xf numFmtId="0" fontId="29" fillId="2" borderId="0" xfId="0" applyFont="1" applyFill="1" applyAlignment="1" applyProtection="1">
      <protection hidden="1"/>
    </xf>
    <xf numFmtId="0" fontId="47" fillId="2" borderId="0" xfId="0" applyFont="1" applyFill="1" applyBorder="1" applyAlignment="1" applyProtection="1">
      <protection hidden="1"/>
    </xf>
    <xf numFmtId="0" fontId="3" fillId="2" borderId="28" xfId="0" applyFont="1" applyFill="1" applyBorder="1" applyAlignment="1" applyProtection="1">
      <alignment vertical="center"/>
      <protection hidden="1"/>
    </xf>
    <xf numFmtId="0" fontId="1" fillId="0" borderId="16" xfId="0" applyFont="1" applyBorder="1" applyAlignment="1" applyProtection="1">
      <alignment horizontal="center"/>
      <protection hidden="1"/>
    </xf>
    <xf numFmtId="1" fontId="1" fillId="0" borderId="1" xfId="0" applyNumberFormat="1" applyFont="1" applyBorder="1" applyAlignment="1" applyProtection="1">
      <alignment horizontal="center"/>
      <protection hidden="1"/>
    </xf>
    <xf numFmtId="0" fontId="0" fillId="2" borderId="28" xfId="0" applyFill="1" applyBorder="1" applyAlignment="1" applyProtection="1">
      <protection hidden="1"/>
    </xf>
    <xf numFmtId="0" fontId="10" fillId="2" borderId="28" xfId="0" applyFont="1" applyFill="1" applyBorder="1" applyAlignment="1" applyProtection="1">
      <alignment horizontal="left"/>
      <protection hidden="1"/>
    </xf>
    <xf numFmtId="0" fontId="0" fillId="10" borderId="16" xfId="0" applyFill="1" applyBorder="1" applyAlignment="1" applyProtection="1">
      <protection hidden="1"/>
    </xf>
    <xf numFmtId="0" fontId="0" fillId="10" borderId="11" xfId="0" applyFill="1" applyBorder="1" applyAlignment="1" applyProtection="1">
      <protection hidden="1"/>
    </xf>
    <xf numFmtId="4" fontId="161" fillId="2" borderId="3" xfId="0" applyNumberFormat="1" applyFont="1" applyFill="1" applyBorder="1" applyAlignment="1" applyProtection="1">
      <alignment horizontal="center"/>
      <protection hidden="1"/>
    </xf>
    <xf numFmtId="0" fontId="41" fillId="20" borderId="3" xfId="0" applyFont="1" applyFill="1" applyBorder="1" applyAlignment="1" applyProtection="1">
      <alignment horizontal="center"/>
      <protection hidden="1"/>
    </xf>
    <xf numFmtId="0" fontId="5" fillId="20" borderId="0" xfId="0" applyFont="1" applyFill="1" applyBorder="1" applyAlignment="1"/>
    <xf numFmtId="0" fontId="0" fillId="20" borderId="3" xfId="0" applyFill="1" applyBorder="1" applyAlignment="1"/>
    <xf numFmtId="0" fontId="3" fillId="20" borderId="0" xfId="0" applyFont="1" applyFill="1" applyBorder="1" applyAlignment="1"/>
    <xf numFmtId="0" fontId="0" fillId="20" borderId="68" xfId="0" applyFill="1" applyBorder="1"/>
    <xf numFmtId="0" fontId="161" fillId="2" borderId="0" xfId="0" applyFont="1" applyFill="1" applyBorder="1" applyAlignment="1" applyProtection="1">
      <protection hidden="1"/>
    </xf>
    <xf numFmtId="0" fontId="8" fillId="0" borderId="25" xfId="0" applyFont="1" applyBorder="1" applyAlignment="1"/>
    <xf numFmtId="0" fontId="261" fillId="2" borderId="0" xfId="0" applyFont="1" applyFill="1" applyAlignment="1" applyProtection="1">
      <alignment horizontal="right" vertical="center" wrapText="1"/>
      <protection hidden="1"/>
    </xf>
    <xf numFmtId="0" fontId="8" fillId="2" borderId="147" xfId="0" applyFont="1" applyFill="1" applyBorder="1" applyProtection="1">
      <protection hidden="1"/>
    </xf>
    <xf numFmtId="0" fontId="0" fillId="0" borderId="0" xfId="0" applyAlignment="1">
      <alignment vertical="center"/>
    </xf>
    <xf numFmtId="3" fontId="0" fillId="32" borderId="10" xfId="0" applyNumberFormat="1" applyFill="1" applyBorder="1" applyAlignment="1" applyProtection="1">
      <alignment wrapText="1"/>
      <protection hidden="1"/>
    </xf>
    <xf numFmtId="3" fontId="0" fillId="21" borderId="10" xfId="0" applyNumberFormat="1" applyFill="1" applyBorder="1" applyAlignment="1" applyProtection="1">
      <alignment wrapText="1"/>
      <protection locked="0"/>
    </xf>
    <xf numFmtId="0" fontId="16" fillId="20" borderId="9" xfId="0" applyFont="1" applyFill="1" applyBorder="1" applyAlignment="1" applyProtection="1">
      <alignment horizontal="left" vertical="center" wrapText="1"/>
      <protection hidden="1"/>
    </xf>
    <xf numFmtId="0" fontId="8" fillId="2" borderId="3" xfId="0" applyFont="1" applyFill="1" applyBorder="1" applyAlignment="1" applyProtection="1">
      <alignment horizontal="center" vertical="center" wrapText="1"/>
      <protection hidden="1"/>
    </xf>
    <xf numFmtId="0" fontId="161" fillId="2" borderId="0" xfId="0" applyFont="1" applyFill="1" applyAlignment="1" applyProtection="1">
      <alignment vertical="center"/>
      <protection hidden="1"/>
    </xf>
    <xf numFmtId="0" fontId="0" fillId="10" borderId="9" xfId="0" applyFill="1" applyBorder="1" applyAlignment="1" applyProtection="1">
      <protection hidden="1"/>
    </xf>
    <xf numFmtId="0" fontId="0" fillId="10" borderId="1" xfId="0" applyFill="1" applyBorder="1" applyAlignment="1" applyProtection="1">
      <protection hidden="1"/>
    </xf>
    <xf numFmtId="0" fontId="8" fillId="20" borderId="0" xfId="0" applyFont="1" applyFill="1" applyBorder="1" applyAlignment="1" applyProtection="1">
      <alignment vertical="center"/>
      <protection hidden="1"/>
    </xf>
    <xf numFmtId="0" fontId="8" fillId="20" borderId="0" xfId="0" applyFont="1" applyFill="1" applyAlignment="1">
      <alignment vertical="center"/>
    </xf>
    <xf numFmtId="0" fontId="8" fillId="20" borderId="25" xfId="0" applyFont="1" applyFill="1" applyBorder="1" applyAlignment="1">
      <alignment vertical="center"/>
    </xf>
    <xf numFmtId="3" fontId="163" fillId="2" borderId="25" xfId="0" applyNumberFormat="1" applyFont="1" applyFill="1" applyBorder="1" applyAlignment="1" applyProtection="1">
      <alignment horizontal="right" vertical="center"/>
      <protection locked="0"/>
    </xf>
    <xf numFmtId="3" fontId="186" fillId="2" borderId="3" xfId="0" applyNumberFormat="1" applyFont="1" applyFill="1" applyBorder="1" applyAlignment="1" applyProtection="1">
      <alignment horizontal="right" vertical="center"/>
      <protection locked="0"/>
    </xf>
    <xf numFmtId="3" fontId="186" fillId="2" borderId="0" xfId="0" applyNumberFormat="1" applyFont="1" applyFill="1" applyBorder="1" applyAlignment="1" applyProtection="1">
      <alignment horizontal="right" vertical="center"/>
      <protection locked="0"/>
    </xf>
    <xf numFmtId="3" fontId="0" fillId="32" borderId="1" xfId="0" applyNumberFormat="1" applyFill="1" applyBorder="1" applyAlignment="1" applyProtection="1">
      <protection hidden="1"/>
    </xf>
    <xf numFmtId="0" fontId="1" fillId="2" borderId="152" xfId="0" applyFont="1" applyFill="1" applyBorder="1" applyAlignment="1" applyProtection="1">
      <alignment horizontal="center"/>
      <protection hidden="1"/>
    </xf>
    <xf numFmtId="0" fontId="1" fillId="2" borderId="153" xfId="0" applyFont="1" applyFill="1" applyBorder="1" applyAlignment="1" applyProtection="1">
      <alignment horizontal="center"/>
      <protection hidden="1"/>
    </xf>
    <xf numFmtId="0" fontId="0" fillId="20" borderId="11" xfId="0" applyFill="1" applyBorder="1" applyProtection="1">
      <protection hidden="1"/>
    </xf>
    <xf numFmtId="0" fontId="1" fillId="20" borderId="16" xfId="0" applyFont="1" applyFill="1" applyBorder="1" applyProtection="1">
      <protection hidden="1"/>
    </xf>
    <xf numFmtId="0" fontId="16" fillId="20" borderId="1" xfId="0" applyFont="1" applyFill="1" applyBorder="1" applyAlignment="1" applyProtection="1">
      <alignment horizontal="left" vertical="center" wrapText="1"/>
      <protection hidden="1"/>
    </xf>
    <xf numFmtId="0" fontId="55" fillId="0" borderId="0" xfId="0" applyFont="1"/>
    <xf numFmtId="0" fontId="1" fillId="20" borderId="1" xfId="0" applyFont="1" applyFill="1" applyBorder="1" applyAlignment="1" applyProtection="1">
      <alignment horizontal="left" vertical="center" wrapText="1"/>
      <protection hidden="1"/>
    </xf>
    <xf numFmtId="0" fontId="3" fillId="20" borderId="1" xfId="0" applyFont="1" applyFill="1" applyBorder="1" applyAlignment="1">
      <alignment horizontal="left" vertical="center"/>
    </xf>
    <xf numFmtId="0" fontId="3" fillId="20" borderId="1" xfId="0" applyFont="1" applyFill="1" applyBorder="1" applyAlignment="1">
      <alignment horizontal="left" vertical="center" wrapText="1"/>
    </xf>
    <xf numFmtId="0" fontId="3" fillId="20" borderId="12" xfId="0" applyFont="1" applyFill="1" applyBorder="1" applyAlignment="1">
      <alignment horizontal="left" vertical="center" wrapText="1"/>
    </xf>
    <xf numFmtId="0" fontId="3" fillId="20" borderId="0" xfId="0" applyFont="1" applyFill="1" applyBorder="1" applyAlignment="1" applyProtection="1">
      <alignment horizontal="left" vertical="center" wrapText="1"/>
      <protection hidden="1"/>
    </xf>
    <xf numFmtId="0" fontId="16" fillId="20" borderId="0" xfId="0" applyFont="1" applyFill="1" applyBorder="1" applyAlignment="1" applyProtection="1">
      <alignment horizontal="left" vertical="center" wrapText="1"/>
      <protection hidden="1"/>
    </xf>
    <xf numFmtId="0" fontId="1" fillId="20" borderId="0" xfId="0" applyFont="1" applyFill="1" applyBorder="1" applyAlignment="1" applyProtection="1">
      <alignment horizontal="left" vertical="center" wrapText="1"/>
      <protection hidden="1"/>
    </xf>
    <xf numFmtId="0" fontId="1" fillId="20" borderId="13" xfId="0" applyFont="1" applyFill="1" applyBorder="1" applyAlignment="1" applyProtection="1">
      <alignment horizontal="center"/>
      <protection hidden="1"/>
    </xf>
    <xf numFmtId="0" fontId="1" fillId="20" borderId="7" xfId="0" applyFont="1" applyFill="1" applyBorder="1" applyProtection="1">
      <protection hidden="1"/>
    </xf>
    <xf numFmtId="0" fontId="1" fillId="20" borderId="11" xfId="0" applyFont="1" applyFill="1" applyBorder="1" applyProtection="1">
      <protection hidden="1"/>
    </xf>
    <xf numFmtId="0" fontId="16" fillId="20" borderId="0" xfId="0" applyFont="1" applyFill="1" applyBorder="1" applyAlignment="1" applyProtection="1">
      <alignment horizontal="left" vertical="center"/>
      <protection hidden="1"/>
    </xf>
    <xf numFmtId="0" fontId="16" fillId="20" borderId="25" xfId="0" applyFont="1" applyFill="1" applyBorder="1" applyAlignment="1" applyProtection="1">
      <alignment horizontal="left" vertical="center" wrapText="1"/>
      <protection hidden="1"/>
    </xf>
    <xf numFmtId="0" fontId="1" fillId="2" borderId="3" xfId="0" applyFont="1" applyFill="1" applyBorder="1" applyAlignment="1" applyProtection="1">
      <alignment horizontal="center" vertical="center" wrapText="1"/>
      <protection hidden="1"/>
    </xf>
    <xf numFmtId="0" fontId="1" fillId="2" borderId="25" xfId="0" applyFont="1" applyFill="1" applyBorder="1" applyAlignment="1" applyProtection="1">
      <alignment horizontal="center" vertical="center" wrapText="1"/>
      <protection hidden="1"/>
    </xf>
    <xf numFmtId="0" fontId="16" fillId="20" borderId="0" xfId="0" applyFont="1" applyFill="1" applyBorder="1" applyAlignment="1" applyProtection="1">
      <alignment horizontal="center" vertical="center" wrapText="1"/>
      <protection hidden="1"/>
    </xf>
    <xf numFmtId="0" fontId="5" fillId="20" borderId="0" xfId="0" applyFont="1" applyFill="1" applyBorder="1" applyAlignment="1" applyProtection="1">
      <alignment horizontal="left" vertical="center"/>
      <protection hidden="1"/>
    </xf>
    <xf numFmtId="0" fontId="3" fillId="20" borderId="0" xfId="0" applyFont="1" applyFill="1" applyBorder="1" applyAlignment="1" applyProtection="1">
      <alignment horizontal="left" vertical="center"/>
      <protection hidden="1"/>
    </xf>
    <xf numFmtId="0" fontId="1" fillId="20" borderId="7" xfId="0" quotePrefix="1" applyFont="1" applyFill="1" applyBorder="1" applyAlignment="1" applyProtection="1">
      <alignment horizontal="center"/>
      <protection hidden="1"/>
    </xf>
    <xf numFmtId="0" fontId="1" fillId="20" borderId="13" xfId="0" quotePrefix="1" applyFont="1" applyFill="1" applyBorder="1" applyAlignment="1" applyProtection="1">
      <alignment horizontal="right" indent="1"/>
      <protection hidden="1"/>
    </xf>
    <xf numFmtId="0" fontId="3" fillId="20" borderId="0" xfId="0" applyFont="1" applyFill="1" applyBorder="1" applyAlignment="1" applyProtection="1">
      <alignment horizontal="center" vertical="center" wrapText="1"/>
      <protection hidden="1"/>
    </xf>
    <xf numFmtId="0" fontId="3" fillId="20" borderId="1" xfId="0" applyFont="1" applyFill="1" applyBorder="1" applyAlignment="1" applyProtection="1">
      <alignment horizontal="left" vertical="center"/>
      <protection hidden="1"/>
    </xf>
    <xf numFmtId="0" fontId="1" fillId="2" borderId="1" xfId="0" applyFont="1" applyFill="1" applyBorder="1" applyAlignment="1" applyProtection="1">
      <alignment horizontal="right" vertical="center"/>
      <protection hidden="1"/>
    </xf>
    <xf numFmtId="0" fontId="5" fillId="20" borderId="1" xfId="0" applyFont="1" applyFill="1" applyBorder="1" applyAlignment="1" applyProtection="1">
      <alignment horizontal="center" vertical="top" wrapText="1"/>
      <protection hidden="1"/>
    </xf>
    <xf numFmtId="0" fontId="1" fillId="20" borderId="11" xfId="0" quotePrefix="1" applyFont="1" applyFill="1" applyBorder="1" applyAlignment="1" applyProtection="1">
      <alignment horizontal="right" indent="1"/>
      <protection hidden="1"/>
    </xf>
    <xf numFmtId="0" fontId="5" fillId="20" borderId="0" xfId="0" applyFont="1" applyFill="1" applyBorder="1" applyAlignment="1" applyProtection="1">
      <alignment horizontal="center" vertical="top" wrapText="1"/>
      <protection hidden="1"/>
    </xf>
    <xf numFmtId="0" fontId="1" fillId="2" borderId="0" xfId="0" applyFont="1" applyFill="1" applyBorder="1" applyAlignment="1" applyProtection="1">
      <alignment horizontal="right" vertical="center"/>
      <protection hidden="1"/>
    </xf>
    <xf numFmtId="0" fontId="1" fillId="10" borderId="40" xfId="0" applyFont="1" applyFill="1" applyBorder="1" applyAlignment="1" applyProtection="1">
      <alignment horizontal="center" vertical="center" wrapText="1"/>
      <protection hidden="1"/>
    </xf>
    <xf numFmtId="0" fontId="1" fillId="10" borderId="55" xfId="0" applyFont="1" applyFill="1" applyBorder="1" applyAlignment="1" applyProtection="1">
      <alignment horizontal="center" vertical="center" wrapText="1"/>
      <protection hidden="1"/>
    </xf>
    <xf numFmtId="0" fontId="1" fillId="20" borderId="11" xfId="0" quotePrefix="1" applyFont="1" applyFill="1" applyBorder="1" applyAlignment="1" applyProtection="1">
      <alignment horizontal="center"/>
      <protection hidden="1"/>
    </xf>
    <xf numFmtId="0" fontId="1" fillId="20" borderId="13" xfId="0" quotePrefix="1" applyFont="1" applyFill="1" applyBorder="1" applyAlignment="1" applyProtection="1">
      <alignment horizontal="center"/>
      <protection hidden="1"/>
    </xf>
    <xf numFmtId="0" fontId="1" fillId="10" borderId="3" xfId="0" applyFont="1" applyFill="1" applyBorder="1" applyAlignment="1" applyProtection="1">
      <alignment horizontal="center" vertical="center" wrapText="1"/>
      <protection hidden="1"/>
    </xf>
    <xf numFmtId="0" fontId="1" fillId="10" borderId="25" xfId="0" applyFont="1" applyFill="1" applyBorder="1" applyAlignment="1" applyProtection="1">
      <alignment horizontal="center" vertical="center" wrapText="1"/>
      <protection hidden="1"/>
    </xf>
    <xf numFmtId="0" fontId="1" fillId="10" borderId="10" xfId="0" applyFont="1" applyFill="1" applyBorder="1" applyAlignment="1" applyProtection="1">
      <alignment horizontal="center" vertical="center" wrapText="1"/>
      <protection hidden="1"/>
    </xf>
    <xf numFmtId="0" fontId="1" fillId="10" borderId="12" xfId="0" applyFont="1" applyFill="1" applyBorder="1" applyAlignment="1" applyProtection="1">
      <alignment horizontal="center" vertical="center" wrapText="1"/>
      <protection hidden="1"/>
    </xf>
    <xf numFmtId="0" fontId="0" fillId="5" borderId="0" xfId="0" applyFill="1" applyBorder="1" applyAlignment="1">
      <alignment vertical="center"/>
    </xf>
    <xf numFmtId="0" fontId="1" fillId="22" borderId="13" xfId="0" applyFont="1" applyFill="1" applyBorder="1" applyAlignment="1" applyProtection="1">
      <alignment vertical="center"/>
      <protection hidden="1"/>
    </xf>
    <xf numFmtId="0" fontId="0" fillId="5" borderId="0" xfId="0" applyFill="1" applyBorder="1" applyAlignment="1" applyProtection="1">
      <alignment vertical="center"/>
      <protection hidden="1"/>
    </xf>
    <xf numFmtId="0" fontId="0" fillId="0" borderId="0" xfId="0" applyBorder="1" applyAlignment="1">
      <alignment vertical="center"/>
    </xf>
    <xf numFmtId="0" fontId="16" fillId="20" borderId="9" xfId="0" applyFont="1" applyFill="1" applyBorder="1" applyAlignment="1" applyProtection="1">
      <alignment horizontal="center" vertical="center" wrapText="1"/>
      <protection hidden="1"/>
    </xf>
    <xf numFmtId="0" fontId="10" fillId="20" borderId="31" xfId="0" applyFont="1" applyFill="1" applyBorder="1" applyAlignment="1">
      <alignment vertical="center"/>
    </xf>
    <xf numFmtId="0" fontId="0" fillId="20" borderId="9" xfId="0" applyFill="1" applyBorder="1" applyAlignment="1">
      <alignment vertical="center"/>
    </xf>
    <xf numFmtId="0" fontId="0" fillId="20" borderId="15" xfId="0" applyFill="1" applyBorder="1" applyAlignment="1">
      <alignment vertical="center"/>
    </xf>
    <xf numFmtId="0" fontId="55" fillId="20" borderId="3" xfId="0" applyFont="1" applyFill="1" applyBorder="1"/>
    <xf numFmtId="0" fontId="55" fillId="20" borderId="0" xfId="0" applyFont="1" applyFill="1" applyBorder="1"/>
    <xf numFmtId="0" fontId="55" fillId="20" borderId="25" xfId="0" applyFont="1" applyFill="1" applyBorder="1"/>
    <xf numFmtId="0" fontId="3" fillId="20" borderId="3" xfId="0" applyFont="1" applyFill="1" applyBorder="1" applyAlignment="1" applyProtection="1">
      <alignment horizontal="left" vertical="center" wrapText="1"/>
      <protection hidden="1"/>
    </xf>
    <xf numFmtId="0" fontId="16" fillId="20" borderId="31" xfId="0" applyFont="1" applyFill="1" applyBorder="1" applyAlignment="1" applyProtection="1">
      <alignment horizontal="left" vertical="center" wrapText="1"/>
      <protection hidden="1"/>
    </xf>
    <xf numFmtId="0" fontId="16" fillId="20" borderId="3" xfId="0" applyFont="1" applyFill="1" applyBorder="1" applyAlignment="1" applyProtection="1">
      <alignment horizontal="left" vertical="center" wrapText="1"/>
      <protection hidden="1"/>
    </xf>
    <xf numFmtId="0" fontId="16" fillId="20" borderId="10" xfId="0" applyFont="1" applyFill="1" applyBorder="1" applyAlignment="1" applyProtection="1">
      <alignment horizontal="left" vertical="center" wrapText="1"/>
      <protection hidden="1"/>
    </xf>
    <xf numFmtId="0" fontId="10" fillId="20" borderId="0" xfId="0" applyFont="1" applyFill="1" applyBorder="1" applyAlignment="1">
      <alignment horizontal="right" indent="1"/>
    </xf>
    <xf numFmtId="0" fontId="16" fillId="20" borderId="0" xfId="0" quotePrefix="1" applyFont="1" applyFill="1" applyBorder="1"/>
    <xf numFmtId="0" fontId="0" fillId="0" borderId="0" xfId="0" applyAlignment="1">
      <alignment horizontal="center"/>
    </xf>
    <xf numFmtId="0" fontId="0" fillId="0" borderId="0" xfId="0" applyAlignment="1" applyProtection="1">
      <alignment horizontal="center"/>
      <protection hidden="1"/>
    </xf>
    <xf numFmtId="0" fontId="0" fillId="0" borderId="0" xfId="0" applyAlignment="1"/>
    <xf numFmtId="0" fontId="0" fillId="2" borderId="31" xfId="0" applyFill="1" applyBorder="1" applyAlignment="1" applyProtection="1">
      <protection hidden="1"/>
    </xf>
    <xf numFmtId="0" fontId="0" fillId="0" borderId="0" xfId="0" applyAlignment="1">
      <alignment vertical="top"/>
    </xf>
    <xf numFmtId="0" fontId="161" fillId="20" borderId="0" xfId="0" applyFont="1" applyFill="1" applyBorder="1"/>
    <xf numFmtId="3" fontId="163" fillId="2" borderId="0"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horizontal="right" vertical="center"/>
      <protection locked="0"/>
    </xf>
    <xf numFmtId="3" fontId="19" fillId="0" borderId="56" xfId="0" applyNumberFormat="1" applyFont="1" applyBorder="1" applyAlignment="1" applyProtection="1">
      <alignment horizontal="right"/>
      <protection hidden="1"/>
    </xf>
    <xf numFmtId="3" fontId="8" fillId="0" borderId="0" xfId="0" applyNumberFormat="1" applyFont="1" applyAlignment="1" applyProtection="1">
      <alignment horizontal="center"/>
      <protection hidden="1"/>
    </xf>
    <xf numFmtId="0" fontId="1" fillId="20" borderId="6" xfId="0" quotePrefix="1" applyFont="1" applyFill="1" applyBorder="1" applyAlignment="1">
      <alignment horizontal="right"/>
    </xf>
    <xf numFmtId="0" fontId="41" fillId="20" borderId="0" xfId="0" applyFont="1" applyFill="1" applyBorder="1" applyAlignment="1" applyProtection="1">
      <alignment horizontal="right" vertical="center"/>
      <protection hidden="1"/>
    </xf>
    <xf numFmtId="168" fontId="0" fillId="20" borderId="0" xfId="0" applyNumberFormat="1" applyFill="1" applyBorder="1"/>
    <xf numFmtId="0" fontId="3" fillId="20" borderId="0" xfId="0" applyFont="1" applyFill="1" applyBorder="1" applyAlignment="1" applyProtection="1">
      <alignment horizontal="left"/>
      <protection hidden="1"/>
    </xf>
    <xf numFmtId="0" fontId="0" fillId="20" borderId="72" xfId="0" applyFill="1" applyBorder="1"/>
    <xf numFmtId="0" fontId="0" fillId="20" borderId="73" xfId="0" applyFill="1" applyBorder="1"/>
    <xf numFmtId="0" fontId="10" fillId="20" borderId="0" xfId="0" applyFont="1" applyFill="1" applyBorder="1"/>
    <xf numFmtId="0" fontId="10" fillId="20" borderId="3" xfId="0" applyFont="1" applyFill="1" applyBorder="1" applyAlignment="1">
      <alignment horizontal="left" indent="1"/>
    </xf>
    <xf numFmtId="0" fontId="5" fillId="20" borderId="0" xfId="0" applyFont="1" applyFill="1" applyBorder="1"/>
    <xf numFmtId="3" fontId="8" fillId="20" borderId="9" xfId="0" applyNumberFormat="1" applyFont="1" applyFill="1" applyBorder="1" applyAlignment="1" applyProtection="1">
      <alignment horizontal="center"/>
      <protection locked="0"/>
    </xf>
    <xf numFmtId="0" fontId="8" fillId="20" borderId="9" xfId="0" applyFont="1" applyFill="1" applyBorder="1" applyAlignment="1">
      <alignment horizontal="center"/>
    </xf>
    <xf numFmtId="0" fontId="0" fillId="20" borderId="0" xfId="0" applyFill="1" applyBorder="1" applyAlignment="1">
      <alignment horizontal="center"/>
    </xf>
    <xf numFmtId="3" fontId="0" fillId="32" borderId="1" xfId="0" applyNumberFormat="1" applyFill="1" applyBorder="1" applyProtection="1">
      <protection hidden="1"/>
    </xf>
    <xf numFmtId="0" fontId="0" fillId="12" borderId="0" xfId="0" applyFill="1"/>
    <xf numFmtId="40" fontId="0" fillId="32" borderId="1" xfId="0" applyNumberFormat="1" applyFill="1" applyBorder="1" applyProtection="1">
      <protection hidden="1"/>
    </xf>
    <xf numFmtId="0" fontId="0" fillId="12" borderId="68" xfId="0" applyFill="1" applyBorder="1"/>
    <xf numFmtId="0" fontId="0" fillId="12" borderId="0" xfId="0" applyFill="1" applyAlignment="1">
      <alignment vertical="center"/>
    </xf>
    <xf numFmtId="0" fontId="55" fillId="12" borderId="0" xfId="0" applyFont="1" applyFill="1"/>
    <xf numFmtId="0" fontId="0" fillId="0" borderId="0" xfId="0" applyAlignment="1"/>
    <xf numFmtId="0" fontId="0" fillId="0" borderId="0" xfId="0" applyAlignment="1">
      <alignment vertical="top"/>
    </xf>
    <xf numFmtId="0" fontId="1" fillId="12" borderId="68" xfId="0" quotePrefix="1" applyFont="1" applyFill="1" applyBorder="1" applyAlignment="1">
      <alignment horizontal="right"/>
    </xf>
    <xf numFmtId="0" fontId="3" fillId="20" borderId="6" xfId="0" quotePrefix="1" applyFont="1" applyFill="1" applyBorder="1" applyAlignment="1">
      <alignment horizontal="right"/>
    </xf>
    <xf numFmtId="0" fontId="0" fillId="20" borderId="6" xfId="0" applyFill="1" applyBorder="1" applyAlignment="1">
      <alignment vertical="top"/>
    </xf>
    <xf numFmtId="0" fontId="0" fillId="20" borderId="0" xfId="0" applyFill="1" applyBorder="1" applyAlignment="1">
      <alignment vertical="top"/>
    </xf>
    <xf numFmtId="0" fontId="0" fillId="20" borderId="21" xfId="0" applyFill="1" applyBorder="1" applyAlignment="1">
      <alignment vertical="top"/>
    </xf>
    <xf numFmtId="0" fontId="0" fillId="20" borderId="154" xfId="0" applyFill="1" applyBorder="1"/>
    <xf numFmtId="0" fontId="0" fillId="20" borderId="155" xfId="0" applyFill="1" applyBorder="1"/>
    <xf numFmtId="0" fontId="181" fillId="20" borderId="0" xfId="0" applyFont="1" applyFill="1" applyBorder="1" applyAlignment="1">
      <alignment horizontal="center"/>
    </xf>
    <xf numFmtId="0" fontId="161" fillId="20" borderId="0" xfId="0" applyFont="1" applyFill="1" applyBorder="1" applyAlignment="1">
      <alignment horizontal="center"/>
    </xf>
    <xf numFmtId="0" fontId="0" fillId="0" borderId="0" xfId="0" applyAlignment="1"/>
    <xf numFmtId="0" fontId="5" fillId="2" borderId="0" xfId="0" applyFont="1" applyFill="1" applyBorder="1" applyAlignment="1" applyProtection="1">
      <protection hidden="1"/>
    </xf>
    <xf numFmtId="0" fontId="8" fillId="2" borderId="3" xfId="0" applyFont="1" applyFill="1" applyBorder="1" applyAlignment="1" applyProtection="1">
      <alignment horizontal="center" vertical="center" wrapText="1"/>
      <protection hidden="1"/>
    </xf>
    <xf numFmtId="4" fontId="3" fillId="37" borderId="91" xfId="0" applyNumberFormat="1" applyFont="1" applyFill="1" applyBorder="1" applyAlignment="1" applyProtection="1">
      <alignment horizontal="center"/>
      <protection locked="0"/>
    </xf>
    <xf numFmtId="4" fontId="3" fillId="37" borderId="90" xfId="0" applyNumberFormat="1" applyFont="1" applyFill="1" applyBorder="1" applyAlignment="1" applyProtection="1">
      <alignment horizontal="center"/>
      <protection locked="0"/>
    </xf>
    <xf numFmtId="0" fontId="0" fillId="20" borderId="3" xfId="0" applyFill="1" applyBorder="1" applyAlignment="1">
      <alignment horizontal="left" indent="1"/>
    </xf>
    <xf numFmtId="0" fontId="181" fillId="2" borderId="28" xfId="0" applyFont="1" applyFill="1" applyBorder="1" applyAlignment="1" applyProtection="1">
      <alignment vertical="center"/>
      <protection hidden="1"/>
    </xf>
    <xf numFmtId="2" fontId="161" fillId="2" borderId="0" xfId="0" applyNumberFormat="1" applyFont="1" applyFill="1" applyBorder="1" applyAlignment="1" applyProtection="1">
      <protection hidden="1"/>
    </xf>
    <xf numFmtId="0" fontId="3" fillId="2" borderId="0" xfId="0" applyFont="1" applyFill="1" applyBorder="1" applyAlignment="1" applyProtection="1">
      <alignment horizontal="right" vertical="center"/>
      <protection hidden="1"/>
    </xf>
    <xf numFmtId="0" fontId="0" fillId="20" borderId="3" xfId="0" applyFill="1" applyBorder="1" applyAlignment="1" applyProtection="1">
      <alignment horizontal="left" indent="1"/>
      <protection hidden="1"/>
    </xf>
    <xf numFmtId="193" fontId="8" fillId="2" borderId="25" xfId="0" applyNumberFormat="1" applyFont="1" applyFill="1" applyBorder="1" applyAlignment="1" applyProtection="1">
      <alignment horizontal="center" vertical="center" wrapText="1"/>
      <protection hidden="1"/>
    </xf>
    <xf numFmtId="0" fontId="8" fillId="20" borderId="0" xfId="0" applyFont="1" applyFill="1" applyAlignment="1" applyProtection="1">
      <protection hidden="1"/>
    </xf>
    <xf numFmtId="0" fontId="8" fillId="20" borderId="0" xfId="0" applyFont="1" applyFill="1" applyAlignment="1" applyProtection="1">
      <alignment vertical="top"/>
      <protection hidden="1"/>
    </xf>
    <xf numFmtId="0" fontId="8" fillId="20" borderId="0" xfId="0" applyFont="1" applyFill="1" applyAlignment="1" applyProtection="1">
      <alignment vertical="center"/>
      <protection hidden="1"/>
    </xf>
    <xf numFmtId="0" fontId="11" fillId="20" borderId="0" xfId="0" applyFont="1" applyFill="1" applyAlignment="1" applyProtection="1">
      <alignment vertical="center"/>
      <protection hidden="1"/>
    </xf>
    <xf numFmtId="0" fontId="8" fillId="0" borderId="0" xfId="0" applyFont="1" applyAlignment="1" applyProtection="1">
      <alignment wrapText="1"/>
      <protection hidden="1"/>
    </xf>
    <xf numFmtId="193" fontId="55" fillId="0" borderId="0" xfId="0" applyNumberFormat="1" applyFont="1"/>
    <xf numFmtId="0" fontId="8" fillId="2" borderId="3" xfId="0" applyFont="1" applyFill="1" applyBorder="1" applyAlignment="1" applyProtection="1">
      <alignment horizontal="center" vertical="center" wrapText="1"/>
      <protection hidden="1"/>
    </xf>
    <xf numFmtId="0" fontId="8" fillId="2" borderId="3" xfId="0" applyFont="1" applyFill="1" applyBorder="1" applyAlignment="1" applyProtection="1">
      <alignment horizontal="center" vertical="center" wrapText="1"/>
      <protection hidden="1"/>
    </xf>
    <xf numFmtId="0" fontId="3" fillId="20" borderId="0" xfId="0" applyFont="1" applyFill="1" applyAlignment="1">
      <alignment vertical="center"/>
    </xf>
    <xf numFmtId="0" fontId="1" fillId="0" borderId="0" xfId="0" applyFont="1" applyFill="1" applyAlignment="1" applyProtection="1">
      <alignment horizontal="center"/>
      <protection hidden="1"/>
    </xf>
    <xf numFmtId="0" fontId="0" fillId="0" borderId="0" xfId="0" applyAlignment="1">
      <alignment vertical="center"/>
    </xf>
    <xf numFmtId="0" fontId="181" fillId="2" borderId="1" xfId="0" applyFont="1" applyFill="1" applyBorder="1" applyProtection="1">
      <protection hidden="1"/>
    </xf>
    <xf numFmtId="3" fontId="161" fillId="20" borderId="0" xfId="0" applyNumberFormat="1" applyFont="1" applyFill="1" applyAlignment="1">
      <alignment wrapText="1"/>
    </xf>
    <xf numFmtId="193" fontId="163" fillId="2" borderId="25" xfId="0" applyNumberFormat="1" applyFont="1" applyFill="1" applyBorder="1" applyAlignment="1" applyProtection="1">
      <alignment horizontal="center" vertical="center" wrapText="1"/>
      <protection hidden="1"/>
    </xf>
    <xf numFmtId="0" fontId="6" fillId="20" borderId="0" xfId="0" applyFont="1" applyFill="1" applyAlignment="1">
      <alignment horizontal="center"/>
    </xf>
    <xf numFmtId="0" fontId="0" fillId="20" borderId="156" xfId="0" applyFill="1" applyBorder="1"/>
    <xf numFmtId="0" fontId="41" fillId="20" borderId="10" xfId="0" applyFont="1" applyFill="1" applyBorder="1" applyAlignment="1" applyProtection="1">
      <alignment horizontal="center"/>
      <protection hidden="1"/>
    </xf>
    <xf numFmtId="0" fontId="16" fillId="20" borderId="0" xfId="0" quotePrefix="1" applyFont="1" applyFill="1" applyAlignment="1">
      <alignment horizontal="right" vertical="center" indent="1"/>
    </xf>
    <xf numFmtId="0" fontId="0" fillId="0" borderId="0" xfId="0" applyAlignment="1"/>
    <xf numFmtId="0" fontId="163" fillId="2" borderId="0" xfId="0" applyFont="1" applyFill="1" applyBorder="1" applyAlignment="1" applyProtection="1">
      <alignment wrapText="1"/>
      <protection hidden="1"/>
    </xf>
    <xf numFmtId="0" fontId="0" fillId="0" borderId="0" xfId="0" applyAlignment="1">
      <alignment vertical="top"/>
    </xf>
    <xf numFmtId="0" fontId="6" fillId="41" borderId="2" xfId="0" applyFont="1" applyFill="1" applyBorder="1" applyAlignment="1" applyProtection="1">
      <alignment horizontal="center" vertical="center" wrapText="1"/>
      <protection hidden="1"/>
    </xf>
    <xf numFmtId="0" fontId="6" fillId="21" borderId="2" xfId="0" applyFont="1" applyFill="1" applyBorder="1" applyAlignment="1" applyProtection="1">
      <alignment horizontal="center" vertical="center" wrapText="1"/>
      <protection locked="0"/>
    </xf>
    <xf numFmtId="0" fontId="224" fillId="20" borderId="0" xfId="0" applyFont="1" applyFill="1" applyProtection="1">
      <protection hidden="1"/>
    </xf>
    <xf numFmtId="0" fontId="161" fillId="20" borderId="0" xfId="0" applyFont="1" applyFill="1"/>
    <xf numFmtId="0" fontId="3" fillId="20" borderId="0" xfId="0" applyFont="1" applyFill="1"/>
    <xf numFmtId="0" fontId="163" fillId="20" borderId="0" xfId="0" applyFont="1" applyFill="1" applyProtection="1">
      <protection hidden="1"/>
    </xf>
    <xf numFmtId="0" fontId="179" fillId="10" borderId="0" xfId="0" applyFont="1" applyFill="1" applyAlignment="1" applyProtection="1">
      <alignment horizontal="center"/>
      <protection hidden="1"/>
    </xf>
    <xf numFmtId="0" fontId="5" fillId="10" borderId="0" xfId="0" applyFont="1" applyFill="1" applyProtection="1">
      <protection hidden="1"/>
    </xf>
    <xf numFmtId="0" fontId="161" fillId="20" borderId="0" xfId="0" applyFont="1" applyFill="1" applyBorder="1" applyAlignment="1">
      <alignment wrapText="1"/>
    </xf>
    <xf numFmtId="0" fontId="224" fillId="20" borderId="0" xfId="0" applyFont="1" applyFill="1" applyAlignment="1" applyProtection="1">
      <alignment horizontal="center" vertical="center"/>
      <protection hidden="1"/>
    </xf>
    <xf numFmtId="0" fontId="224" fillId="20" borderId="0" xfId="0" applyFont="1" applyFill="1" applyAlignment="1" applyProtection="1">
      <alignment vertical="top"/>
      <protection hidden="1"/>
    </xf>
    <xf numFmtId="0" fontId="163" fillId="2" borderId="0" xfId="0" applyFont="1" applyFill="1" applyAlignment="1" applyProtection="1">
      <protection hidden="1"/>
    </xf>
    <xf numFmtId="0" fontId="186" fillId="2" borderId="0" xfId="0" applyFont="1" applyFill="1" applyAlignment="1" applyProtection="1">
      <alignment horizontal="right" vertical="center"/>
      <protection hidden="1"/>
    </xf>
    <xf numFmtId="0" fontId="163" fillId="2" borderId="0" xfId="0" applyFont="1" applyFill="1" applyBorder="1" applyAlignment="1" applyProtection="1">
      <protection hidden="1"/>
    </xf>
    <xf numFmtId="0" fontId="10" fillId="20" borderId="0" xfId="0" applyFont="1" applyFill="1" applyAlignment="1" applyProtection="1">
      <alignment horizontal="center"/>
      <protection hidden="1"/>
    </xf>
    <xf numFmtId="0" fontId="161" fillId="0" borderId="0" xfId="0" applyFont="1" applyFill="1" applyAlignment="1" applyProtection="1">
      <alignment horizontal="center"/>
      <protection hidden="1"/>
    </xf>
    <xf numFmtId="0" fontId="161" fillId="0" borderId="0" xfId="0" applyFont="1" applyFill="1" applyProtection="1">
      <protection hidden="1"/>
    </xf>
    <xf numFmtId="0" fontId="6" fillId="20" borderId="0" xfId="0" applyFont="1" applyFill="1" applyAlignment="1" applyProtection="1">
      <alignment vertical="center"/>
      <protection hidden="1"/>
    </xf>
    <xf numFmtId="0" fontId="6" fillId="20" borderId="0" xfId="0" applyFont="1" applyFill="1" applyBorder="1" applyAlignment="1">
      <alignment horizontal="center" vertical="center"/>
    </xf>
    <xf numFmtId="0" fontId="0" fillId="12" borderId="0" xfId="0" applyFill="1" applyBorder="1"/>
    <xf numFmtId="3" fontId="0" fillId="39" borderId="2" xfId="0" applyNumberFormat="1" applyFill="1" applyBorder="1" applyAlignment="1" applyProtection="1">
      <alignment vertical="center"/>
      <protection locked="0"/>
    </xf>
    <xf numFmtId="14" fontId="3" fillId="2" borderId="7" xfId="0" applyNumberFormat="1" applyFont="1" applyFill="1" applyBorder="1" applyAlignment="1" applyProtection="1">
      <alignment horizontal="center" wrapText="1"/>
      <protection hidden="1"/>
    </xf>
    <xf numFmtId="3" fontId="5" fillId="0" borderId="2" xfId="0" applyNumberFormat="1" applyFont="1" applyFill="1" applyBorder="1" applyAlignment="1" applyProtection="1">
      <protection locked="0"/>
    </xf>
    <xf numFmtId="3" fontId="5" fillId="0" borderId="2" xfId="0" applyNumberFormat="1" applyFont="1" applyBorder="1" applyAlignment="1" applyProtection="1">
      <protection locked="0"/>
    </xf>
    <xf numFmtId="0" fontId="3" fillId="2" borderId="7" xfId="0" applyNumberFormat="1" applyFont="1" applyFill="1" applyBorder="1" applyAlignment="1" applyProtection="1">
      <alignment horizontal="center" wrapText="1"/>
      <protection hidden="1"/>
    </xf>
    <xf numFmtId="0" fontId="224" fillId="20" borderId="0" xfId="0" applyFont="1" applyFill="1"/>
    <xf numFmtId="168" fontId="5" fillId="32" borderId="69" xfId="0" applyNumberFormat="1" applyFont="1" applyFill="1" applyBorder="1" applyAlignment="1" applyProtection="1">
      <alignment horizontal="right"/>
      <protection hidden="1"/>
    </xf>
    <xf numFmtId="168" fontId="5" fillId="32" borderId="61" xfId="0" applyNumberFormat="1" applyFont="1" applyFill="1" applyBorder="1" applyAlignment="1" applyProtection="1">
      <alignment horizontal="right"/>
      <protection hidden="1"/>
    </xf>
    <xf numFmtId="168" fontId="5" fillId="32" borderId="131" xfId="0" applyNumberFormat="1" applyFont="1" applyFill="1" applyBorder="1" applyAlignment="1" applyProtection="1">
      <alignment horizontal="right"/>
      <protection hidden="1"/>
    </xf>
    <xf numFmtId="168" fontId="5" fillId="21" borderId="44" xfId="0" applyNumberFormat="1" applyFont="1" applyFill="1" applyBorder="1" applyAlignment="1" applyProtection="1">
      <alignment horizontal="right" wrapText="1"/>
      <protection locked="0"/>
    </xf>
    <xf numFmtId="168" fontId="5" fillId="21" borderId="13" xfId="0" applyNumberFormat="1" applyFont="1" applyFill="1" applyBorder="1" applyAlignment="1" applyProtection="1">
      <alignment horizontal="right" wrapText="1"/>
      <protection locked="0"/>
    </xf>
    <xf numFmtId="168" fontId="5" fillId="21" borderId="52" xfId="0" applyNumberFormat="1" applyFont="1" applyFill="1" applyBorder="1" applyAlignment="1" applyProtection="1">
      <alignment horizontal="right" wrapText="1"/>
      <protection locked="0"/>
    </xf>
    <xf numFmtId="193" fontId="5" fillId="21" borderId="130" xfId="0" applyNumberFormat="1" applyFont="1" applyFill="1" applyBorder="1" applyAlignment="1" applyProtection="1">
      <alignment horizontal="center" wrapText="1"/>
      <protection locked="0"/>
    </xf>
    <xf numFmtId="193" fontId="5" fillId="21" borderId="47" xfId="0" applyNumberFormat="1" applyFont="1" applyFill="1" applyBorder="1" applyAlignment="1" applyProtection="1">
      <alignment horizontal="center" wrapText="1"/>
      <protection locked="0"/>
    </xf>
    <xf numFmtId="193" fontId="5" fillId="21" borderId="51" xfId="0" applyNumberFormat="1" applyFont="1" applyFill="1" applyBorder="1" applyAlignment="1" applyProtection="1">
      <alignment horizontal="center" wrapText="1"/>
      <protection locked="0"/>
    </xf>
    <xf numFmtId="168" fontId="256" fillId="2" borderId="1" xfId="0" applyNumberFormat="1" applyFont="1" applyFill="1" applyBorder="1" applyAlignment="1" applyProtection="1">
      <alignment horizontal="left" vertical="center"/>
      <protection hidden="1"/>
    </xf>
    <xf numFmtId="168" fontId="174" fillId="2" borderId="1" xfId="0" applyNumberFormat="1" applyFont="1" applyFill="1" applyBorder="1" applyAlignment="1" applyProtection="1">
      <alignment horizontal="center" vertical="center"/>
      <protection hidden="1"/>
    </xf>
    <xf numFmtId="168" fontId="256" fillId="2" borderId="10" xfId="0" applyNumberFormat="1" applyFont="1" applyFill="1" applyBorder="1" applyAlignment="1" applyProtection="1">
      <alignment horizontal="left" vertical="center" indent="1"/>
      <protection hidden="1"/>
    </xf>
    <xf numFmtId="194" fontId="5" fillId="0" borderId="0" xfId="0" applyNumberFormat="1" applyFont="1" applyBorder="1" applyAlignment="1" applyProtection="1">
      <alignment horizontal="center"/>
      <protection hidden="1"/>
    </xf>
    <xf numFmtId="168" fontId="5" fillId="32" borderId="44" xfId="0" applyNumberFormat="1" applyFont="1" applyFill="1" applyBorder="1" applyAlignment="1" applyProtection="1">
      <alignment horizontal="right"/>
      <protection hidden="1"/>
    </xf>
    <xf numFmtId="168" fontId="5" fillId="32" borderId="13" xfId="0" applyNumberFormat="1" applyFont="1" applyFill="1" applyBorder="1" applyAlignment="1" applyProtection="1">
      <alignment horizontal="right"/>
      <protection hidden="1"/>
    </xf>
    <xf numFmtId="168" fontId="5" fillId="32" borderId="52" xfId="0" applyNumberFormat="1" applyFont="1" applyFill="1" applyBorder="1" applyAlignment="1" applyProtection="1">
      <alignment horizontal="right"/>
      <protection hidden="1"/>
    </xf>
    <xf numFmtId="168" fontId="191" fillId="5" borderId="0" xfId="0" applyNumberFormat="1" applyFont="1" applyFill="1" applyAlignment="1" applyProtection="1">
      <alignment horizontal="center"/>
      <protection hidden="1"/>
    </xf>
    <xf numFmtId="0" fontId="161" fillId="0" borderId="0" xfId="0" applyFont="1" applyFill="1" applyBorder="1" applyAlignment="1" applyProtection="1">
      <alignment horizontal="left" vertical="top"/>
      <protection hidden="1"/>
    </xf>
    <xf numFmtId="0" fontId="161" fillId="0" borderId="0" xfId="0" applyFont="1" applyProtection="1"/>
    <xf numFmtId="0" fontId="264" fillId="3" borderId="26" xfId="0" applyFont="1" applyFill="1" applyBorder="1" applyAlignment="1" applyProtection="1">
      <alignment vertical="center"/>
      <protection hidden="1"/>
    </xf>
    <xf numFmtId="0" fontId="1" fillId="0" borderId="0" xfId="0" applyFont="1" applyAlignment="1" applyProtection="1">
      <alignment horizontal="center" vertical="center"/>
      <protection locked="0"/>
    </xf>
    <xf numFmtId="189" fontId="1" fillId="0" borderId="0" xfId="0" applyNumberFormat="1" applyFont="1" applyAlignment="1" applyProtection="1">
      <alignment horizontal="center" vertical="top" wrapText="1"/>
      <protection hidden="1"/>
    </xf>
    <xf numFmtId="0" fontId="1" fillId="0" borderId="0" xfId="0" applyFont="1" applyAlignment="1">
      <alignment horizontal="center" vertical="top" wrapText="1"/>
    </xf>
    <xf numFmtId="0" fontId="1" fillId="0" borderId="0" xfId="0" applyFont="1" applyAlignment="1">
      <alignment vertical="top" wrapText="1"/>
    </xf>
    <xf numFmtId="194" fontId="5" fillId="0" borderId="158" xfId="0" applyNumberFormat="1" applyFont="1" applyBorder="1" applyAlignment="1">
      <alignment horizontal="center"/>
    </xf>
    <xf numFmtId="0" fontId="3" fillId="0" borderId="0" xfId="0" applyFont="1" applyAlignment="1">
      <alignment horizontal="center" vertical="top" wrapText="1"/>
    </xf>
    <xf numFmtId="0" fontId="0" fillId="0" borderId="0" xfId="0" applyAlignment="1">
      <alignment vertical="top" wrapText="1"/>
    </xf>
    <xf numFmtId="0" fontId="0" fillId="0" borderId="0" xfId="0" applyAlignment="1">
      <alignment vertical="top" wrapText="1"/>
    </xf>
    <xf numFmtId="0" fontId="4" fillId="21" borderId="13" xfId="0" applyFont="1" applyFill="1" applyBorder="1" applyAlignment="1" applyProtection="1">
      <alignment horizontal="center" vertical="center"/>
      <protection locked="0" hidden="1"/>
    </xf>
    <xf numFmtId="0" fontId="19" fillId="20" borderId="11" xfId="0" applyFont="1" applyFill="1" applyBorder="1" applyAlignment="1" applyProtection="1">
      <alignment horizontal="right"/>
      <protection hidden="1"/>
    </xf>
    <xf numFmtId="0" fontId="19" fillId="20" borderId="85" xfId="0" applyFont="1" applyFill="1" applyBorder="1" applyAlignment="1" applyProtection="1">
      <alignment horizontal="right"/>
      <protection hidden="1"/>
    </xf>
    <xf numFmtId="0" fontId="19" fillId="20" borderId="16" xfId="0" applyFont="1" applyFill="1" applyBorder="1" applyAlignment="1" applyProtection="1">
      <alignment horizontal="right"/>
      <protection hidden="1"/>
    </xf>
    <xf numFmtId="0" fontId="19" fillId="20" borderId="84" xfId="0" applyFont="1" applyFill="1" applyBorder="1" applyAlignment="1" applyProtection="1">
      <alignment horizontal="right"/>
      <protection hidden="1"/>
    </xf>
    <xf numFmtId="0" fontId="3" fillId="0" borderId="0" xfId="0" applyFont="1" applyAlignment="1">
      <alignment horizontal="center" vertical="top" wrapText="1"/>
    </xf>
    <xf numFmtId="0" fontId="0" fillId="0" borderId="0" xfId="0" applyAlignment="1">
      <alignment vertical="top" wrapText="1"/>
    </xf>
    <xf numFmtId="0" fontId="0" fillId="0" borderId="13" xfId="0" applyBorder="1" applyProtection="1">
      <protection locked="0"/>
    </xf>
    <xf numFmtId="0" fontId="1" fillId="32" borderId="2" xfId="0" applyFont="1" applyFill="1" applyBorder="1" applyAlignment="1" applyProtection="1">
      <alignment horizontal="center"/>
      <protection locked="0"/>
    </xf>
    <xf numFmtId="37" fontId="5" fillId="31" borderId="10" xfId="0" applyNumberFormat="1" applyFont="1" applyFill="1" applyBorder="1" applyAlignment="1" applyProtection="1">
      <alignment horizontal="right"/>
      <protection hidden="1"/>
    </xf>
    <xf numFmtId="0" fontId="3" fillId="0" borderId="0" xfId="0" applyFont="1" applyAlignment="1">
      <alignment horizontal="center" vertical="top" wrapText="1"/>
    </xf>
    <xf numFmtId="4" fontId="1" fillId="2" borderId="2" xfId="0" applyNumberFormat="1" applyFont="1" applyFill="1" applyBorder="1" applyAlignment="1" applyProtection="1">
      <alignment horizontal="center" vertical="center"/>
      <protection locked="0"/>
    </xf>
    <xf numFmtId="0" fontId="265" fillId="10" borderId="0" xfId="0" applyFont="1" applyFill="1" applyProtection="1">
      <protection hidden="1"/>
    </xf>
    <xf numFmtId="0" fontId="243" fillId="10" borderId="0" xfId="0" applyFont="1" applyFill="1" applyProtection="1">
      <protection hidden="1"/>
    </xf>
    <xf numFmtId="0" fontId="161" fillId="2" borderId="1" xfId="0" applyFont="1" applyFill="1" applyBorder="1" applyProtection="1">
      <protection hidden="1"/>
    </xf>
    <xf numFmtId="37" fontId="161" fillId="3" borderId="3" xfId="0" applyNumberFormat="1" applyFont="1" applyFill="1" applyBorder="1" applyAlignment="1" applyProtection="1">
      <alignment horizontal="right"/>
      <protection hidden="1"/>
    </xf>
    <xf numFmtId="0" fontId="183" fillId="0" borderId="0" xfId="0" applyFont="1" applyProtection="1">
      <protection hidden="1"/>
    </xf>
    <xf numFmtId="0" fontId="174" fillId="0" borderId="0" xfId="0" applyFont="1" applyProtection="1">
      <protection hidden="1"/>
    </xf>
    <xf numFmtId="0" fontId="161" fillId="0" borderId="0" xfId="0" quotePrefix="1" applyFont="1" applyAlignment="1" applyProtection="1">
      <alignment horizontal="right"/>
      <protection hidden="1"/>
    </xf>
    <xf numFmtId="4" fontId="174" fillId="0" borderId="0" xfId="0" applyNumberFormat="1" applyFont="1" applyProtection="1">
      <protection hidden="1"/>
    </xf>
    <xf numFmtId="4" fontId="163" fillId="0" borderId="0" xfId="0" applyNumberFormat="1" applyFont="1" applyAlignment="1" applyProtection="1">
      <alignment horizontal="center"/>
      <protection hidden="1"/>
    </xf>
    <xf numFmtId="0" fontId="207" fillId="0" borderId="0" xfId="0" applyFont="1" applyAlignment="1" applyProtection="1">
      <alignment horizontal="center"/>
      <protection hidden="1"/>
    </xf>
    <xf numFmtId="0" fontId="163" fillId="0" borderId="0" xfId="0" applyFont="1" applyFill="1" applyProtection="1">
      <protection hidden="1"/>
    </xf>
    <xf numFmtId="0" fontId="195" fillId="20" borderId="24" xfId="0" applyFont="1" applyFill="1" applyBorder="1" applyAlignment="1" applyProtection="1">
      <alignment horizontal="center" vertical="center" wrapText="1"/>
      <protection hidden="1"/>
    </xf>
    <xf numFmtId="0" fontId="195" fillId="0" borderId="8" xfId="0" applyFont="1" applyBorder="1" applyAlignment="1">
      <alignment horizontal="center" vertical="center" wrapText="1"/>
    </xf>
    <xf numFmtId="0" fontId="195" fillId="0" borderId="20" xfId="0" applyFont="1" applyBorder="1" applyAlignment="1">
      <alignment horizontal="center" vertical="center" wrapText="1"/>
    </xf>
    <xf numFmtId="0" fontId="195" fillId="0" borderId="6" xfId="0" applyFont="1" applyBorder="1" applyAlignment="1">
      <alignment horizontal="center" vertical="center" wrapText="1"/>
    </xf>
    <xf numFmtId="0" fontId="195" fillId="0" borderId="0" xfId="0" applyFont="1" applyBorder="1" applyAlignment="1">
      <alignment horizontal="center" vertical="center" wrapText="1"/>
    </xf>
    <xf numFmtId="0" fontId="195" fillId="0" borderId="21" xfId="0" applyFont="1" applyBorder="1" applyAlignment="1">
      <alignment horizontal="center" vertical="center" wrapText="1"/>
    </xf>
    <xf numFmtId="0" fontId="195" fillId="0" borderId="22" xfId="0" applyFont="1" applyBorder="1" applyAlignment="1">
      <alignment horizontal="center" vertical="center" wrapText="1"/>
    </xf>
    <xf numFmtId="0" fontId="195" fillId="0" borderId="5" xfId="0" applyFont="1" applyBorder="1" applyAlignment="1">
      <alignment horizontal="center" vertical="center" wrapText="1"/>
    </xf>
    <xf numFmtId="0" fontId="195" fillId="0" borderId="23" xfId="0" applyFont="1" applyBorder="1" applyAlignment="1">
      <alignment horizontal="center" vertical="center" wrapText="1"/>
    </xf>
    <xf numFmtId="0" fontId="225" fillId="20" borderId="6" xfId="0" applyFont="1" applyFill="1" applyBorder="1" applyAlignment="1">
      <alignment horizontal="center" vertical="center" wrapText="1"/>
    </xf>
    <xf numFmtId="0" fontId="0" fillId="20" borderId="0" xfId="0" applyFill="1" applyAlignment="1">
      <alignment horizontal="center"/>
    </xf>
    <xf numFmtId="0" fontId="0" fillId="20" borderId="21" xfId="0" applyFill="1" applyBorder="1" applyAlignment="1">
      <alignment horizontal="center"/>
    </xf>
    <xf numFmtId="0" fontId="0" fillId="20" borderId="6" xfId="0" applyFill="1" applyBorder="1" applyAlignment="1">
      <alignment horizontal="center"/>
    </xf>
    <xf numFmtId="0" fontId="78" fillId="20" borderId="6" xfId="2" applyFill="1" applyBorder="1" applyAlignment="1" applyProtection="1">
      <alignment horizontal="center"/>
      <protection hidden="1"/>
    </xf>
    <xf numFmtId="0" fontId="227" fillId="20" borderId="6" xfId="2" applyFont="1" applyFill="1" applyBorder="1" applyAlignment="1" applyProtection="1">
      <alignment horizontal="center"/>
      <protection hidden="1"/>
    </xf>
    <xf numFmtId="0" fontId="227" fillId="20" borderId="0" xfId="0" applyFont="1" applyFill="1" applyAlignment="1">
      <alignment horizontal="center"/>
    </xf>
    <xf numFmtId="0" fontId="227" fillId="20" borderId="21" xfId="0" applyFont="1" applyFill="1" applyBorder="1" applyAlignment="1">
      <alignment horizontal="center"/>
    </xf>
    <xf numFmtId="0" fontId="246" fillId="20" borderId="113" xfId="0" applyFont="1" applyFill="1" applyBorder="1" applyAlignment="1" applyProtection="1">
      <alignment horizontal="center"/>
      <protection hidden="1"/>
    </xf>
    <xf numFmtId="0" fontId="246" fillId="0" borderId="0" xfId="0" applyFont="1" applyAlignment="1">
      <alignment horizontal="center"/>
    </xf>
    <xf numFmtId="0" fontId="246" fillId="0" borderId="79" xfId="0" applyFont="1" applyBorder="1" applyAlignment="1">
      <alignment horizontal="center"/>
    </xf>
    <xf numFmtId="0" fontId="3" fillId="2" borderId="0" xfId="0" applyFont="1" applyFill="1" applyBorder="1" applyAlignment="1" applyProtection="1">
      <alignment vertical="top" wrapText="1"/>
      <protection hidden="1"/>
    </xf>
    <xf numFmtId="0" fontId="0" fillId="2" borderId="0" xfId="0" applyFill="1" applyBorder="1" applyAlignment="1" applyProtection="1">
      <alignment vertical="top" wrapText="1"/>
      <protection hidden="1"/>
    </xf>
    <xf numFmtId="0" fontId="0" fillId="2" borderId="0" xfId="0" applyFill="1" applyBorder="1" applyAlignment="1" applyProtection="1">
      <protection hidden="1"/>
    </xf>
    <xf numFmtId="0" fontId="0" fillId="2" borderId="0" xfId="0" applyFill="1" applyBorder="1" applyAlignment="1" applyProtection="1">
      <alignment vertical="top"/>
      <protection hidden="1"/>
    </xf>
    <xf numFmtId="0" fontId="0" fillId="2" borderId="5" xfId="0" applyFill="1" applyBorder="1" applyAlignment="1" applyProtection="1">
      <alignment vertical="top" wrapText="1"/>
      <protection hidden="1"/>
    </xf>
    <xf numFmtId="0" fontId="0" fillId="2" borderId="5" xfId="0" applyFill="1" applyBorder="1" applyAlignment="1" applyProtection="1">
      <alignment vertical="top"/>
      <protection hidden="1"/>
    </xf>
    <xf numFmtId="4" fontId="67" fillId="2" borderId="0" xfId="0" applyNumberFormat="1" applyFont="1" applyFill="1" applyBorder="1" applyAlignment="1" applyProtection="1">
      <protection hidden="1"/>
    </xf>
    <xf numFmtId="0" fontId="0" fillId="0" borderId="0" xfId="0" applyAlignment="1"/>
    <xf numFmtId="0" fontId="0" fillId="0" borderId="25" xfId="0" applyBorder="1" applyAlignment="1"/>
    <xf numFmtId="4" fontId="207" fillId="2" borderId="0" xfId="0" applyNumberFormat="1" applyFont="1" applyFill="1" applyBorder="1" applyAlignment="1" applyProtection="1">
      <alignment horizontal="right"/>
      <protection hidden="1"/>
    </xf>
    <xf numFmtId="0" fontId="186" fillId="0" borderId="0" xfId="0" applyFont="1" applyBorder="1" applyAlignment="1">
      <alignment horizontal="right"/>
    </xf>
    <xf numFmtId="0" fontId="161" fillId="0" borderId="0" xfId="0" applyFont="1" applyBorder="1" applyAlignment="1">
      <alignment horizontal="right"/>
    </xf>
    <xf numFmtId="4" fontId="207" fillId="2" borderId="0" xfId="0" applyNumberFormat="1" applyFont="1" applyFill="1" applyBorder="1" applyAlignment="1" applyProtection="1">
      <protection hidden="1"/>
    </xf>
    <xf numFmtId="0" fontId="186" fillId="0" borderId="0" xfId="0" applyFont="1" applyAlignment="1"/>
    <xf numFmtId="0" fontId="186" fillId="0" borderId="0" xfId="0" applyFont="1" applyAlignment="1">
      <alignment horizontal="right"/>
    </xf>
    <xf numFmtId="0" fontId="0" fillId="0" borderId="0" xfId="0" applyAlignment="1">
      <alignment horizontal="right"/>
    </xf>
    <xf numFmtId="0" fontId="123" fillId="0" borderId="86" xfId="0" applyFont="1" applyBorder="1" applyAlignment="1" applyProtection="1">
      <alignment horizontal="right" vertical="center"/>
      <protection hidden="1"/>
    </xf>
    <xf numFmtId="0" fontId="0" fillId="0" borderId="86" xfId="0" applyBorder="1" applyAlignment="1">
      <alignment vertical="center"/>
    </xf>
    <xf numFmtId="4" fontId="157" fillId="2" borderId="0" xfId="0" applyNumberFormat="1" applyFont="1" applyFill="1" applyBorder="1" applyAlignment="1" applyProtection="1">
      <alignment horizontal="right"/>
      <protection hidden="1"/>
    </xf>
    <xf numFmtId="0" fontId="181" fillId="0" borderId="0" xfId="0" applyFont="1" applyAlignment="1">
      <alignment horizontal="right"/>
    </xf>
    <xf numFmtId="0" fontId="0" fillId="0" borderId="25" xfId="0" applyBorder="1" applyAlignment="1">
      <alignment horizontal="right"/>
    </xf>
    <xf numFmtId="4" fontId="157" fillId="2" borderId="0" xfId="0" applyNumberFormat="1" applyFont="1" applyFill="1" applyBorder="1" applyAlignment="1" applyProtection="1">
      <protection hidden="1"/>
    </xf>
    <xf numFmtId="0" fontId="181" fillId="0" borderId="0" xfId="0" applyFont="1" applyAlignment="1"/>
    <xf numFmtId="3" fontId="163" fillId="2" borderId="0" xfId="0" applyNumberFormat="1" applyFont="1" applyFill="1" applyBorder="1" applyAlignment="1" applyProtection="1">
      <protection hidden="1"/>
    </xf>
    <xf numFmtId="4" fontId="31" fillId="2" borderId="0" xfId="0" applyNumberFormat="1" applyFont="1" applyFill="1" applyBorder="1" applyAlignment="1" applyProtection="1">
      <protection hidden="1"/>
    </xf>
    <xf numFmtId="0" fontId="157" fillId="0" borderId="0" xfId="0" applyFont="1" applyAlignment="1"/>
    <xf numFmtId="0" fontId="157" fillId="0" borderId="25" xfId="0" applyFont="1" applyBorder="1" applyAlignment="1"/>
    <xf numFmtId="4" fontId="157" fillId="2" borderId="6" xfId="0" applyNumberFormat="1" applyFont="1" applyFill="1" applyBorder="1" applyAlignment="1" applyProtection="1">
      <protection hidden="1"/>
    </xf>
    <xf numFmtId="4" fontId="179" fillId="23" borderId="0" xfId="0" applyNumberFormat="1" applyFont="1" applyFill="1" applyBorder="1" applyAlignment="1" applyProtection="1">
      <alignment horizontal="center" vertical="center" wrapText="1"/>
      <protection hidden="1"/>
    </xf>
    <xf numFmtId="0" fontId="179" fillId="0" borderId="0" xfId="0" applyFont="1" applyAlignment="1">
      <alignment horizontal="center" vertical="center" wrapText="1"/>
    </xf>
    <xf numFmtId="165" fontId="132" fillId="21" borderId="10" xfId="0" applyNumberFormat="1" applyFont="1" applyFill="1" applyBorder="1" applyAlignment="1" applyProtection="1">
      <alignment horizontal="center"/>
      <protection locked="0"/>
    </xf>
    <xf numFmtId="0" fontId="132" fillId="21" borderId="1" xfId="0" applyFont="1" applyFill="1" applyBorder="1" applyAlignment="1">
      <alignment horizontal="center"/>
    </xf>
    <xf numFmtId="4" fontId="5" fillId="2" borderId="31" xfId="0" applyNumberFormat="1" applyFont="1" applyFill="1" applyBorder="1" applyAlignment="1" applyProtection="1">
      <alignment horizontal="right"/>
      <protection hidden="1"/>
    </xf>
    <xf numFmtId="0" fontId="5" fillId="0" borderId="99" xfId="0" applyFont="1" applyBorder="1" applyAlignment="1">
      <alignment horizontal="right"/>
    </xf>
    <xf numFmtId="49" fontId="11" fillId="21" borderId="10" xfId="0" applyNumberFormat="1" applyFont="1" applyFill="1" applyBorder="1" applyAlignment="1" applyProtection="1">
      <alignment horizontal="left"/>
      <protection locked="0"/>
    </xf>
    <xf numFmtId="0" fontId="0" fillId="21" borderId="1" xfId="0" applyFill="1" applyBorder="1" applyAlignment="1" applyProtection="1">
      <alignment horizontal="left"/>
      <protection locked="0"/>
    </xf>
    <xf numFmtId="0" fontId="0" fillId="21" borderId="1" xfId="0" applyFill="1" applyBorder="1" applyAlignment="1"/>
    <xf numFmtId="3" fontId="7" fillId="21" borderId="1" xfId="0" applyNumberFormat="1" applyFont="1" applyFill="1" applyBorder="1" applyAlignment="1" applyProtection="1">
      <protection locked="0"/>
    </xf>
    <xf numFmtId="3" fontId="0" fillId="21" borderId="1" xfId="0" applyNumberFormat="1" applyFill="1" applyBorder="1" applyAlignment="1" applyProtection="1">
      <protection locked="0"/>
    </xf>
    <xf numFmtId="0" fontId="0" fillId="21" borderId="1" xfId="0" applyFill="1" applyBorder="1" applyAlignment="1" applyProtection="1">
      <protection locked="0"/>
    </xf>
    <xf numFmtId="0" fontId="8" fillId="20" borderId="3" xfId="0" applyFont="1" applyFill="1" applyBorder="1" applyAlignment="1" applyProtection="1">
      <protection hidden="1"/>
    </xf>
    <xf numFmtId="0" fontId="0" fillId="20" borderId="0" xfId="0" applyFill="1" applyAlignment="1" applyProtection="1">
      <protection hidden="1"/>
    </xf>
    <xf numFmtId="3" fontId="7" fillId="21" borderId="26" xfId="0" applyNumberFormat="1" applyFont="1" applyFill="1" applyBorder="1" applyAlignment="1" applyProtection="1">
      <protection locked="0"/>
    </xf>
    <xf numFmtId="3" fontId="0" fillId="21" borderId="26" xfId="0" applyNumberFormat="1" applyFill="1" applyBorder="1" applyAlignment="1" applyProtection="1">
      <protection locked="0"/>
    </xf>
    <xf numFmtId="0" fontId="0" fillId="21" borderId="26" xfId="0" applyFill="1" applyBorder="1" applyAlignment="1" applyProtection="1">
      <protection locked="0"/>
    </xf>
    <xf numFmtId="3" fontId="7" fillId="32" borderId="5" xfId="0" applyNumberFormat="1" applyFont="1" applyFill="1" applyBorder="1" applyAlignment="1" applyProtection="1">
      <protection hidden="1"/>
    </xf>
    <xf numFmtId="3" fontId="0" fillId="32" borderId="5" xfId="0" applyNumberFormat="1" applyFill="1" applyBorder="1" applyAlignment="1" applyProtection="1">
      <protection hidden="1"/>
    </xf>
    <xf numFmtId="0" fontId="0" fillId="32" borderId="5" xfId="0" applyFill="1" applyBorder="1" applyAlignment="1" applyProtection="1">
      <protection hidden="1"/>
    </xf>
    <xf numFmtId="0" fontId="90" fillId="23" borderId="3" xfId="0" applyFont="1" applyFill="1" applyBorder="1" applyAlignment="1" applyProtection="1">
      <alignment horizontal="center" vertical="center"/>
      <protection hidden="1"/>
    </xf>
    <xf numFmtId="0" fontId="90" fillId="23" borderId="0" xfId="0" applyFont="1" applyFill="1" applyAlignment="1">
      <alignment horizontal="center" vertical="center"/>
    </xf>
    <xf numFmtId="0" fontId="107" fillId="23" borderId="25" xfId="0" applyFont="1" applyFill="1" applyBorder="1" applyAlignment="1">
      <alignment horizontal="center" vertical="center"/>
    </xf>
    <xf numFmtId="1" fontId="8" fillId="2" borderId="10" xfId="0" applyNumberFormat="1" applyFont="1" applyFill="1" applyBorder="1" applyAlignment="1" applyProtection="1">
      <alignment horizontal="left" vertical="top" wrapText="1"/>
      <protection hidden="1"/>
    </xf>
    <xf numFmtId="0" fontId="8" fillId="0" borderId="1" xfId="0" applyFont="1" applyBorder="1" applyAlignment="1" applyProtection="1">
      <alignment horizontal="left" vertical="top" wrapText="1"/>
      <protection hidden="1"/>
    </xf>
    <xf numFmtId="0" fontId="8" fillId="0" borderId="21" xfId="0" applyFont="1" applyBorder="1" applyAlignment="1" applyProtection="1">
      <alignment wrapText="1"/>
      <protection hidden="1"/>
    </xf>
    <xf numFmtId="0" fontId="90" fillId="2" borderId="3" xfId="0" applyNumberFormat="1" applyFont="1" applyFill="1" applyBorder="1" applyAlignment="1" applyProtection="1">
      <alignment horizontal="center" vertical="top"/>
      <protection hidden="1"/>
    </xf>
    <xf numFmtId="0" fontId="107" fillId="0" borderId="0" xfId="0" applyNumberFormat="1" applyFont="1" applyAlignment="1">
      <alignment horizontal="center" vertical="top"/>
    </xf>
    <xf numFmtId="1" fontId="130" fillId="21" borderId="62" xfId="0" applyNumberFormat="1" applyFont="1" applyFill="1" applyBorder="1" applyAlignment="1" applyProtection="1">
      <alignment horizontal="center" vertical="center"/>
      <protection locked="0"/>
    </xf>
    <xf numFmtId="0" fontId="131" fillId="21" borderId="78" xfId="0" applyFont="1" applyFill="1" applyBorder="1" applyAlignment="1">
      <alignment horizontal="center" vertical="center"/>
    </xf>
    <xf numFmtId="0" fontId="131" fillId="21" borderId="63" xfId="0" applyFont="1" applyFill="1" applyBorder="1" applyAlignment="1">
      <alignment horizontal="center" vertical="center"/>
    </xf>
    <xf numFmtId="3" fontId="7" fillId="30" borderId="26" xfId="0" applyNumberFormat="1" applyFont="1" applyFill="1" applyBorder="1" applyAlignment="1" applyProtection="1">
      <protection hidden="1"/>
    </xf>
    <xf numFmtId="3" fontId="0" fillId="30" borderId="26" xfId="0" applyNumberFormat="1" applyFill="1" applyBorder="1" applyAlignment="1" applyProtection="1">
      <protection hidden="1"/>
    </xf>
    <xf numFmtId="0" fontId="0" fillId="30" borderId="26" xfId="0" applyFill="1" applyBorder="1" applyAlignment="1" applyProtection="1">
      <protection hidden="1"/>
    </xf>
    <xf numFmtId="0" fontId="16" fillId="21" borderId="1" xfId="0" applyNumberFormat="1" applyFont="1" applyFill="1" applyBorder="1" applyAlignment="1" applyProtection="1">
      <alignment horizontal="left" vertical="center"/>
      <protection locked="0"/>
    </xf>
    <xf numFmtId="0" fontId="55" fillId="21" borderId="1" xfId="0" applyFont="1" applyFill="1" applyBorder="1" applyAlignment="1">
      <alignment horizontal="left" vertical="center"/>
    </xf>
    <xf numFmtId="0" fontId="8" fillId="2" borderId="3" xfId="0" applyFont="1" applyFill="1" applyBorder="1" applyAlignment="1" applyProtection="1">
      <alignment horizontal="left"/>
      <protection hidden="1"/>
    </xf>
    <xf numFmtId="0" fontId="8" fillId="2" borderId="0" xfId="0" applyFont="1" applyFill="1" applyAlignment="1" applyProtection="1">
      <alignment horizontal="left"/>
      <protection hidden="1"/>
    </xf>
    <xf numFmtId="0" fontId="0" fillId="20" borderId="25" xfId="0" applyFill="1" applyBorder="1" applyAlignment="1" applyProtection="1">
      <protection hidden="1"/>
    </xf>
    <xf numFmtId="3" fontId="6" fillId="21" borderId="10" xfId="0" applyNumberFormat="1" applyFont="1" applyFill="1" applyBorder="1" applyAlignment="1" applyProtection="1">
      <alignment horizontal="right"/>
      <protection locked="0"/>
    </xf>
    <xf numFmtId="3" fontId="0" fillId="21" borderId="1" xfId="0" applyNumberFormat="1" applyFill="1" applyBorder="1" applyAlignment="1" applyProtection="1">
      <alignment horizontal="right"/>
      <protection locked="0"/>
    </xf>
    <xf numFmtId="3" fontId="0" fillId="21" borderId="12" xfId="0" applyNumberFormat="1" applyFill="1" applyBorder="1" applyAlignment="1" applyProtection="1">
      <alignment horizontal="right"/>
      <protection locked="0"/>
    </xf>
    <xf numFmtId="49" fontId="8" fillId="23" borderId="1" xfId="0" applyNumberFormat="1" applyFont="1" applyFill="1" applyBorder="1" applyAlignment="1" applyProtection="1">
      <alignment horizontal="left" vertical="center" wrapText="1"/>
      <protection locked="0"/>
    </xf>
    <xf numFmtId="0" fontId="0" fillId="23" borderId="1" xfId="0" applyFill="1" applyBorder="1" applyAlignment="1">
      <alignment horizontal="left" vertical="center"/>
    </xf>
    <xf numFmtId="0" fontId="90" fillId="2" borderId="31" xfId="0" applyFont="1" applyFill="1" applyBorder="1" applyAlignment="1" applyProtection="1">
      <alignment horizontal="center"/>
      <protection hidden="1"/>
    </xf>
    <xf numFmtId="0" fontId="90" fillId="2" borderId="9" xfId="0" applyFont="1" applyFill="1" applyBorder="1" applyAlignment="1" applyProtection="1">
      <alignment horizontal="center"/>
      <protection hidden="1"/>
    </xf>
    <xf numFmtId="0" fontId="90" fillId="2" borderId="3" xfId="0" applyFont="1" applyFill="1" applyBorder="1" applyAlignment="1" applyProtection="1">
      <alignment horizontal="center"/>
      <protection hidden="1"/>
    </xf>
    <xf numFmtId="0" fontId="90" fillId="2" borderId="0" xfId="0" applyFont="1" applyFill="1" applyBorder="1" applyAlignment="1" applyProtection="1">
      <alignment horizontal="center"/>
      <protection hidden="1"/>
    </xf>
    <xf numFmtId="37" fontId="7" fillId="30" borderId="40" xfId="0" applyNumberFormat="1" applyFont="1" applyFill="1" applyBorder="1" applyAlignment="1" applyProtection="1">
      <protection hidden="1"/>
    </xf>
    <xf numFmtId="0" fontId="0" fillId="30" borderId="26" xfId="0" applyFill="1" applyBorder="1"/>
    <xf numFmtId="37" fontId="6" fillId="30" borderId="40" xfId="0" applyNumberFormat="1" applyFont="1" applyFill="1" applyBorder="1" applyAlignment="1" applyProtection="1">
      <protection hidden="1"/>
    </xf>
    <xf numFmtId="37" fontId="6" fillId="30" borderId="26" xfId="0" applyNumberFormat="1" applyFont="1" applyFill="1" applyBorder="1" applyAlignment="1" applyProtection="1">
      <protection hidden="1"/>
    </xf>
    <xf numFmtId="4" fontId="5" fillId="2" borderId="3" xfId="0" applyNumberFormat="1" applyFont="1" applyFill="1" applyBorder="1" applyAlignment="1" applyProtection="1">
      <protection hidden="1"/>
    </xf>
    <xf numFmtId="4" fontId="5" fillId="2" borderId="0" xfId="0" applyNumberFormat="1" applyFont="1" applyFill="1" applyBorder="1" applyAlignment="1" applyProtection="1">
      <protection hidden="1"/>
    </xf>
    <xf numFmtId="0" fontId="11" fillId="21" borderId="1" xfId="0" applyFont="1" applyFill="1" applyBorder="1" applyAlignment="1" applyProtection="1">
      <alignment horizontal="center"/>
      <protection locked="0"/>
    </xf>
    <xf numFmtId="0" fontId="4" fillId="21" borderId="1" xfId="0" applyFont="1" applyFill="1" applyBorder="1" applyAlignment="1" applyProtection="1">
      <alignment horizontal="center"/>
      <protection locked="0"/>
    </xf>
    <xf numFmtId="0" fontId="0" fillId="0" borderId="1" xfId="0" applyBorder="1" applyAlignment="1" applyProtection="1">
      <alignment horizontal="center"/>
      <protection locked="0"/>
    </xf>
    <xf numFmtId="37" fontId="6" fillId="21" borderId="40" xfId="0" applyNumberFormat="1" applyFont="1" applyFill="1" applyBorder="1" applyAlignment="1" applyProtection="1">
      <alignment horizontal="right"/>
      <protection locked="0"/>
    </xf>
    <xf numFmtId="37" fontId="6" fillId="21" borderId="26" xfId="0" applyNumberFormat="1" applyFont="1" applyFill="1" applyBorder="1" applyAlignment="1" applyProtection="1">
      <alignment horizontal="right"/>
      <protection locked="0"/>
    </xf>
    <xf numFmtId="37" fontId="6" fillId="30" borderId="40" xfId="0" applyNumberFormat="1" applyFont="1" applyFill="1" applyBorder="1" applyAlignment="1" applyProtection="1">
      <alignment horizontal="right"/>
      <protection hidden="1"/>
    </xf>
    <xf numFmtId="37" fontId="6" fillId="30" borderId="26" xfId="0" applyNumberFormat="1" applyFont="1" applyFill="1" applyBorder="1" applyAlignment="1" applyProtection="1">
      <alignment horizontal="right"/>
      <protection hidden="1"/>
    </xf>
    <xf numFmtId="37" fontId="6" fillId="21" borderId="40" xfId="0" applyNumberFormat="1" applyFont="1" applyFill="1" applyBorder="1" applyAlignment="1" applyProtection="1">
      <protection locked="0"/>
    </xf>
    <xf numFmtId="37" fontId="6" fillId="21" borderId="26" xfId="0" applyNumberFormat="1" applyFont="1" applyFill="1" applyBorder="1" applyAlignment="1" applyProtection="1">
      <protection locked="0"/>
    </xf>
    <xf numFmtId="37" fontId="6" fillId="30" borderId="10" xfId="0" applyNumberFormat="1" applyFont="1" applyFill="1" applyBorder="1" applyAlignment="1" applyProtection="1">
      <protection hidden="1"/>
    </xf>
    <xf numFmtId="37" fontId="6" fillId="30" borderId="1" xfId="0" applyNumberFormat="1" applyFont="1" applyFill="1" applyBorder="1" applyAlignment="1" applyProtection="1">
      <protection hidden="1"/>
    </xf>
    <xf numFmtId="37" fontId="7" fillId="30" borderId="10" xfId="0" applyNumberFormat="1" applyFont="1" applyFill="1" applyBorder="1" applyAlignment="1" applyProtection="1">
      <protection hidden="1"/>
    </xf>
    <xf numFmtId="37" fontId="7" fillId="30" borderId="1" xfId="0" applyNumberFormat="1" applyFont="1" applyFill="1" applyBorder="1" applyAlignment="1" applyProtection="1">
      <protection hidden="1"/>
    </xf>
    <xf numFmtId="4" fontId="128" fillId="2" borderId="3" xfId="0" applyNumberFormat="1" applyFont="1" applyFill="1" applyBorder="1" applyAlignment="1" applyProtection="1">
      <alignment horizontal="center"/>
      <protection hidden="1"/>
    </xf>
    <xf numFmtId="4" fontId="128" fillId="2" borderId="0" xfId="0" applyNumberFormat="1" applyFont="1" applyFill="1" applyBorder="1" applyAlignment="1" applyProtection="1">
      <alignment horizontal="center"/>
      <protection hidden="1"/>
    </xf>
    <xf numFmtId="37" fontId="7" fillId="30" borderId="26" xfId="0" applyNumberFormat="1" applyFont="1" applyFill="1" applyBorder="1" applyAlignment="1" applyProtection="1">
      <protection hidden="1"/>
    </xf>
    <xf numFmtId="37" fontId="7" fillId="30" borderId="40" xfId="0" applyNumberFormat="1" applyFont="1" applyFill="1" applyBorder="1" applyAlignment="1" applyProtection="1">
      <alignment horizontal="right"/>
      <protection hidden="1"/>
    </xf>
    <xf numFmtId="37" fontId="7" fillId="30" borderId="26" xfId="0" applyNumberFormat="1" applyFont="1" applyFill="1" applyBorder="1" applyAlignment="1" applyProtection="1">
      <alignment horizontal="right"/>
      <protection hidden="1"/>
    </xf>
    <xf numFmtId="4" fontId="76" fillId="2" borderId="3" xfId="0" applyNumberFormat="1" applyFont="1" applyFill="1" applyBorder="1" applyAlignment="1" applyProtection="1">
      <alignment horizontal="center"/>
      <protection hidden="1"/>
    </xf>
    <xf numFmtId="4" fontId="76" fillId="2" borderId="0" xfId="0" applyNumberFormat="1" applyFont="1" applyFill="1" applyBorder="1" applyAlignment="1" applyProtection="1">
      <alignment horizontal="center"/>
      <protection hidden="1"/>
    </xf>
    <xf numFmtId="165" fontId="6" fillId="21" borderId="32" xfId="0" applyNumberFormat="1" applyFont="1" applyFill="1" applyBorder="1" applyAlignment="1" applyProtection="1">
      <alignment horizontal="center" vertical="center"/>
      <protection locked="0"/>
    </xf>
    <xf numFmtId="165" fontId="0" fillId="21" borderId="32" xfId="0" applyNumberFormat="1" applyFill="1" applyBorder="1" applyAlignment="1" applyProtection="1">
      <alignment horizontal="center" vertical="center"/>
      <protection locked="0"/>
    </xf>
    <xf numFmtId="165" fontId="0" fillId="0" borderId="32" xfId="0" applyNumberFormat="1" applyBorder="1" applyAlignment="1" applyProtection="1">
      <alignment horizontal="center" vertical="center"/>
      <protection locked="0"/>
    </xf>
    <xf numFmtId="49" fontId="6" fillId="21" borderId="40" xfId="0" applyNumberFormat="1" applyFont="1" applyFill="1" applyBorder="1" applyAlignment="1" applyProtection="1">
      <alignment horizontal="left"/>
      <protection locked="0"/>
    </xf>
    <xf numFmtId="0" fontId="0" fillId="21" borderId="55" xfId="0" applyFill="1" applyBorder="1" applyAlignment="1" applyProtection="1">
      <protection locked="0"/>
    </xf>
    <xf numFmtId="49" fontId="11" fillId="21" borderId="1" xfId="0" applyNumberFormat="1" applyFont="1" applyFill="1" applyBorder="1" applyAlignment="1" applyProtection="1">
      <protection locked="0"/>
    </xf>
    <xf numFmtId="0" fontId="0" fillId="21" borderId="12" xfId="0" applyFill="1" applyBorder="1" applyAlignment="1" applyProtection="1">
      <protection locked="0"/>
    </xf>
    <xf numFmtId="37" fontId="6" fillId="30" borderId="10" xfId="0" applyNumberFormat="1" applyFont="1" applyFill="1" applyBorder="1" applyAlignment="1" applyProtection="1">
      <alignment horizontal="right"/>
      <protection hidden="1"/>
    </xf>
    <xf numFmtId="37" fontId="6" fillId="30" borderId="1" xfId="0" applyNumberFormat="1" applyFont="1" applyFill="1" applyBorder="1" applyAlignment="1" applyProtection="1">
      <alignment horizontal="right"/>
      <protection hidden="1"/>
    </xf>
    <xf numFmtId="165" fontId="0" fillId="21" borderId="10" xfId="0" applyNumberFormat="1" applyFill="1" applyBorder="1" applyAlignment="1" applyProtection="1">
      <alignment horizontal="center"/>
      <protection locked="0"/>
    </xf>
    <xf numFmtId="165" fontId="0" fillId="21" borderId="1" xfId="0" applyNumberFormat="1" applyFill="1" applyBorder="1" applyAlignment="1">
      <alignment horizontal="center"/>
    </xf>
    <xf numFmtId="49" fontId="11" fillId="21" borderId="32" xfId="0" applyNumberFormat="1" applyFont="1" applyFill="1" applyBorder="1" applyAlignment="1" applyProtection="1">
      <protection locked="0"/>
    </xf>
    <xf numFmtId="0" fontId="0" fillId="21" borderId="32" xfId="0" applyFill="1" applyBorder="1" applyAlignment="1" applyProtection="1">
      <protection locked="0"/>
    </xf>
    <xf numFmtId="0" fontId="0" fillId="21" borderId="77" xfId="0" applyFill="1" applyBorder="1" applyAlignment="1" applyProtection="1">
      <protection locked="0"/>
    </xf>
    <xf numFmtId="49" fontId="16" fillId="21" borderId="1" xfId="0" applyNumberFormat="1" applyFont="1" applyFill="1" applyBorder="1" applyAlignment="1" applyProtection="1">
      <alignment horizontal="left" vertical="center"/>
      <protection locked="0"/>
    </xf>
    <xf numFmtId="165" fontId="16" fillId="21" borderId="1" xfId="0" applyNumberFormat="1" applyFont="1" applyFill="1" applyBorder="1" applyAlignment="1" applyProtection="1">
      <alignment horizontal="left" vertical="center"/>
      <protection locked="0"/>
    </xf>
    <xf numFmtId="0" fontId="17" fillId="2" borderId="31" xfId="0" applyFont="1" applyFill="1" applyBorder="1" applyAlignment="1" applyProtection="1">
      <alignment horizontal="left"/>
      <protection hidden="1"/>
    </xf>
    <xf numFmtId="0" fontId="0" fillId="0" borderId="9" xfId="0" applyBorder="1" applyAlignment="1" applyProtection="1">
      <protection hidden="1"/>
    </xf>
    <xf numFmtId="14" fontId="4" fillId="20" borderId="10" xfId="0" applyNumberFormat="1" applyFont="1" applyFill="1" applyBorder="1" applyAlignment="1" applyProtection="1">
      <alignment horizontal="center"/>
      <protection locked="0"/>
    </xf>
    <xf numFmtId="14" fontId="4" fillId="20" borderId="1" xfId="0" applyNumberFormat="1" applyFont="1" applyFill="1" applyBorder="1" applyAlignment="1" applyProtection="1">
      <alignment horizontal="center"/>
      <protection locked="0"/>
    </xf>
    <xf numFmtId="14" fontId="19" fillId="20" borderId="1" xfId="0" applyNumberFormat="1" applyFont="1" applyFill="1" applyBorder="1" applyAlignment="1" applyProtection="1">
      <alignment horizontal="center"/>
      <protection locked="0"/>
    </xf>
    <xf numFmtId="0" fontId="0" fillId="20" borderId="12" xfId="0" applyFill="1" applyBorder="1" applyAlignment="1" applyProtection="1">
      <alignment horizontal="center"/>
      <protection locked="0"/>
    </xf>
    <xf numFmtId="37" fontId="6" fillId="30" borderId="40" xfId="0" applyNumberFormat="1" applyFont="1" applyFill="1" applyBorder="1" applyAlignment="1" applyProtection="1">
      <alignment horizontal="right"/>
      <protection locked="0"/>
    </xf>
    <xf numFmtId="37" fontId="6" fillId="30" borderId="26" xfId="0" applyNumberFormat="1" applyFont="1" applyFill="1" applyBorder="1" applyAlignment="1" applyProtection="1">
      <alignment horizontal="right"/>
      <protection locked="0"/>
    </xf>
    <xf numFmtId="0" fontId="11" fillId="21" borderId="10" xfId="0" applyFont="1" applyFill="1" applyBorder="1" applyAlignment="1" applyProtection="1">
      <alignment horizontal="left"/>
      <protection locked="0"/>
    </xf>
    <xf numFmtId="0" fontId="4" fillId="21" borderId="12" xfId="0" applyFont="1" applyFill="1" applyBorder="1" applyAlignment="1" applyProtection="1">
      <alignment horizontal="left"/>
      <protection locked="0"/>
    </xf>
    <xf numFmtId="49" fontId="4" fillId="20" borderId="1" xfId="0" applyNumberFormat="1" applyFont="1" applyFill="1" applyBorder="1" applyAlignment="1" applyProtection="1">
      <alignment horizontal="left"/>
      <protection locked="0"/>
    </xf>
    <xf numFmtId="0" fontId="0" fillId="20" borderId="1" xfId="0" applyFill="1" applyBorder="1" applyAlignment="1" applyProtection="1">
      <alignment horizontal="left"/>
      <protection locked="0"/>
    </xf>
    <xf numFmtId="0" fontId="0" fillId="20" borderId="12" xfId="0" applyFill="1" applyBorder="1" applyAlignment="1" applyProtection="1">
      <alignment horizontal="left"/>
      <protection locked="0"/>
    </xf>
    <xf numFmtId="0" fontId="8" fillId="2" borderId="0" xfId="0" applyFont="1" applyFill="1" applyAlignment="1">
      <alignment horizontal="left" wrapText="1"/>
    </xf>
    <xf numFmtId="0" fontId="8" fillId="0" borderId="0" xfId="0" applyFont="1" applyAlignment="1">
      <alignment horizontal="left" wrapText="1"/>
    </xf>
    <xf numFmtId="6" fontId="17" fillId="2" borderId="0" xfId="0" applyNumberFormat="1" applyFont="1" applyFill="1" applyBorder="1" applyAlignment="1" applyProtection="1">
      <alignment horizontal="left" vertical="top" wrapText="1"/>
      <protection hidden="1"/>
    </xf>
    <xf numFmtId="0" fontId="17" fillId="0" borderId="0" xfId="0" applyFont="1" applyAlignment="1">
      <alignment horizontal="left" vertical="top" wrapText="1"/>
    </xf>
    <xf numFmtId="0" fontId="8" fillId="23" borderId="3" xfId="0" applyFont="1" applyFill="1" applyBorder="1" applyAlignment="1" applyProtection="1">
      <protection hidden="1"/>
    </xf>
    <xf numFmtId="0" fontId="8" fillId="23" borderId="25" xfId="0" applyFont="1" applyFill="1" applyBorder="1" applyAlignment="1"/>
    <xf numFmtId="1" fontId="11" fillId="21" borderId="10" xfId="0" applyNumberFormat="1" applyFont="1" applyFill="1" applyBorder="1" applyAlignment="1" applyProtection="1">
      <alignment horizontal="left"/>
      <protection locked="0"/>
    </xf>
    <xf numFmtId="1" fontId="4" fillId="21" borderId="12" xfId="0" applyNumberFormat="1" applyFont="1" applyFill="1" applyBorder="1" applyAlignment="1" applyProtection="1">
      <alignment horizontal="left"/>
      <protection locked="0"/>
    </xf>
    <xf numFmtId="3" fontId="11" fillId="21" borderId="98" xfId="0" applyNumberFormat="1" applyFont="1" applyFill="1" applyBorder="1" applyAlignment="1" applyProtection="1">
      <alignment horizontal="center"/>
      <protection locked="0"/>
    </xf>
    <xf numFmtId="0" fontId="0" fillId="21" borderId="98" xfId="0" applyFill="1" applyBorder="1" applyAlignment="1" applyProtection="1">
      <alignment horizontal="center"/>
      <protection locked="0"/>
    </xf>
    <xf numFmtId="49" fontId="6" fillId="21" borderId="26" xfId="0" applyNumberFormat="1" applyFont="1" applyFill="1" applyBorder="1" applyAlignment="1" applyProtection="1">
      <alignment horizontal="center"/>
      <protection locked="0"/>
    </xf>
    <xf numFmtId="49" fontId="5" fillId="21" borderId="26" xfId="0" applyNumberFormat="1" applyFont="1" applyFill="1" applyBorder="1" applyAlignment="1" applyProtection="1">
      <alignment horizontal="center"/>
      <protection locked="0"/>
    </xf>
    <xf numFmtId="49" fontId="0" fillId="21" borderId="26" xfId="0" applyNumberFormat="1" applyFill="1" applyBorder="1" applyAlignment="1" applyProtection="1">
      <protection locked="0"/>
    </xf>
    <xf numFmtId="49" fontId="0" fillId="21" borderId="94" xfId="0" applyNumberFormat="1" applyFill="1" applyBorder="1" applyAlignment="1" applyProtection="1">
      <protection locked="0"/>
    </xf>
    <xf numFmtId="0" fontId="8" fillId="2" borderId="0" xfId="0" applyFont="1" applyFill="1" applyBorder="1" applyAlignment="1" applyProtection="1">
      <alignment horizontal="left" wrapText="1"/>
      <protection hidden="1"/>
    </xf>
    <xf numFmtId="0" fontId="107" fillId="2" borderId="3" xfId="0" applyFont="1" applyFill="1" applyBorder="1" applyAlignment="1" applyProtection="1">
      <alignment horizontal="left"/>
      <protection hidden="1"/>
    </xf>
    <xf numFmtId="0" fontId="107" fillId="2" borderId="0" xfId="0" applyFont="1" applyFill="1" applyAlignment="1" applyProtection="1">
      <alignment horizontal="left"/>
      <protection hidden="1"/>
    </xf>
    <xf numFmtId="0" fontId="90" fillId="2" borderId="3" xfId="0" applyFont="1" applyFill="1" applyBorder="1" applyAlignment="1" applyProtection="1">
      <alignment horizontal="left"/>
      <protection hidden="1"/>
    </xf>
    <xf numFmtId="0" fontId="90" fillId="2" borderId="0" xfId="0" applyFont="1" applyFill="1" applyAlignment="1" applyProtection="1">
      <alignment horizontal="left"/>
      <protection hidden="1"/>
    </xf>
    <xf numFmtId="0" fontId="16" fillId="2" borderId="17" xfId="0" applyFont="1" applyFill="1" applyBorder="1" applyAlignment="1" applyProtection="1">
      <alignment vertical="center"/>
      <protection hidden="1"/>
    </xf>
    <xf numFmtId="0" fontId="0" fillId="0" borderId="17" xfId="0" applyBorder="1" applyAlignment="1">
      <alignment vertical="center"/>
    </xf>
    <xf numFmtId="0" fontId="16" fillId="2" borderId="0" xfId="0" applyFont="1" applyFill="1" applyBorder="1" applyAlignment="1" applyProtection="1">
      <protection hidden="1"/>
    </xf>
    <xf numFmtId="3" fontId="7" fillId="23" borderId="9" xfId="0" applyNumberFormat="1" applyFont="1" applyFill="1" applyBorder="1" applyAlignment="1" applyProtection="1">
      <protection locked="0"/>
    </xf>
    <xf numFmtId="0" fontId="0" fillId="23" borderId="9" xfId="0" applyFill="1" applyBorder="1" applyAlignment="1" applyProtection="1">
      <protection locked="0"/>
    </xf>
    <xf numFmtId="0" fontId="17" fillId="2" borderId="9" xfId="0" applyFont="1" applyFill="1" applyBorder="1" applyAlignment="1" applyProtection="1">
      <alignment horizontal="left"/>
      <protection hidden="1"/>
    </xf>
    <xf numFmtId="0" fontId="0" fillId="0" borderId="15" xfId="0" applyBorder="1" applyAlignment="1" applyProtection="1">
      <protection hidden="1"/>
    </xf>
    <xf numFmtId="6" fontId="8" fillId="2" borderId="0" xfId="0" applyNumberFormat="1" applyFont="1" applyFill="1" applyBorder="1" applyAlignment="1" applyProtection="1">
      <alignment horizontal="left" vertical="top" wrapText="1"/>
      <protection hidden="1"/>
    </xf>
    <xf numFmtId="0" fontId="0" fillId="0" borderId="0" xfId="0" applyAlignment="1">
      <alignment wrapText="1"/>
    </xf>
    <xf numFmtId="3" fontId="1" fillId="21" borderId="26" xfId="0" applyNumberFormat="1" applyFont="1" applyFill="1" applyBorder="1" applyAlignment="1" applyProtection="1">
      <protection locked="0"/>
    </xf>
    <xf numFmtId="3" fontId="4" fillId="21" borderId="26" xfId="0" applyNumberFormat="1" applyFont="1" applyFill="1" applyBorder="1" applyAlignment="1" applyProtection="1">
      <protection locked="0"/>
    </xf>
    <xf numFmtId="3" fontId="4" fillId="24" borderId="26" xfId="0" applyNumberFormat="1" applyFont="1" applyFill="1" applyBorder="1" applyAlignment="1" applyProtection="1">
      <protection locked="0"/>
    </xf>
    <xf numFmtId="0" fontId="11" fillId="21" borderId="10" xfId="0" applyFont="1" applyFill="1" applyBorder="1" applyAlignment="1" applyProtection="1">
      <alignment horizontal="center"/>
      <protection locked="0"/>
    </xf>
    <xf numFmtId="0" fontId="0" fillId="0" borderId="12" xfId="0" applyBorder="1" applyAlignment="1" applyProtection="1">
      <alignment horizontal="center"/>
      <protection locked="0"/>
    </xf>
    <xf numFmtId="4" fontId="8" fillId="2" borderId="10" xfId="0" applyNumberFormat="1" applyFont="1" applyFill="1" applyBorder="1" applyAlignment="1" applyProtection="1">
      <alignment horizontal="center"/>
      <protection hidden="1"/>
    </xf>
    <xf numFmtId="0" fontId="0" fillId="0" borderId="1" xfId="0" applyBorder="1" applyAlignment="1">
      <alignment horizontal="center"/>
    </xf>
    <xf numFmtId="0" fontId="0" fillId="0" borderId="12" xfId="0" applyBorder="1" applyAlignment="1">
      <alignment horizontal="center"/>
    </xf>
    <xf numFmtId="4" fontId="8" fillId="2" borderId="3" xfId="0" applyNumberFormat="1" applyFont="1" applyFill="1" applyBorder="1" applyAlignment="1" applyProtection="1">
      <alignment horizontal="center"/>
      <protection hidden="1"/>
    </xf>
    <xf numFmtId="0" fontId="0" fillId="0" borderId="0" xfId="0" applyAlignment="1">
      <alignment horizontal="center"/>
    </xf>
    <xf numFmtId="0" fontId="0" fillId="0" borderId="25" xfId="0" applyBorder="1" applyAlignment="1">
      <alignment horizontal="center"/>
    </xf>
    <xf numFmtId="166" fontId="7" fillId="21" borderId="4" xfId="0" applyNumberFormat="1" applyFont="1" applyFill="1" applyBorder="1" applyAlignment="1" applyProtection="1">
      <alignment horizontal="center"/>
      <protection locked="0"/>
    </xf>
    <xf numFmtId="166" fontId="7" fillId="21" borderId="95" xfId="0" applyNumberFormat="1" applyFont="1" applyFill="1" applyBorder="1" applyAlignment="1" applyProtection="1">
      <alignment horizontal="center"/>
      <protection locked="0"/>
    </xf>
    <xf numFmtId="0" fontId="4" fillId="23" borderId="0" xfId="0" applyFont="1" applyFill="1" applyBorder="1" applyAlignment="1" applyProtection="1">
      <alignment horizontal="right"/>
      <protection hidden="1"/>
    </xf>
    <xf numFmtId="37" fontId="7" fillId="21" borderId="26" xfId="0" applyNumberFormat="1" applyFont="1" applyFill="1" applyBorder="1" applyAlignment="1" applyProtection="1">
      <protection locked="0"/>
    </xf>
    <xf numFmtId="0" fontId="5" fillId="23" borderId="0" xfId="0" applyFont="1" applyFill="1" applyBorder="1" applyAlignment="1" applyProtection="1">
      <alignment vertical="top" wrapText="1"/>
      <protection hidden="1"/>
    </xf>
    <xf numFmtId="0" fontId="0" fillId="23" borderId="0" xfId="0" applyFill="1" applyAlignment="1">
      <alignment wrapText="1"/>
    </xf>
    <xf numFmtId="0" fontId="0" fillId="23" borderId="25" xfId="0" applyFill="1" applyBorder="1" applyAlignment="1">
      <alignment wrapText="1"/>
    </xf>
    <xf numFmtId="4" fontId="8" fillId="23" borderId="0" xfId="0" applyNumberFormat="1" applyFont="1" applyFill="1" applyBorder="1" applyAlignment="1" applyProtection="1">
      <alignment vertical="center" wrapText="1"/>
      <protection hidden="1"/>
    </xf>
    <xf numFmtId="0" fontId="8" fillId="23" borderId="0" xfId="0" applyFont="1" applyFill="1" applyAlignment="1">
      <alignment vertical="center" wrapText="1"/>
    </xf>
    <xf numFmtId="4" fontId="223" fillId="2" borderId="0" xfId="0" applyNumberFormat="1" applyFont="1" applyFill="1" applyBorder="1" applyAlignment="1" applyProtection="1">
      <alignment horizontal="center"/>
      <protection hidden="1"/>
    </xf>
    <xf numFmtId="0" fontId="223" fillId="0" borderId="0" xfId="0" applyFont="1" applyAlignment="1">
      <alignment horizontal="center"/>
    </xf>
    <xf numFmtId="40" fontId="161" fillId="2" borderId="0" xfId="0" applyNumberFormat="1" applyFont="1" applyFill="1" applyBorder="1" applyAlignment="1" applyProtection="1">
      <protection hidden="1"/>
    </xf>
    <xf numFmtId="40" fontId="161" fillId="0" borderId="0" xfId="0" applyNumberFormat="1" applyFont="1" applyAlignment="1" applyProtection="1">
      <protection hidden="1"/>
    </xf>
    <xf numFmtId="40" fontId="161" fillId="0" borderId="25" xfId="0" applyNumberFormat="1" applyFont="1" applyBorder="1" applyAlignment="1" applyProtection="1">
      <protection hidden="1"/>
    </xf>
    <xf numFmtId="37" fontId="1" fillId="21" borderId="40" xfId="0" applyNumberFormat="1" applyFont="1" applyFill="1" applyBorder="1" applyAlignment="1" applyProtection="1">
      <alignment horizontal="right"/>
      <protection locked="0"/>
    </xf>
    <xf numFmtId="37" fontId="1" fillId="21" borderId="26" xfId="0" applyNumberFormat="1" applyFont="1" applyFill="1" applyBorder="1" applyAlignment="1" applyProtection="1">
      <alignment horizontal="right"/>
      <protection locked="0"/>
    </xf>
    <xf numFmtId="0" fontId="0" fillId="21" borderId="26" xfId="0" applyFill="1" applyBorder="1" applyAlignment="1" applyProtection="1">
      <alignment horizontal="right"/>
      <protection locked="0"/>
    </xf>
    <xf numFmtId="0" fontId="0" fillId="21" borderId="55" xfId="0" applyFill="1" applyBorder="1" applyAlignment="1" applyProtection="1">
      <alignment horizontal="right"/>
      <protection locked="0"/>
    </xf>
    <xf numFmtId="37" fontId="1" fillId="21" borderId="10" xfId="0" applyNumberFormat="1" applyFont="1" applyFill="1" applyBorder="1" applyAlignment="1" applyProtection="1">
      <alignment horizontal="right"/>
      <protection locked="0"/>
    </xf>
    <xf numFmtId="37" fontId="1" fillId="21" borderId="1" xfId="0" applyNumberFormat="1" applyFont="1" applyFill="1" applyBorder="1" applyAlignment="1" applyProtection="1">
      <alignment horizontal="right"/>
      <protection locked="0"/>
    </xf>
    <xf numFmtId="0" fontId="0" fillId="21" borderId="1" xfId="0" applyFill="1" applyBorder="1" applyAlignment="1" applyProtection="1">
      <alignment horizontal="right"/>
      <protection locked="0"/>
    </xf>
    <xf numFmtId="0" fontId="0" fillId="21" borderId="12" xfId="0" applyFill="1" applyBorder="1" applyAlignment="1" applyProtection="1">
      <alignment horizontal="right"/>
      <protection locked="0"/>
    </xf>
    <xf numFmtId="0" fontId="5" fillId="23" borderId="1" xfId="0" applyFont="1" applyFill="1" applyBorder="1" applyAlignment="1" applyProtection="1">
      <alignment horizontal="center" vertical="center"/>
      <protection hidden="1"/>
    </xf>
    <xf numFmtId="0" fontId="0" fillId="23" borderId="1" xfId="0" applyFill="1" applyBorder="1" applyAlignment="1">
      <alignment horizontal="center"/>
    </xf>
    <xf numFmtId="3" fontId="4" fillId="21" borderId="1" xfId="0" applyNumberFormat="1" applyFont="1" applyFill="1" applyBorder="1" applyAlignment="1" applyProtection="1">
      <protection locked="0"/>
    </xf>
    <xf numFmtId="0" fontId="4" fillId="23" borderId="0" xfId="0" applyFont="1" applyFill="1" applyBorder="1" applyAlignment="1" applyProtection="1">
      <alignment horizontal="center"/>
      <protection locked="0"/>
    </xf>
    <xf numFmtId="0" fontId="4" fillId="23" borderId="0" xfId="0" applyFont="1" applyFill="1" applyAlignment="1" applyProtection="1">
      <alignment horizontal="center"/>
      <protection locked="0"/>
    </xf>
    <xf numFmtId="0" fontId="4" fillId="23" borderId="25" xfId="0" applyFont="1" applyFill="1" applyBorder="1" applyAlignment="1" applyProtection="1">
      <alignment horizontal="center"/>
      <protection locked="0"/>
    </xf>
    <xf numFmtId="166" fontId="11" fillId="21" borderId="40" xfId="0" applyNumberFormat="1" applyFont="1" applyFill="1" applyBorder="1" applyAlignment="1" applyProtection="1">
      <alignment horizontal="center"/>
      <protection locked="0"/>
    </xf>
    <xf numFmtId="0" fontId="0" fillId="21" borderId="26" xfId="0" applyFill="1" applyBorder="1" applyAlignment="1" applyProtection="1">
      <alignment horizontal="center"/>
      <protection locked="0"/>
    </xf>
    <xf numFmtId="0" fontId="0" fillId="21" borderId="55" xfId="0" applyFill="1" applyBorder="1" applyAlignment="1" applyProtection="1">
      <alignment horizontal="center"/>
      <protection locked="0"/>
    </xf>
    <xf numFmtId="3" fontId="6" fillId="23" borderId="93" xfId="0" applyNumberFormat="1" applyFont="1" applyFill="1" applyBorder="1" applyAlignment="1" applyProtection="1">
      <alignment horizontal="center"/>
      <protection locked="0"/>
    </xf>
    <xf numFmtId="0" fontId="1" fillId="23" borderId="93" xfId="0" applyFont="1" applyFill="1" applyBorder="1" applyAlignment="1" applyProtection="1">
      <alignment horizontal="center"/>
      <protection locked="0"/>
    </xf>
    <xf numFmtId="0" fontId="11" fillId="21" borderId="4" xfId="0" applyFont="1" applyFill="1" applyBorder="1" applyAlignment="1" applyProtection="1">
      <alignment horizontal="center"/>
      <protection locked="0"/>
    </xf>
    <xf numFmtId="0" fontId="1" fillId="21" borderId="4" xfId="0" applyFont="1" applyFill="1" applyBorder="1" applyAlignment="1" applyProtection="1">
      <alignment horizontal="center"/>
      <protection locked="0"/>
    </xf>
    <xf numFmtId="37" fontId="1" fillId="32" borderId="10" xfId="0" applyNumberFormat="1" applyFont="1" applyFill="1" applyBorder="1" applyAlignment="1" applyProtection="1">
      <alignment horizontal="right"/>
      <protection hidden="1"/>
    </xf>
    <xf numFmtId="37" fontId="1" fillId="32" borderId="1" xfId="0" applyNumberFormat="1" applyFont="1" applyFill="1" applyBorder="1" applyAlignment="1" applyProtection="1">
      <alignment horizontal="right"/>
      <protection hidden="1"/>
    </xf>
    <xf numFmtId="0" fontId="0" fillId="32" borderId="1" xfId="0" applyFill="1" applyBorder="1" applyAlignment="1" applyProtection="1">
      <alignment horizontal="right"/>
      <protection hidden="1"/>
    </xf>
    <xf numFmtId="0" fontId="0" fillId="32" borderId="12" xfId="0" applyFill="1" applyBorder="1" applyAlignment="1" applyProtection="1">
      <alignment horizontal="right"/>
      <protection hidden="1"/>
    </xf>
    <xf numFmtId="0" fontId="6" fillId="23" borderId="0" xfId="0" applyFont="1" applyFill="1" applyBorder="1" applyAlignment="1" applyProtection="1">
      <alignment horizontal="right" vertical="center" indent="1"/>
      <protection locked="0"/>
    </xf>
    <xf numFmtId="0" fontId="0" fillId="0" borderId="0" xfId="0" applyAlignment="1" applyProtection="1">
      <alignment horizontal="right" vertical="center" indent="1"/>
      <protection locked="0"/>
    </xf>
    <xf numFmtId="0" fontId="0" fillId="0" borderId="25" xfId="0" applyBorder="1" applyAlignment="1" applyProtection="1">
      <alignment horizontal="right" vertical="center" indent="1"/>
      <protection locked="0"/>
    </xf>
    <xf numFmtId="166" fontId="11" fillId="21" borderId="26" xfId="0" applyNumberFormat="1" applyFont="1" applyFill="1" applyBorder="1" applyAlignment="1" applyProtection="1">
      <alignment horizontal="center"/>
      <protection locked="0"/>
    </xf>
    <xf numFmtId="166" fontId="0" fillId="21" borderId="26" xfId="0" applyNumberFormat="1" applyFill="1" applyBorder="1" applyAlignment="1" applyProtection="1">
      <alignment horizontal="center"/>
      <protection locked="0"/>
    </xf>
    <xf numFmtId="0" fontId="10" fillId="21" borderId="1" xfId="0" applyFont="1" applyFill="1" applyBorder="1" applyAlignment="1" applyProtection="1">
      <alignment horizontal="left" indent="1"/>
      <protection locked="0"/>
    </xf>
    <xf numFmtId="0" fontId="10" fillId="21" borderId="12" xfId="0" applyFont="1" applyFill="1" applyBorder="1" applyAlignment="1" applyProtection="1">
      <alignment horizontal="left" indent="1"/>
      <protection locked="0"/>
    </xf>
    <xf numFmtId="0" fontId="5" fillId="2" borderId="0" xfId="0" applyFont="1" applyFill="1" applyBorder="1" applyAlignment="1" applyProtection="1">
      <protection hidden="1"/>
    </xf>
    <xf numFmtId="0" fontId="5" fillId="0" borderId="0" xfId="0" applyFont="1" applyAlignment="1"/>
    <xf numFmtId="0" fontId="10" fillId="21" borderId="10" xfId="0" applyFont="1" applyFill="1" applyBorder="1" applyAlignment="1" applyProtection="1">
      <alignment horizontal="left" indent="1"/>
      <protection locked="0"/>
    </xf>
    <xf numFmtId="0" fontId="17" fillId="23" borderId="36" xfId="0" applyFont="1" applyFill="1" applyBorder="1" applyAlignment="1" applyProtection="1">
      <alignment horizontal="center"/>
      <protection hidden="1"/>
    </xf>
    <xf numFmtId="0" fontId="17" fillId="23" borderId="14" xfId="0" applyFont="1" applyFill="1" applyBorder="1" applyAlignment="1">
      <alignment horizontal="center"/>
    </xf>
    <xf numFmtId="166" fontId="10" fillId="21" borderId="10" xfId="0" applyNumberFormat="1" applyFont="1" applyFill="1" applyBorder="1" applyAlignment="1" applyProtection="1">
      <alignment horizontal="center"/>
      <protection locked="0"/>
    </xf>
    <xf numFmtId="166" fontId="14" fillId="21" borderId="1" xfId="0" applyNumberFormat="1" applyFont="1" applyFill="1" applyBorder="1" applyAlignment="1" applyProtection="1">
      <alignment horizontal="center"/>
      <protection locked="0"/>
    </xf>
    <xf numFmtId="0" fontId="3" fillId="2" borderId="127" xfId="0" applyFont="1" applyFill="1" applyBorder="1" applyAlignment="1" applyProtection="1">
      <alignment horizontal="center"/>
      <protection hidden="1"/>
    </xf>
    <xf numFmtId="0" fontId="3" fillId="2" borderId="35" xfId="0" applyFont="1" applyFill="1" applyBorder="1" applyAlignment="1" applyProtection="1">
      <alignment horizontal="center"/>
      <protection hidden="1"/>
    </xf>
    <xf numFmtId="0" fontId="3" fillId="0" borderId="35" xfId="0" applyFont="1" applyBorder="1" applyAlignment="1">
      <alignment horizontal="center"/>
    </xf>
    <xf numFmtId="4" fontId="6" fillId="2" borderId="31" xfId="0" applyNumberFormat="1" applyFont="1" applyFill="1" applyBorder="1" applyAlignment="1" applyProtection="1">
      <alignment horizontal="center"/>
      <protection hidden="1"/>
    </xf>
    <xf numFmtId="4" fontId="6" fillId="2" borderId="9" xfId="0" applyNumberFormat="1" applyFont="1" applyFill="1" applyBorder="1" applyAlignment="1" applyProtection="1">
      <alignment horizontal="center"/>
      <protection hidden="1"/>
    </xf>
    <xf numFmtId="0" fontId="5" fillId="0" borderId="9" xfId="0" applyFont="1" applyBorder="1" applyAlignment="1">
      <alignment horizontal="center"/>
    </xf>
    <xf numFmtId="0" fontId="86" fillId="23" borderId="3" xfId="0" applyFont="1" applyFill="1" applyBorder="1" applyAlignment="1" applyProtection="1">
      <alignment horizontal="center" vertical="center"/>
    </xf>
    <xf numFmtId="0" fontId="86" fillId="23" borderId="0" xfId="0" applyFont="1" applyFill="1" applyBorder="1" applyAlignment="1" applyProtection="1">
      <alignment horizontal="center" vertical="center"/>
    </xf>
    <xf numFmtId="0" fontId="0" fillId="23" borderId="0" xfId="0" applyFill="1" applyBorder="1" applyAlignment="1" applyProtection="1">
      <alignment horizontal="center"/>
    </xf>
    <xf numFmtId="0" fontId="0" fillId="23" borderId="25" xfId="0" applyFill="1" applyBorder="1" applyAlignment="1" applyProtection="1">
      <alignment horizontal="center"/>
    </xf>
    <xf numFmtId="0" fontId="0" fillId="23" borderId="36" xfId="0" applyFill="1" applyBorder="1" applyAlignment="1" applyProtection="1">
      <alignment horizontal="center"/>
    </xf>
    <xf numFmtId="0" fontId="0" fillId="23" borderId="14" xfId="0" applyFill="1" applyBorder="1" applyAlignment="1" applyProtection="1">
      <alignment horizontal="center"/>
    </xf>
    <xf numFmtId="0" fontId="0" fillId="23" borderId="18" xfId="0" applyFill="1" applyBorder="1" applyAlignment="1" applyProtection="1">
      <alignment horizontal="center"/>
    </xf>
    <xf numFmtId="0" fontId="6" fillId="2" borderId="0" xfId="0" applyFont="1" applyFill="1" applyBorder="1" applyAlignment="1">
      <alignment horizontal="left" textRotation="90"/>
    </xf>
    <xf numFmtId="0" fontId="5" fillId="0" borderId="5" xfId="0" applyFont="1" applyBorder="1" applyAlignment="1">
      <alignment horizontal="left"/>
    </xf>
    <xf numFmtId="49" fontId="110" fillId="2" borderId="0" xfId="0" applyNumberFormat="1" applyFont="1" applyFill="1" applyBorder="1" applyAlignment="1" applyProtection="1">
      <alignment horizontal="center" vertical="center" wrapText="1"/>
      <protection hidden="1"/>
    </xf>
    <xf numFmtId="0" fontId="111" fillId="0" borderId="0" xfId="0" applyFont="1" applyBorder="1" applyAlignment="1">
      <alignment horizontal="center" wrapText="1"/>
    </xf>
    <xf numFmtId="0" fontId="111" fillId="0" borderId="5" xfId="0" applyFont="1" applyBorder="1" applyAlignment="1">
      <alignment horizontal="center" wrapText="1"/>
    </xf>
    <xf numFmtId="0" fontId="13" fillId="2" borderId="0" xfId="0" applyFont="1" applyFill="1" applyBorder="1" applyAlignment="1" applyProtection="1">
      <protection hidden="1"/>
    </xf>
    <xf numFmtId="0" fontId="14" fillId="0" borderId="0" xfId="0" applyFont="1" applyAlignment="1"/>
    <xf numFmtId="187" fontId="11" fillId="21" borderId="35" xfId="0" applyNumberFormat="1" applyFont="1" applyFill="1" applyBorder="1" applyAlignment="1" applyProtection="1">
      <alignment horizontal="center"/>
      <protection locked="0"/>
    </xf>
    <xf numFmtId="187" fontId="0" fillId="0" borderId="35" xfId="0" applyNumberFormat="1" applyBorder="1" applyAlignment="1" applyProtection="1">
      <alignment horizontal="center"/>
      <protection locked="0"/>
    </xf>
    <xf numFmtId="0" fontId="181" fillId="23" borderId="3" xfId="0" applyFont="1" applyFill="1" applyBorder="1" applyAlignment="1" applyProtection="1">
      <alignment horizontal="center"/>
      <protection hidden="1"/>
    </xf>
    <xf numFmtId="0" fontId="160" fillId="0" borderId="0" xfId="0" applyFont="1" applyAlignment="1">
      <alignment horizontal="center"/>
    </xf>
    <xf numFmtId="0" fontId="17" fillId="2" borderId="35" xfId="0" applyFont="1" applyFill="1" applyBorder="1" applyAlignment="1" applyProtection="1">
      <protection hidden="1"/>
    </xf>
    <xf numFmtId="0" fontId="0" fillId="0" borderId="35" xfId="0" applyBorder="1" applyAlignment="1"/>
    <xf numFmtId="176" fontId="11" fillId="21" borderId="35" xfId="0" applyNumberFormat="1" applyFont="1" applyFill="1" applyBorder="1" applyAlignment="1" applyProtection="1">
      <alignment horizontal="center"/>
      <protection locked="0"/>
    </xf>
    <xf numFmtId="0" fontId="8" fillId="0" borderId="35" xfId="0" applyFont="1" applyBorder="1" applyAlignment="1" applyProtection="1">
      <alignment horizontal="center"/>
      <protection locked="0"/>
    </xf>
    <xf numFmtId="0" fontId="8" fillId="0" borderId="136" xfId="0" applyFont="1" applyBorder="1" applyAlignment="1" applyProtection="1">
      <alignment horizontal="center"/>
      <protection locked="0"/>
    </xf>
    <xf numFmtId="49" fontId="10" fillId="21" borderId="10" xfId="0" applyNumberFormat="1" applyFont="1" applyFill="1" applyBorder="1" applyAlignment="1" applyProtection="1">
      <alignment horizontal="center"/>
      <protection locked="0"/>
    </xf>
    <xf numFmtId="49" fontId="13" fillId="21" borderId="1" xfId="0" applyNumberFormat="1" applyFont="1" applyFill="1" applyBorder="1" applyAlignment="1" applyProtection="1">
      <alignment horizontal="center"/>
      <protection locked="0"/>
    </xf>
    <xf numFmtId="0" fontId="13" fillId="21" borderId="12" xfId="0" applyFont="1" applyFill="1" applyBorder="1" applyAlignment="1" applyProtection="1">
      <alignment horizontal="center"/>
      <protection locked="0"/>
    </xf>
    <xf numFmtId="0" fontId="5" fillId="0" borderId="21" xfId="0" applyFont="1" applyBorder="1" applyAlignment="1"/>
    <xf numFmtId="0" fontId="12" fillId="23" borderId="3" xfId="0" applyFont="1" applyFill="1" applyBorder="1" applyAlignment="1" applyProtection="1">
      <alignment horizontal="center"/>
      <protection hidden="1"/>
    </xf>
    <xf numFmtId="0" fontId="12" fillId="23" borderId="0" xfId="0" applyFont="1" applyFill="1" applyBorder="1" applyAlignment="1" applyProtection="1">
      <alignment horizontal="center"/>
      <protection hidden="1"/>
    </xf>
    <xf numFmtId="0" fontId="0" fillId="23" borderId="0" xfId="0" applyFill="1" applyBorder="1" applyAlignment="1">
      <alignment horizontal="center"/>
    </xf>
    <xf numFmtId="0" fontId="0" fillId="23" borderId="25" xfId="0" applyFill="1" applyBorder="1" applyAlignment="1">
      <alignment horizontal="center"/>
    </xf>
    <xf numFmtId="0" fontId="8" fillId="23" borderId="10" xfId="0" applyFont="1" applyFill="1" applyBorder="1" applyAlignment="1" applyProtection="1">
      <alignment horizontal="center"/>
      <protection hidden="1"/>
    </xf>
    <xf numFmtId="0" fontId="8" fillId="23" borderId="1" xfId="0" applyFont="1" applyFill="1" applyBorder="1" applyAlignment="1" applyProtection="1">
      <alignment horizontal="center"/>
      <protection hidden="1"/>
    </xf>
    <xf numFmtId="0" fontId="0" fillId="23" borderId="12" xfId="0" applyFill="1" applyBorder="1" applyAlignment="1">
      <alignment horizontal="center"/>
    </xf>
    <xf numFmtId="49" fontId="11" fillId="21" borderId="26" xfId="0" applyNumberFormat="1" applyFont="1" applyFill="1" applyBorder="1" applyAlignment="1" applyProtection="1">
      <protection locked="0"/>
    </xf>
    <xf numFmtId="49" fontId="11" fillId="21" borderId="55" xfId="0" applyNumberFormat="1" applyFont="1" applyFill="1" applyBorder="1" applyAlignment="1" applyProtection="1">
      <protection locked="0"/>
    </xf>
    <xf numFmtId="0" fontId="4" fillId="23" borderId="8" xfId="0" applyFont="1" applyFill="1" applyBorder="1" applyAlignment="1" applyProtection="1">
      <alignment horizontal="right"/>
      <protection locked="0" hidden="1"/>
    </xf>
    <xf numFmtId="0" fontId="0" fillId="23" borderId="37" xfId="0" applyFill="1" applyBorder="1" applyAlignment="1" applyProtection="1">
      <alignment horizontal="right"/>
      <protection locked="0" hidden="1"/>
    </xf>
    <xf numFmtId="0" fontId="78" fillId="6" borderId="6" xfId="2" applyFill="1" applyBorder="1" applyAlignment="1" applyProtection="1">
      <alignment horizontal="center"/>
      <protection hidden="1"/>
    </xf>
    <xf numFmtId="4" fontId="6" fillId="2" borderId="3" xfId="0" applyNumberFormat="1" applyFont="1" applyFill="1" applyBorder="1" applyAlignment="1" applyProtection="1">
      <alignment horizontal="center"/>
      <protection hidden="1"/>
    </xf>
    <xf numFmtId="4" fontId="6" fillId="2" borderId="0" xfId="0" applyNumberFormat="1" applyFont="1" applyFill="1" applyBorder="1" applyAlignment="1" applyProtection="1">
      <alignment horizontal="center"/>
      <protection hidden="1"/>
    </xf>
    <xf numFmtId="0" fontId="5" fillId="0" borderId="0" xfId="0" applyFont="1" applyBorder="1" applyAlignment="1">
      <alignment horizontal="center"/>
    </xf>
    <xf numFmtId="166" fontId="4" fillId="21" borderId="1" xfId="0" applyNumberFormat="1" applyFont="1" applyFill="1" applyBorder="1" applyAlignment="1" applyProtection="1">
      <alignment horizontal="center"/>
      <protection locked="0"/>
    </xf>
    <xf numFmtId="4" fontId="8" fillId="23" borderId="0" xfId="0" applyNumberFormat="1" applyFont="1" applyFill="1" applyBorder="1" applyAlignment="1" applyProtection="1">
      <alignment horizontal="center" vertical="center" wrapText="1"/>
      <protection hidden="1"/>
    </xf>
    <xf numFmtId="0" fontId="8" fillId="23" borderId="0" xfId="0" applyFont="1" applyFill="1" applyBorder="1" applyAlignment="1" applyProtection="1">
      <alignment horizontal="center" vertical="center" wrapText="1"/>
      <protection hidden="1"/>
    </xf>
    <xf numFmtId="0" fontId="8" fillId="23" borderId="0" xfId="0" applyFont="1" applyFill="1" applyBorder="1" applyAlignment="1" applyProtection="1">
      <alignment horizontal="center" vertical="center"/>
      <protection hidden="1"/>
    </xf>
    <xf numFmtId="0" fontId="8" fillId="23" borderId="1" xfId="0" applyFont="1" applyFill="1" applyBorder="1" applyAlignment="1" applyProtection="1">
      <alignment horizontal="center" vertical="center" wrapText="1"/>
      <protection hidden="1"/>
    </xf>
    <xf numFmtId="0" fontId="8" fillId="23" borderId="1" xfId="0" applyFont="1" applyFill="1" applyBorder="1" applyAlignment="1" applyProtection="1">
      <alignment horizontal="center" vertical="center"/>
      <protection hidden="1"/>
    </xf>
    <xf numFmtId="4" fontId="17" fillId="23" borderId="9" xfId="0" applyNumberFormat="1" applyFont="1" applyFill="1" applyBorder="1" applyAlignment="1" applyProtection="1">
      <alignment vertical="top" wrapText="1"/>
      <protection hidden="1"/>
    </xf>
    <xf numFmtId="0" fontId="17" fillId="23" borderId="9" xfId="0" applyFont="1" applyFill="1" applyBorder="1" applyAlignment="1">
      <alignment vertical="top" wrapText="1"/>
    </xf>
    <xf numFmtId="4" fontId="17" fillId="23" borderId="0" xfId="0" applyNumberFormat="1" applyFont="1" applyFill="1" applyBorder="1" applyAlignment="1" applyProtection="1">
      <alignment vertical="top" wrapText="1"/>
      <protection hidden="1"/>
    </xf>
    <xf numFmtId="0" fontId="17" fillId="23" borderId="0" xfId="0" applyFont="1" applyFill="1" applyBorder="1" applyAlignment="1">
      <alignment vertical="top" wrapText="1"/>
    </xf>
    <xf numFmtId="0" fontId="11" fillId="23" borderId="31" xfId="0" applyFont="1" applyFill="1" applyBorder="1" applyAlignment="1" applyProtection="1">
      <alignment horizontal="center"/>
      <protection hidden="1"/>
    </xf>
    <xf numFmtId="0" fontId="4" fillId="23" borderId="9" xfId="0" applyFont="1" applyFill="1" applyBorder="1" applyAlignment="1">
      <alignment horizontal="center"/>
    </xf>
    <xf numFmtId="0" fontId="0" fillId="21" borderId="1" xfId="0" applyFill="1" applyBorder="1" applyAlignment="1" applyProtection="1">
      <alignment horizontal="center"/>
      <protection locked="0"/>
    </xf>
    <xf numFmtId="0" fontId="11" fillId="23" borderId="31" xfId="0" applyFont="1" applyFill="1" applyBorder="1" applyAlignment="1" applyProtection="1">
      <alignment horizontal="center" vertical="center"/>
      <protection hidden="1"/>
    </xf>
    <xf numFmtId="0" fontId="11" fillId="23" borderId="9" xfId="0" applyFont="1" applyFill="1" applyBorder="1" applyAlignment="1" applyProtection="1">
      <alignment horizontal="center" vertical="center"/>
      <protection hidden="1"/>
    </xf>
    <xf numFmtId="0" fontId="0" fillId="23" borderId="9" xfId="0" applyFill="1" applyBorder="1" applyAlignment="1">
      <alignment horizontal="center" vertical="center"/>
    </xf>
    <xf numFmtId="0" fontId="0" fillId="23" borderId="15" xfId="0" applyFill="1" applyBorder="1" applyAlignment="1">
      <alignment horizontal="center" vertical="center"/>
    </xf>
    <xf numFmtId="0" fontId="17" fillId="23" borderId="3" xfId="0" applyFont="1" applyFill="1" applyBorder="1" applyAlignment="1" applyProtection="1">
      <alignment horizontal="center" vertical="center"/>
      <protection hidden="1"/>
    </xf>
    <xf numFmtId="0" fontId="0" fillId="23" borderId="0" xfId="0" applyFill="1" applyAlignment="1">
      <alignment horizontal="center" vertical="center"/>
    </xf>
    <xf numFmtId="0" fontId="10" fillId="21" borderId="1" xfId="0" applyFont="1" applyFill="1" applyBorder="1" applyAlignment="1" applyProtection="1">
      <alignment horizontal="left" vertical="center" indent="1"/>
      <protection locked="0"/>
    </xf>
    <xf numFmtId="0" fontId="14" fillId="21" borderId="1" xfId="0" applyFont="1" applyFill="1" applyBorder="1" applyAlignment="1" applyProtection="1">
      <alignment horizontal="left" indent="1"/>
      <protection locked="0"/>
    </xf>
    <xf numFmtId="0" fontId="14" fillId="21" borderId="12" xfId="0" applyFont="1" applyFill="1" applyBorder="1" applyAlignment="1" applyProtection="1">
      <alignment horizontal="left" indent="1"/>
      <protection locked="0"/>
    </xf>
    <xf numFmtId="4" fontId="248" fillId="20" borderId="38" xfId="0" applyNumberFormat="1" applyFont="1" applyFill="1" applyBorder="1" applyAlignment="1" applyProtection="1">
      <alignment horizontal="center" vertical="center" wrapText="1"/>
      <protection hidden="1"/>
    </xf>
    <xf numFmtId="0" fontId="243" fillId="0" borderId="39" xfId="0" applyFont="1" applyBorder="1" applyAlignment="1">
      <alignment horizontal="center" vertical="center" wrapText="1"/>
    </xf>
    <xf numFmtId="0" fontId="8" fillId="2" borderId="26" xfId="0" applyFont="1" applyFill="1" applyBorder="1" applyAlignment="1" applyProtection="1">
      <alignment horizontal="left" vertical="center"/>
      <protection hidden="1"/>
    </xf>
    <xf numFmtId="0" fontId="8" fillId="0" borderId="26" xfId="0" applyFont="1" applyBorder="1" applyAlignment="1" applyProtection="1">
      <alignment horizontal="left" vertical="center"/>
      <protection hidden="1"/>
    </xf>
    <xf numFmtId="0" fontId="0" fillId="0" borderId="26" xfId="0" applyBorder="1" applyAlignment="1" applyProtection="1">
      <alignment horizontal="left"/>
      <protection hidden="1"/>
    </xf>
    <xf numFmtId="0" fontId="11" fillId="20" borderId="10" xfId="0" applyFont="1" applyFill="1" applyBorder="1" applyAlignment="1" applyProtection="1">
      <alignment horizontal="center"/>
      <protection locked="0"/>
    </xf>
    <xf numFmtId="0" fontId="0" fillId="20" borderId="1" xfId="0" applyFill="1" applyBorder="1" applyAlignment="1" applyProtection="1">
      <alignment horizontal="center"/>
      <protection locked="0"/>
    </xf>
    <xf numFmtId="4" fontId="248" fillId="0" borderId="3" xfId="0" applyNumberFormat="1" applyFont="1" applyFill="1" applyBorder="1" applyAlignment="1" applyProtection="1">
      <alignment horizontal="center"/>
      <protection hidden="1"/>
    </xf>
    <xf numFmtId="0" fontId="243" fillId="0" borderId="0" xfId="0" applyFont="1" applyAlignment="1">
      <alignment horizontal="center"/>
    </xf>
    <xf numFmtId="3" fontId="6" fillId="21" borderId="96" xfId="0" applyNumberFormat="1" applyFont="1" applyFill="1" applyBorder="1" applyAlignment="1" applyProtection="1">
      <alignment horizontal="center"/>
      <protection locked="0"/>
    </xf>
    <xf numFmtId="0" fontId="0" fillId="21" borderId="96" xfId="0" applyFill="1" applyBorder="1" applyAlignment="1" applyProtection="1">
      <protection locked="0"/>
    </xf>
    <xf numFmtId="0" fontId="0" fillId="21" borderId="97" xfId="0" applyFill="1" applyBorder="1" applyAlignment="1" applyProtection="1">
      <protection locked="0"/>
    </xf>
    <xf numFmtId="0" fontId="3" fillId="5" borderId="3" xfId="0" applyFont="1" applyFill="1" applyBorder="1" applyAlignment="1" applyProtection="1">
      <alignment horizontal="center" vertical="center"/>
      <protection hidden="1"/>
    </xf>
    <xf numFmtId="0" fontId="0" fillId="0" borderId="0" xfId="0" applyAlignment="1">
      <alignment horizontal="center" vertical="center"/>
    </xf>
    <xf numFmtId="165" fontId="5" fillId="2" borderId="10" xfId="0" applyNumberFormat="1" applyFont="1" applyFill="1" applyBorder="1" applyAlignment="1" applyProtection="1">
      <alignment horizontal="center" vertical="center"/>
      <protection locked="0"/>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90" fillId="2" borderId="3" xfId="0" applyNumberFormat="1" applyFont="1" applyFill="1" applyBorder="1" applyAlignment="1" applyProtection="1">
      <alignment horizontal="center"/>
      <protection hidden="1"/>
    </xf>
    <xf numFmtId="0" fontId="107" fillId="0" borderId="0" xfId="0" applyNumberFormat="1" applyFont="1" applyAlignment="1">
      <alignment horizontal="center"/>
    </xf>
    <xf numFmtId="0" fontId="90" fillId="2" borderId="3" xfId="0" applyNumberFormat="1" applyFont="1" applyFill="1" applyBorder="1" applyAlignment="1" applyProtection="1">
      <alignment horizontal="center" vertical="center"/>
      <protection hidden="1"/>
    </xf>
    <xf numFmtId="0" fontId="107" fillId="0" borderId="0" xfId="0" applyNumberFormat="1" applyFont="1" applyAlignment="1">
      <alignment horizontal="center" vertical="center"/>
    </xf>
    <xf numFmtId="0" fontId="4" fillId="30" borderId="24" xfId="0" applyNumberFormat="1" applyFont="1" applyFill="1" applyBorder="1" applyAlignment="1" applyProtection="1">
      <alignment horizontal="center" vertical="center"/>
      <protection hidden="1"/>
    </xf>
    <xf numFmtId="0" fontId="19" fillId="30" borderId="20" xfId="0" applyFont="1" applyFill="1" applyBorder="1" applyAlignment="1">
      <alignment horizontal="center"/>
    </xf>
    <xf numFmtId="0" fontId="19" fillId="30" borderId="22" xfId="0" applyFont="1" applyFill="1" applyBorder="1" applyAlignment="1">
      <alignment horizontal="center" vertical="center"/>
    </xf>
    <xf numFmtId="0" fontId="19" fillId="30" borderId="23" xfId="0" applyFont="1" applyFill="1" applyBorder="1" applyAlignment="1">
      <alignment horizontal="center"/>
    </xf>
    <xf numFmtId="49" fontId="17" fillId="23" borderId="1" xfId="0" applyNumberFormat="1" applyFont="1" applyFill="1" applyBorder="1" applyAlignment="1" applyProtection="1">
      <alignment horizontal="left" vertical="center" wrapText="1"/>
      <protection locked="0"/>
    </xf>
    <xf numFmtId="0" fontId="17" fillId="23" borderId="1" xfId="0" applyFont="1" applyFill="1" applyBorder="1" applyAlignment="1">
      <alignment wrapText="1"/>
    </xf>
    <xf numFmtId="0" fontId="1" fillId="20" borderId="59" xfId="0" applyFont="1" applyFill="1" applyBorder="1" applyAlignment="1" applyProtection="1">
      <alignment horizontal="left" wrapText="1"/>
      <protection hidden="1"/>
    </xf>
    <xf numFmtId="0" fontId="0" fillId="0" borderId="3" xfId="0" applyBorder="1" applyAlignment="1">
      <alignment horizontal="left" wrapText="1"/>
    </xf>
    <xf numFmtId="0" fontId="0" fillId="0" borderId="10" xfId="0" applyBorder="1" applyAlignment="1">
      <alignment horizontal="left" wrapText="1"/>
    </xf>
    <xf numFmtId="0" fontId="67" fillId="3" borderId="24" xfId="0" applyFont="1" applyFill="1" applyBorder="1" applyAlignment="1" applyProtection="1">
      <protection hidden="1"/>
    </xf>
    <xf numFmtId="0" fontId="0" fillId="0" borderId="8" xfId="0" applyBorder="1" applyAlignment="1"/>
    <xf numFmtId="0" fontId="0" fillId="0" borderId="6" xfId="0" applyBorder="1" applyAlignment="1"/>
    <xf numFmtId="0" fontId="163" fillId="2" borderId="0" xfId="0" applyFont="1" applyFill="1" applyBorder="1" applyAlignment="1" applyProtection="1">
      <alignment wrapText="1"/>
      <protection hidden="1"/>
    </xf>
    <xf numFmtId="4" fontId="23" fillId="2" borderId="0" xfId="0" applyNumberFormat="1" applyFont="1" applyFill="1" applyBorder="1" applyAlignment="1" applyProtection="1">
      <protection hidden="1"/>
    </xf>
    <xf numFmtId="0" fontId="78" fillId="14" borderId="64" xfId="2" applyFill="1" applyBorder="1" applyAlignment="1" applyProtection="1">
      <alignment horizontal="center"/>
    </xf>
    <xf numFmtId="0" fontId="0" fillId="0" borderId="65" xfId="0" applyBorder="1" applyAlignment="1">
      <alignment horizontal="center"/>
    </xf>
    <xf numFmtId="0" fontId="0" fillId="0" borderId="66" xfId="0" applyBorder="1" applyAlignment="1">
      <alignment horizontal="center"/>
    </xf>
    <xf numFmtId="4" fontId="76" fillId="2" borderId="31" xfId="0" applyNumberFormat="1" applyFont="1" applyFill="1" applyBorder="1" applyAlignment="1" applyProtection="1">
      <alignment horizontal="center"/>
      <protection hidden="1"/>
    </xf>
    <xf numFmtId="4" fontId="76" fillId="2" borderId="9" xfId="0" applyNumberFormat="1" applyFont="1" applyFill="1" applyBorder="1" applyAlignment="1" applyProtection="1">
      <alignment horizontal="center"/>
      <protection hidden="1"/>
    </xf>
    <xf numFmtId="0" fontId="0" fillId="21" borderId="12" xfId="0" applyFill="1" applyBorder="1" applyAlignment="1"/>
    <xf numFmtId="0" fontId="8" fillId="2" borderId="5" xfId="0" applyFont="1" applyFill="1" applyBorder="1" applyAlignment="1" applyProtection="1">
      <alignment horizontal="left" vertical="center"/>
      <protection hidden="1"/>
    </xf>
    <xf numFmtId="0" fontId="8" fillId="0" borderId="5" xfId="0" applyFont="1" applyBorder="1" applyAlignment="1" applyProtection="1">
      <alignment horizontal="left" vertical="center"/>
      <protection hidden="1"/>
    </xf>
    <xf numFmtId="0" fontId="8" fillId="0" borderId="5" xfId="0" applyFont="1" applyBorder="1" applyAlignment="1" applyProtection="1">
      <alignment horizontal="left"/>
      <protection hidden="1"/>
    </xf>
    <xf numFmtId="0" fontId="10" fillId="21" borderId="0" xfId="0" applyFont="1" applyFill="1" applyBorder="1" applyAlignment="1" applyProtection="1">
      <alignment horizontal="left" vertical="center" indent="1"/>
      <protection locked="0"/>
    </xf>
    <xf numFmtId="0" fontId="14" fillId="21" borderId="0" xfId="0" applyFont="1" applyFill="1" applyAlignment="1" applyProtection="1">
      <alignment horizontal="left" vertical="center" indent="1"/>
      <protection locked="0"/>
    </xf>
    <xf numFmtId="0" fontId="14" fillId="21" borderId="25" xfId="0" applyFont="1" applyFill="1" applyBorder="1" applyAlignment="1" applyProtection="1">
      <alignment horizontal="left" vertical="center" indent="1"/>
      <protection locked="0"/>
    </xf>
    <xf numFmtId="0" fontId="14" fillId="21" borderId="1" xfId="0" applyFont="1" applyFill="1" applyBorder="1" applyAlignment="1" applyProtection="1">
      <alignment horizontal="left" vertical="center" indent="1"/>
      <protection locked="0"/>
    </xf>
    <xf numFmtId="0" fontId="14" fillId="21" borderId="12" xfId="0" applyFont="1" applyFill="1" applyBorder="1" applyAlignment="1" applyProtection="1">
      <alignment horizontal="left" vertical="center" indent="1"/>
      <protection locked="0"/>
    </xf>
    <xf numFmtId="0" fontId="10" fillId="21" borderId="3" xfId="0" applyFont="1" applyFill="1" applyBorder="1" applyAlignment="1" applyProtection="1">
      <alignment horizontal="center" vertical="center"/>
      <protection locked="0"/>
    </xf>
    <xf numFmtId="0" fontId="10" fillId="21" borderId="0" xfId="0" applyFont="1" applyFill="1" applyAlignment="1" applyProtection="1">
      <alignment horizontal="center" vertical="center"/>
      <protection locked="0"/>
    </xf>
    <xf numFmtId="0" fontId="10" fillId="21" borderId="25" xfId="0" applyFont="1" applyFill="1" applyBorder="1" applyAlignment="1" applyProtection="1">
      <alignment horizontal="center" vertical="center"/>
      <protection locked="0"/>
    </xf>
    <xf numFmtId="0" fontId="10" fillId="21" borderId="10" xfId="0" applyFont="1" applyFill="1" applyBorder="1" applyAlignment="1" applyProtection="1">
      <alignment horizontal="center" vertical="center"/>
      <protection locked="0"/>
    </xf>
    <xf numFmtId="0" fontId="10" fillId="21" borderId="1" xfId="0" applyFont="1" applyFill="1" applyBorder="1" applyAlignment="1" applyProtection="1">
      <alignment horizontal="center" vertical="center"/>
      <protection locked="0"/>
    </xf>
    <xf numFmtId="0" fontId="10" fillId="21" borderId="12" xfId="0" applyFont="1" applyFill="1" applyBorder="1" applyAlignment="1" applyProtection="1">
      <alignment horizontal="center" vertical="center"/>
      <protection locked="0"/>
    </xf>
    <xf numFmtId="49" fontId="10" fillId="21" borderId="3" xfId="0" applyNumberFormat="1" applyFont="1" applyFill="1" applyBorder="1" applyAlignment="1" applyProtection="1">
      <alignment horizontal="center" vertical="center"/>
      <protection locked="0"/>
    </xf>
    <xf numFmtId="49" fontId="10" fillId="21" borderId="0" xfId="0" applyNumberFormat="1" applyFont="1" applyFill="1" applyAlignment="1" applyProtection="1">
      <alignment horizontal="center" vertical="center"/>
      <protection locked="0"/>
    </xf>
    <xf numFmtId="49" fontId="10" fillId="21" borderId="25" xfId="0" applyNumberFormat="1" applyFont="1" applyFill="1" applyBorder="1" applyAlignment="1" applyProtection="1">
      <alignment horizontal="center" vertical="center"/>
      <protection locked="0"/>
    </xf>
    <xf numFmtId="49" fontId="10" fillId="21" borderId="10" xfId="0" applyNumberFormat="1" applyFont="1" applyFill="1" applyBorder="1" applyAlignment="1" applyProtection="1">
      <alignment horizontal="center" vertical="center"/>
      <protection locked="0"/>
    </xf>
    <xf numFmtId="49" fontId="10" fillId="21" borderId="1" xfId="0" applyNumberFormat="1" applyFont="1" applyFill="1" applyBorder="1" applyAlignment="1" applyProtection="1">
      <alignment horizontal="center" vertical="center"/>
      <protection locked="0"/>
    </xf>
    <xf numFmtId="49" fontId="10" fillId="21" borderId="12" xfId="0" applyNumberFormat="1" applyFont="1" applyFill="1" applyBorder="1" applyAlignment="1" applyProtection="1">
      <alignment horizontal="center" vertical="center"/>
      <protection locked="0"/>
    </xf>
    <xf numFmtId="0" fontId="8" fillId="23" borderId="3" xfId="0" applyFont="1" applyFill="1" applyBorder="1" applyAlignment="1" applyProtection="1">
      <alignment horizontal="left" vertical="top" wrapText="1"/>
      <protection hidden="1"/>
    </xf>
    <xf numFmtId="0" fontId="8" fillId="23" borderId="0" xfId="0" applyFont="1" applyFill="1" applyBorder="1" applyAlignment="1">
      <alignment horizontal="left" vertical="top" wrapText="1"/>
    </xf>
    <xf numFmtId="0" fontId="8" fillId="23" borderId="3" xfId="0" applyFont="1" applyFill="1" applyBorder="1" applyAlignment="1">
      <alignment horizontal="left" vertical="top" wrapText="1"/>
    </xf>
    <xf numFmtId="0" fontId="8" fillId="23" borderId="0" xfId="0" applyFont="1" applyFill="1" applyAlignment="1">
      <alignment horizontal="left" vertical="top" wrapText="1"/>
    </xf>
    <xf numFmtId="1" fontId="6" fillId="21" borderId="0" xfId="0" applyNumberFormat="1" applyFont="1" applyFill="1" applyBorder="1" applyAlignment="1" applyProtection="1">
      <alignment horizontal="center"/>
      <protection locked="0"/>
    </xf>
    <xf numFmtId="1" fontId="6" fillId="21" borderId="1" xfId="0" applyNumberFormat="1" applyFont="1" applyFill="1" applyBorder="1" applyAlignment="1" applyProtection="1">
      <alignment horizontal="center"/>
      <protection locked="0"/>
    </xf>
    <xf numFmtId="0" fontId="20" fillId="23" borderId="5" xfId="0" applyFont="1" applyFill="1" applyBorder="1" applyAlignment="1" applyProtection="1">
      <alignment vertical="center" wrapText="1"/>
      <protection hidden="1"/>
    </xf>
    <xf numFmtId="0" fontId="4" fillId="23" borderId="5" xfId="0" applyFont="1" applyFill="1" applyBorder="1" applyAlignment="1">
      <alignment vertical="center" wrapText="1"/>
    </xf>
    <xf numFmtId="4" fontId="8" fillId="23" borderId="0" xfId="0" applyNumberFormat="1" applyFont="1" applyFill="1" applyBorder="1" applyAlignment="1" applyProtection="1">
      <alignment vertical="top" wrapText="1"/>
      <protection hidden="1"/>
    </xf>
    <xf numFmtId="0" fontId="8" fillId="23" borderId="0" xfId="0" applyFont="1" applyFill="1" applyAlignment="1">
      <alignment wrapText="1"/>
    </xf>
    <xf numFmtId="4" fontId="17" fillId="23" borderId="0" xfId="0" applyNumberFormat="1" applyFont="1" applyFill="1" applyBorder="1" applyAlignment="1" applyProtection="1">
      <alignment horizontal="left" wrapText="1"/>
      <protection hidden="1"/>
    </xf>
    <xf numFmtId="0" fontId="17" fillId="23" borderId="0" xfId="0" applyFont="1" applyFill="1" applyAlignment="1">
      <alignment horizontal="left" wrapText="1"/>
    </xf>
    <xf numFmtId="1" fontId="7" fillId="21" borderId="0" xfId="0" applyNumberFormat="1" applyFont="1" applyFill="1" applyBorder="1" applyAlignment="1" applyProtection="1">
      <alignment horizontal="center"/>
      <protection locked="0"/>
    </xf>
    <xf numFmtId="38" fontId="6" fillId="2" borderId="0" xfId="0" applyNumberFormat="1" applyFont="1" applyFill="1" applyBorder="1" applyAlignment="1" applyProtection="1">
      <alignment horizontal="right"/>
      <protection hidden="1"/>
    </xf>
    <xf numFmtId="0" fontId="0" fillId="2" borderId="0" xfId="0" applyFill="1" applyBorder="1" applyAlignment="1" applyProtection="1">
      <alignment horizontal="right"/>
      <protection hidden="1"/>
    </xf>
    <xf numFmtId="0" fontId="3" fillId="2" borderId="8" xfId="0" applyFont="1" applyFill="1" applyBorder="1" applyAlignment="1" applyProtection="1">
      <alignment horizontal="center" vertical="center" wrapText="1"/>
      <protection hidden="1"/>
    </xf>
    <xf numFmtId="0" fontId="3" fillId="0" borderId="20" xfId="0" applyFont="1" applyBorder="1" applyAlignment="1">
      <alignment horizontal="center" vertical="center" wrapText="1"/>
    </xf>
    <xf numFmtId="0" fontId="3" fillId="0" borderId="0" xfId="0" applyFont="1" applyAlignment="1">
      <alignment horizontal="center" vertical="center" wrapText="1"/>
    </xf>
    <xf numFmtId="0" fontId="3" fillId="0" borderId="2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3" xfId="0" applyFont="1" applyBorder="1" applyAlignment="1">
      <alignment horizontal="center" vertical="center" wrapText="1"/>
    </xf>
    <xf numFmtId="186" fontId="6" fillId="2" borderId="62" xfId="0" applyNumberFormat="1" applyFont="1" applyFill="1" applyBorder="1" applyAlignment="1" applyProtection="1">
      <alignment horizontal="center"/>
      <protection locked="0"/>
    </xf>
    <xf numFmtId="186" fontId="6" fillId="2" borderId="63" xfId="0" applyNumberFormat="1" applyFont="1" applyFill="1" applyBorder="1" applyAlignment="1" applyProtection="1">
      <alignment horizontal="center"/>
      <protection locked="0"/>
    </xf>
    <xf numFmtId="1" fontId="1" fillId="2" borderId="62" xfId="0" applyNumberFormat="1" applyFont="1" applyFill="1" applyBorder="1" applyAlignment="1" applyProtection="1">
      <alignment horizontal="center"/>
      <protection locked="0"/>
    </xf>
    <xf numFmtId="1" fontId="1" fillId="0" borderId="63" xfId="0" applyNumberFormat="1" applyFont="1" applyBorder="1" applyAlignment="1" applyProtection="1">
      <alignment horizontal="center"/>
      <protection locked="0"/>
    </xf>
    <xf numFmtId="0" fontId="160" fillId="2" borderId="0" xfId="0" applyFont="1" applyFill="1" applyAlignment="1" applyProtection="1">
      <protection hidden="1"/>
    </xf>
    <xf numFmtId="0" fontId="160" fillId="0" borderId="0" xfId="0" applyFont="1" applyAlignment="1"/>
    <xf numFmtId="169" fontId="19" fillId="2" borderId="0" xfId="0" applyNumberFormat="1" applyFont="1" applyFill="1" applyBorder="1" applyAlignment="1" applyProtection="1">
      <alignment horizontal="left"/>
      <protection hidden="1"/>
    </xf>
    <xf numFmtId="0" fontId="19" fillId="0" borderId="0" xfId="0" applyFont="1" applyAlignment="1" applyProtection="1">
      <alignment horizontal="left"/>
      <protection hidden="1"/>
    </xf>
    <xf numFmtId="0" fontId="181" fillId="2" borderId="8" xfId="0" applyFont="1" applyFill="1" applyBorder="1" applyAlignment="1" applyProtection="1">
      <protection hidden="1"/>
    </xf>
    <xf numFmtId="0" fontId="181" fillId="0" borderId="8" xfId="0" applyFont="1" applyBorder="1" applyAlignment="1"/>
    <xf numFmtId="0" fontId="8" fillId="2" borderId="6"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21" xfId="0" applyBorder="1" applyAlignment="1" applyProtection="1">
      <alignment horizontal="center"/>
      <protection hidden="1"/>
    </xf>
    <xf numFmtId="0" fontId="181" fillId="2" borderId="0" xfId="0" applyFont="1" applyFill="1" applyAlignment="1" applyProtection="1">
      <alignment vertical="top" wrapText="1"/>
      <protection hidden="1"/>
    </xf>
    <xf numFmtId="0" fontId="181" fillId="0" borderId="0" xfId="0" applyFont="1" applyAlignment="1">
      <alignment vertical="top" wrapText="1"/>
    </xf>
    <xf numFmtId="0" fontId="0" fillId="0" borderId="21" xfId="0" applyBorder="1" applyAlignment="1">
      <alignment horizontal="center"/>
    </xf>
    <xf numFmtId="38" fontId="19" fillId="32" borderId="1" xfId="0" applyNumberFormat="1" applyFont="1" applyFill="1" applyBorder="1" applyAlignment="1" applyProtection="1">
      <protection hidden="1"/>
    </xf>
    <xf numFmtId="0" fontId="0" fillId="32" borderId="1" xfId="0" applyFill="1" applyBorder="1" applyAlignment="1" applyProtection="1">
      <protection hidden="1"/>
    </xf>
    <xf numFmtId="3" fontId="63" fillId="2" borderId="0" xfId="0" applyNumberFormat="1" applyFont="1" applyFill="1" applyBorder="1" applyAlignment="1" applyProtection="1">
      <protection hidden="1"/>
    </xf>
    <xf numFmtId="3" fontId="23" fillId="0" borderId="0" xfId="0" applyNumberFormat="1" applyFont="1" applyAlignment="1"/>
    <xf numFmtId="38" fontId="0" fillId="32" borderId="1" xfId="0" applyNumberFormat="1" applyFill="1" applyBorder="1" applyAlignment="1" applyProtection="1">
      <alignment horizontal="right"/>
      <protection hidden="1"/>
    </xf>
    <xf numFmtId="0" fontId="0" fillId="32" borderId="1" xfId="0" applyFill="1" applyBorder="1" applyAlignment="1">
      <alignment horizontal="right"/>
    </xf>
    <xf numFmtId="38" fontId="0" fillId="21" borderId="1" xfId="0" applyNumberFormat="1" applyFill="1" applyBorder="1" applyAlignment="1" applyProtection="1">
      <protection locked="0"/>
    </xf>
    <xf numFmtId="38" fontId="0" fillId="32" borderId="1" xfId="0" applyNumberFormat="1" applyFill="1" applyBorder="1" applyAlignment="1" applyProtection="1">
      <protection hidden="1"/>
    </xf>
    <xf numFmtId="0" fontId="0" fillId="32" borderId="1" xfId="0" applyFill="1" applyBorder="1" applyAlignment="1"/>
    <xf numFmtId="0" fontId="23" fillId="2" borderId="0" xfId="0" applyFont="1" applyFill="1" applyBorder="1" applyAlignment="1" applyProtection="1">
      <protection hidden="1"/>
    </xf>
    <xf numFmtId="0" fontId="1" fillId="2" borderId="0" xfId="0" applyFont="1" applyFill="1" applyAlignment="1" applyProtection="1">
      <alignment horizontal="left"/>
      <protection hidden="1"/>
    </xf>
    <xf numFmtId="0" fontId="0" fillId="0" borderId="0" xfId="0" applyAlignment="1" applyProtection="1">
      <alignment horizontal="left"/>
      <protection hidden="1"/>
    </xf>
    <xf numFmtId="38" fontId="0" fillId="32" borderId="40" xfId="0" applyNumberFormat="1" applyFill="1" applyBorder="1" applyAlignment="1" applyProtection="1">
      <protection hidden="1"/>
    </xf>
    <xf numFmtId="0" fontId="0" fillId="32" borderId="26" xfId="0" applyFill="1" applyBorder="1" applyAlignment="1" applyProtection="1">
      <protection hidden="1"/>
    </xf>
    <xf numFmtId="0" fontId="0" fillId="32" borderId="55" xfId="0" applyFill="1" applyBorder="1" applyAlignment="1" applyProtection="1">
      <protection hidden="1"/>
    </xf>
    <xf numFmtId="0" fontId="0" fillId="0" borderId="1" xfId="0" applyBorder="1" applyAlignment="1"/>
    <xf numFmtId="0" fontId="161" fillId="0" borderId="0" xfId="0" applyFont="1" applyAlignment="1"/>
    <xf numFmtId="38" fontId="161" fillId="2" borderId="9" xfId="0" applyNumberFormat="1" applyFont="1" applyFill="1" applyBorder="1" applyAlignment="1" applyProtection="1">
      <protection hidden="1"/>
    </xf>
    <xf numFmtId="40" fontId="161" fillId="2" borderId="9" xfId="0" applyNumberFormat="1" applyFont="1" applyFill="1" applyBorder="1" applyAlignment="1" applyProtection="1">
      <alignment horizontal="right"/>
      <protection hidden="1"/>
    </xf>
    <xf numFmtId="0" fontId="161" fillId="0" borderId="9" xfId="0" applyFont="1" applyBorder="1" applyAlignment="1">
      <alignment horizontal="right"/>
    </xf>
    <xf numFmtId="0" fontId="80" fillId="2" borderId="9" xfId="0" applyFont="1" applyFill="1" applyBorder="1" applyAlignment="1" applyProtection="1">
      <protection hidden="1"/>
    </xf>
    <xf numFmtId="0" fontId="0" fillId="0" borderId="9" xfId="0" applyBorder="1" applyAlignment="1"/>
    <xf numFmtId="0" fontId="161" fillId="0" borderId="21" xfId="0" applyFont="1" applyBorder="1" applyAlignment="1"/>
    <xf numFmtId="0" fontId="10" fillId="2" borderId="8" xfId="0" applyFont="1" applyFill="1" applyBorder="1" applyAlignment="1" applyProtection="1">
      <alignment horizontal="left" vertical="center"/>
      <protection hidden="1"/>
    </xf>
    <xf numFmtId="0" fontId="0" fillId="0" borderId="8" xfId="0" applyBorder="1" applyAlignment="1">
      <alignment horizontal="left" vertical="center"/>
    </xf>
    <xf numFmtId="0" fontId="0" fillId="0" borderId="0" xfId="0" applyAlignment="1">
      <alignment horizontal="left" vertical="center"/>
    </xf>
    <xf numFmtId="0" fontId="0" fillId="20" borderId="24" xfId="0" applyFill="1" applyBorder="1" applyAlignment="1" applyProtection="1">
      <alignment horizontal="center"/>
      <protection hidden="1"/>
    </xf>
    <xf numFmtId="0" fontId="0" fillId="20" borderId="8" xfId="0" applyFill="1" applyBorder="1" applyAlignment="1">
      <alignment horizontal="center"/>
    </xf>
    <xf numFmtId="0" fontId="0" fillId="20" borderId="6" xfId="0" applyFill="1" applyBorder="1" applyAlignment="1" applyProtection="1">
      <alignment horizontal="center"/>
      <protection hidden="1"/>
    </xf>
    <xf numFmtId="0" fontId="161" fillId="20" borderId="24" xfId="0" applyFont="1" applyFill="1" applyBorder="1" applyAlignment="1" applyProtection="1">
      <protection hidden="1"/>
    </xf>
    <xf numFmtId="0" fontId="161" fillId="0" borderId="8" xfId="0" applyFont="1" applyBorder="1" applyAlignment="1"/>
    <xf numFmtId="0" fontId="149" fillId="2" borderId="0" xfId="4" applyFont="1" applyFill="1" applyBorder="1" applyAlignment="1" applyProtection="1">
      <alignment horizontal="center" vertical="center"/>
      <protection hidden="1"/>
    </xf>
    <xf numFmtId="0" fontId="0" fillId="0" borderId="0" xfId="0" applyAlignment="1">
      <alignment vertical="center"/>
    </xf>
    <xf numFmtId="49" fontId="89" fillId="16" borderId="0" xfId="4" applyNumberFormat="1" applyFont="1" applyFill="1" applyBorder="1" applyAlignment="1" applyProtection="1">
      <alignment horizontal="center" vertical="center"/>
      <protection hidden="1"/>
    </xf>
    <xf numFmtId="0" fontId="3" fillId="2" borderId="0" xfId="4" applyFill="1" applyBorder="1" applyAlignment="1" applyProtection="1">
      <alignment horizontal="left" vertical="center"/>
      <protection hidden="1"/>
    </xf>
    <xf numFmtId="0" fontId="3" fillId="2" borderId="25" xfId="4" applyFill="1" applyBorder="1" applyAlignment="1" applyProtection="1">
      <alignment horizontal="left" vertical="center"/>
      <protection hidden="1"/>
    </xf>
    <xf numFmtId="0" fontId="104" fillId="16" borderId="0" xfId="4" applyFont="1" applyFill="1" applyAlignment="1">
      <alignment horizontal="center" vertical="center"/>
    </xf>
    <xf numFmtId="0" fontId="148" fillId="0" borderId="0" xfId="0" applyFont="1" applyAlignment="1">
      <alignment horizontal="center" vertical="center"/>
    </xf>
    <xf numFmtId="0" fontId="3" fillId="20" borderId="24" xfId="0" applyFont="1" applyFill="1" applyBorder="1" applyAlignment="1" applyProtection="1">
      <alignment horizontal="center"/>
      <protection hidden="1"/>
    </xf>
    <xf numFmtId="0" fontId="3" fillId="20" borderId="20" xfId="0" applyFont="1" applyFill="1" applyBorder="1" applyAlignment="1" applyProtection="1">
      <alignment horizontal="center"/>
      <protection hidden="1"/>
    </xf>
    <xf numFmtId="0" fontId="3" fillId="20" borderId="8" xfId="0" applyFont="1" applyFill="1" applyBorder="1" applyAlignment="1" applyProtection="1">
      <alignment horizontal="center"/>
      <protection hidden="1"/>
    </xf>
    <xf numFmtId="1" fontId="34" fillId="2" borderId="40" xfId="0" applyNumberFormat="1" applyFont="1" applyFill="1" applyBorder="1" applyAlignment="1" applyProtection="1">
      <protection locked="0"/>
    </xf>
    <xf numFmtId="0" fontId="0" fillId="0" borderId="26" xfId="0" applyBorder="1" applyAlignment="1" applyProtection="1">
      <protection locked="0"/>
    </xf>
    <xf numFmtId="0" fontId="0" fillId="0" borderId="55" xfId="0" applyBorder="1" applyAlignment="1" applyProtection="1">
      <protection locked="0"/>
    </xf>
    <xf numFmtId="0" fontId="96" fillId="2" borderId="0" xfId="0" applyFont="1" applyFill="1" applyAlignment="1" applyProtection="1">
      <alignment horizontal="right"/>
      <protection hidden="1"/>
    </xf>
    <xf numFmtId="0" fontId="96" fillId="0" borderId="0" xfId="0" applyFont="1" applyAlignment="1" applyProtection="1">
      <alignment horizontal="right"/>
      <protection hidden="1"/>
    </xf>
    <xf numFmtId="3" fontId="0" fillId="21" borderId="26" xfId="0" applyNumberFormat="1" applyFill="1" applyBorder="1" applyAlignment="1" applyProtection="1">
      <alignment horizontal="right"/>
      <protection locked="0"/>
    </xf>
    <xf numFmtId="0" fontId="42" fillId="20" borderId="24" xfId="0" quotePrefix="1" applyFont="1" applyFill="1" applyBorder="1" applyAlignment="1" applyProtection="1">
      <alignment horizontal="left" vertical="center" wrapText="1"/>
      <protection hidden="1"/>
    </xf>
    <xf numFmtId="0" fontId="0" fillId="20" borderId="8" xfId="0" applyFill="1" applyBorder="1" applyAlignment="1">
      <alignment vertical="center" wrapText="1"/>
    </xf>
    <xf numFmtId="0" fontId="0" fillId="20" borderId="20" xfId="0" applyFill="1" applyBorder="1" applyAlignment="1">
      <alignment vertical="center" wrapText="1"/>
    </xf>
    <xf numFmtId="0" fontId="0" fillId="20" borderId="6" xfId="0" applyFill="1" applyBorder="1" applyAlignment="1">
      <alignment vertical="center" wrapText="1"/>
    </xf>
    <xf numFmtId="0" fontId="0" fillId="20" borderId="0" xfId="0" applyFill="1" applyBorder="1" applyAlignment="1">
      <alignment vertical="center" wrapText="1"/>
    </xf>
    <xf numFmtId="0" fontId="0" fillId="20" borderId="21" xfId="0" applyFill="1" applyBorder="1" applyAlignment="1">
      <alignment vertical="center" wrapText="1"/>
    </xf>
    <xf numFmtId="0" fontId="0" fillId="20" borderId="22" xfId="0" applyFill="1" applyBorder="1" applyAlignment="1">
      <alignment vertical="center" wrapText="1"/>
    </xf>
    <xf numFmtId="0" fontId="0" fillId="20" borderId="5" xfId="0" applyFill="1" applyBorder="1" applyAlignment="1">
      <alignment vertical="center" wrapText="1"/>
    </xf>
    <xf numFmtId="0" fontId="0" fillId="20" borderId="23" xfId="0" applyFill="1" applyBorder="1" applyAlignment="1">
      <alignment vertical="center" wrapText="1"/>
    </xf>
    <xf numFmtId="0" fontId="2" fillId="20" borderId="0" xfId="0" applyFont="1" applyFill="1" applyBorder="1" applyAlignment="1" applyProtection="1">
      <alignment horizontal="left" vertical="center" wrapText="1"/>
      <protection hidden="1"/>
    </xf>
    <xf numFmtId="0" fontId="0" fillId="0" borderId="0" xfId="0" applyAlignment="1">
      <alignment horizontal="left" vertical="center" wrapText="1"/>
    </xf>
    <xf numFmtId="0" fontId="8" fillId="2" borderId="10"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11" xfId="0" applyFont="1" applyFill="1" applyBorder="1" applyAlignment="1" applyProtection="1">
      <alignment horizontal="center"/>
      <protection hidden="1"/>
    </xf>
    <xf numFmtId="3" fontId="7" fillId="33" borderId="7" xfId="0" applyNumberFormat="1" applyFont="1" applyFill="1" applyBorder="1" applyAlignment="1" applyProtection="1">
      <protection hidden="1"/>
    </xf>
    <xf numFmtId="3" fontId="7" fillId="33" borderId="11" xfId="0" applyNumberFormat="1" applyFont="1" applyFill="1" applyBorder="1" applyAlignment="1" applyProtection="1">
      <protection hidden="1"/>
    </xf>
    <xf numFmtId="0" fontId="76" fillId="3" borderId="9" xfId="0" applyFont="1" applyFill="1" applyBorder="1" applyAlignment="1" applyProtection="1">
      <protection hidden="1"/>
    </xf>
    <xf numFmtId="0" fontId="5" fillId="0" borderId="9" xfId="0" applyFont="1" applyBorder="1" applyAlignment="1"/>
    <xf numFmtId="0" fontId="5" fillId="0" borderId="15" xfId="0" applyFont="1" applyBorder="1" applyAlignment="1"/>
    <xf numFmtId="166" fontId="13" fillId="33" borderId="10" xfId="0" applyNumberFormat="1" applyFont="1" applyFill="1" applyBorder="1" applyAlignment="1" applyProtection="1">
      <alignment horizontal="center"/>
      <protection hidden="1"/>
    </xf>
    <xf numFmtId="0" fontId="14" fillId="30" borderId="1" xfId="0" applyFont="1" applyFill="1" applyBorder="1" applyAlignment="1" applyProtection="1">
      <alignment horizontal="center"/>
      <protection hidden="1"/>
    </xf>
    <xf numFmtId="0" fontId="13" fillId="33" borderId="1" xfId="0" quotePrefix="1" applyFont="1" applyFill="1" applyBorder="1" applyAlignment="1" applyProtection="1">
      <alignment horizontal="left"/>
      <protection hidden="1"/>
    </xf>
    <xf numFmtId="0" fontId="14" fillId="30" borderId="1" xfId="0" applyFont="1" applyFill="1" applyBorder="1" applyAlignment="1" applyProtection="1">
      <alignment horizontal="left"/>
      <protection hidden="1"/>
    </xf>
    <xf numFmtId="0" fontId="14" fillId="30" borderId="12" xfId="0" applyFont="1" applyFill="1" applyBorder="1" applyAlignment="1" applyProtection="1">
      <alignment horizontal="left"/>
      <protection hidden="1"/>
    </xf>
    <xf numFmtId="0" fontId="15" fillId="25" borderId="4" xfId="0" applyFont="1" applyFill="1" applyBorder="1" applyAlignment="1" applyProtection="1">
      <alignment horizontal="left"/>
      <protection locked="0"/>
    </xf>
    <xf numFmtId="0" fontId="15" fillId="25" borderId="95" xfId="0" applyFont="1" applyFill="1" applyBorder="1" applyAlignment="1" applyProtection="1">
      <alignment horizontal="left"/>
      <protection locked="0"/>
    </xf>
    <xf numFmtId="49" fontId="15" fillId="25" borderId="4" xfId="0" applyNumberFormat="1" applyFont="1" applyFill="1" applyBorder="1" applyAlignment="1" applyProtection="1">
      <alignment horizontal="left"/>
      <protection locked="0"/>
    </xf>
    <xf numFmtId="49" fontId="15" fillId="25" borderId="95" xfId="0" applyNumberFormat="1" applyFont="1" applyFill="1" applyBorder="1" applyAlignment="1" applyProtection="1">
      <alignment horizontal="left"/>
      <protection locked="0"/>
    </xf>
    <xf numFmtId="49" fontId="8" fillId="25" borderId="103" xfId="1" applyNumberFormat="1" applyFont="1" applyFill="1" applyBorder="1" applyAlignment="1" applyProtection="1">
      <alignment horizontal="left"/>
      <protection locked="0"/>
    </xf>
    <xf numFmtId="0" fontId="0" fillId="25" borderId="103" xfId="0" applyFill="1" applyBorder="1" applyAlignment="1" applyProtection="1">
      <alignment horizontal="left"/>
      <protection locked="0"/>
    </xf>
    <xf numFmtId="0" fontId="0" fillId="25" borderId="104" xfId="0" applyFill="1" applyBorder="1" applyAlignment="1" applyProtection="1">
      <alignment horizontal="left"/>
      <protection locked="0"/>
    </xf>
    <xf numFmtId="49" fontId="8" fillId="25" borderId="4" xfId="0" applyNumberFormat="1" applyFont="1" applyFill="1" applyBorder="1" applyAlignment="1" applyProtection="1">
      <alignment horizontal="left"/>
      <protection locked="0"/>
    </xf>
    <xf numFmtId="0" fontId="0" fillId="25" borderId="4" xfId="0" applyFill="1" applyBorder="1" applyAlignment="1" applyProtection="1">
      <alignment horizontal="left"/>
      <protection locked="0"/>
    </xf>
    <xf numFmtId="0" fontId="0" fillId="25" borderId="95" xfId="0" applyFill="1" applyBorder="1" applyAlignment="1" applyProtection="1">
      <alignment horizontal="left"/>
      <protection locked="0"/>
    </xf>
    <xf numFmtId="4" fontId="124" fillId="3" borderId="31" xfId="0" applyNumberFormat="1" applyFont="1" applyFill="1" applyBorder="1" applyAlignment="1" applyProtection="1">
      <alignment horizontal="right" wrapText="1"/>
      <protection hidden="1"/>
    </xf>
    <xf numFmtId="0" fontId="126" fillId="0" borderId="3" xfId="0" applyFont="1" applyBorder="1" applyAlignment="1">
      <alignment horizontal="right" wrapText="1"/>
    </xf>
    <xf numFmtId="0" fontId="12" fillId="3" borderId="31" xfId="0" applyFont="1" applyFill="1" applyBorder="1" applyAlignment="1" applyProtection="1">
      <alignment horizontal="left"/>
      <protection hidden="1"/>
    </xf>
    <xf numFmtId="0" fontId="11" fillId="3" borderId="3" xfId="0" applyFont="1" applyFill="1" applyBorder="1" applyAlignment="1" applyProtection="1">
      <alignment horizontal="center"/>
      <protection hidden="1"/>
    </xf>
    <xf numFmtId="0" fontId="78" fillId="14" borderId="64" xfId="2" applyFont="1" applyFill="1" applyBorder="1" applyAlignment="1" applyProtection="1">
      <alignment horizontal="center"/>
    </xf>
    <xf numFmtId="0" fontId="78" fillId="0" borderId="65" xfId="2" applyBorder="1" applyAlignment="1" applyProtection="1">
      <alignment horizontal="center"/>
    </xf>
    <xf numFmtId="0" fontId="78" fillId="0" borderId="66" xfId="2" applyBorder="1" applyAlignment="1" applyProtection="1">
      <alignment horizontal="center"/>
    </xf>
    <xf numFmtId="0" fontId="8" fillId="25" borderId="4" xfId="0" applyFont="1" applyFill="1" applyBorder="1" applyAlignment="1" applyProtection="1">
      <alignment horizontal="left"/>
      <protection locked="0"/>
    </xf>
    <xf numFmtId="0" fontId="8" fillId="25" borderId="100" xfId="0" applyFont="1" applyFill="1" applyBorder="1" applyAlignment="1" applyProtection="1">
      <protection locked="0"/>
    </xf>
    <xf numFmtId="0" fontId="0" fillId="25" borderId="100" xfId="0" applyFill="1" applyBorder="1" applyAlignment="1" applyProtection="1">
      <protection locked="0"/>
    </xf>
    <xf numFmtId="0" fontId="0" fillId="25" borderId="101" xfId="0" applyFill="1" applyBorder="1" applyAlignment="1" applyProtection="1">
      <protection locked="0"/>
    </xf>
    <xf numFmtId="0" fontId="6" fillId="25" borderId="4" xfId="0" applyFont="1" applyFill="1" applyBorder="1" applyAlignment="1" applyProtection="1">
      <alignment horizontal="left"/>
      <protection locked="0"/>
    </xf>
    <xf numFmtId="0" fontId="6" fillId="25" borderId="95" xfId="0" applyFont="1" applyFill="1" applyBorder="1" applyAlignment="1" applyProtection="1">
      <alignment horizontal="left"/>
      <protection locked="0"/>
    </xf>
    <xf numFmtId="0" fontId="5" fillId="25" borderId="98" xfId="0" applyFont="1" applyFill="1" applyBorder="1" applyAlignment="1" applyProtection="1">
      <protection locked="0"/>
    </xf>
    <xf numFmtId="0" fontId="0" fillId="25" borderId="98" xfId="0" applyFill="1" applyBorder="1" applyAlignment="1" applyProtection="1">
      <protection locked="0"/>
    </xf>
    <xf numFmtId="0" fontId="0" fillId="25" borderId="102" xfId="0" applyFill="1" applyBorder="1" applyAlignment="1" applyProtection="1">
      <protection locked="0"/>
    </xf>
    <xf numFmtId="0" fontId="8" fillId="25" borderId="103" xfId="0" applyFont="1" applyFill="1" applyBorder="1" applyAlignment="1" applyProtection="1">
      <alignment horizontal="left"/>
      <protection locked="0"/>
    </xf>
    <xf numFmtId="0" fontId="19" fillId="21" borderId="103" xfId="0" applyFont="1" applyFill="1" applyBorder="1" applyAlignment="1" applyProtection="1">
      <alignment horizontal="left"/>
      <protection locked="0"/>
    </xf>
    <xf numFmtId="0" fontId="19" fillId="21" borderId="104" xfId="0" applyFont="1" applyFill="1" applyBorder="1" applyAlignment="1" applyProtection="1">
      <alignment horizontal="left"/>
      <protection locked="0"/>
    </xf>
    <xf numFmtId="37" fontId="3" fillId="25" borderId="40" xfId="0" applyNumberFormat="1" applyFont="1" applyFill="1" applyBorder="1" applyAlignment="1" applyProtection="1">
      <alignment horizontal="right"/>
      <protection locked="0"/>
    </xf>
    <xf numFmtId="37" fontId="3" fillId="25" borderId="26" xfId="0" applyNumberFormat="1" applyFont="1" applyFill="1" applyBorder="1" applyAlignment="1" applyProtection="1">
      <alignment horizontal="right"/>
      <protection locked="0"/>
    </xf>
    <xf numFmtId="37" fontId="3" fillId="21" borderId="55" xfId="0" applyNumberFormat="1" applyFont="1" applyFill="1" applyBorder="1" applyAlignment="1" applyProtection="1">
      <alignment horizontal="right"/>
      <protection locked="0"/>
    </xf>
    <xf numFmtId="0" fontId="5" fillId="3" borderId="0" xfId="0" applyFont="1" applyFill="1" applyAlignment="1" applyProtection="1">
      <alignment horizontal="left" vertical="top" wrapText="1"/>
      <protection hidden="1"/>
    </xf>
    <xf numFmtId="0" fontId="5" fillId="0" borderId="0" xfId="0" applyFont="1" applyAlignment="1">
      <alignment wrapText="1"/>
    </xf>
    <xf numFmtId="0" fontId="17" fillId="2" borderId="27" xfId="0" applyFont="1" applyFill="1" applyBorder="1" applyAlignment="1" applyProtection="1">
      <alignment horizontal="center"/>
      <protection hidden="1"/>
    </xf>
    <xf numFmtId="0" fontId="17" fillId="0" borderId="1" xfId="0" applyFont="1" applyBorder="1" applyAlignment="1"/>
    <xf numFmtId="3" fontId="4" fillId="31" borderId="40" xfId="0" applyNumberFormat="1" applyFont="1" applyFill="1" applyBorder="1" applyAlignment="1" applyProtection="1">
      <protection hidden="1"/>
    </xf>
    <xf numFmtId="3" fontId="4" fillId="31" borderId="26" xfId="0" applyNumberFormat="1" applyFont="1" applyFill="1" applyBorder="1" applyAlignment="1" applyProtection="1">
      <protection hidden="1"/>
    </xf>
    <xf numFmtId="3" fontId="4" fillId="31" borderId="55" xfId="0" applyNumberFormat="1" applyFont="1" applyFill="1" applyBorder="1" applyAlignment="1" applyProtection="1">
      <protection hidden="1"/>
    </xf>
    <xf numFmtId="3" fontId="4" fillId="31" borderId="10" xfId="0" applyNumberFormat="1" applyFont="1" applyFill="1" applyBorder="1" applyAlignment="1" applyProtection="1">
      <protection hidden="1"/>
    </xf>
    <xf numFmtId="3" fontId="4" fillId="31" borderId="1" xfId="0" applyNumberFormat="1" applyFont="1" applyFill="1" applyBorder="1" applyAlignment="1" applyProtection="1">
      <protection hidden="1"/>
    </xf>
    <xf numFmtId="3" fontId="4" fillId="31" borderId="12" xfId="0" applyNumberFormat="1" applyFont="1" applyFill="1" applyBorder="1" applyAlignment="1" applyProtection="1">
      <protection hidden="1"/>
    </xf>
    <xf numFmtId="3" fontId="4" fillId="25" borderId="10" xfId="0" applyNumberFormat="1" applyFont="1" applyFill="1" applyBorder="1" applyAlignment="1" applyProtection="1">
      <alignment horizontal="right"/>
      <protection locked="0"/>
    </xf>
    <xf numFmtId="3" fontId="4" fillId="25" borderId="1" xfId="0" applyNumberFormat="1" applyFont="1" applyFill="1" applyBorder="1" applyAlignment="1" applyProtection="1">
      <alignment horizontal="right"/>
      <protection locked="0"/>
    </xf>
    <xf numFmtId="3" fontId="4" fillId="25" borderId="12" xfId="0" applyNumberFormat="1" applyFont="1" applyFill="1" applyBorder="1" applyAlignment="1" applyProtection="1">
      <alignment horizontal="right"/>
      <protection locked="0"/>
    </xf>
    <xf numFmtId="4" fontId="1" fillId="3" borderId="40" xfId="0" applyNumberFormat="1" applyFont="1" applyFill="1" applyBorder="1" applyAlignment="1" applyProtection="1">
      <alignment horizontal="center"/>
      <protection hidden="1"/>
    </xf>
    <xf numFmtId="4" fontId="1" fillId="3" borderId="26" xfId="0" applyNumberFormat="1" applyFont="1" applyFill="1" applyBorder="1" applyAlignment="1" applyProtection="1">
      <alignment horizontal="center"/>
      <protection hidden="1"/>
    </xf>
    <xf numFmtId="4" fontId="1" fillId="3" borderId="55" xfId="0" applyNumberFormat="1" applyFont="1" applyFill="1" applyBorder="1" applyAlignment="1" applyProtection="1">
      <alignment horizontal="center"/>
      <protection hidden="1"/>
    </xf>
    <xf numFmtId="4" fontId="181" fillId="3" borderId="31" xfId="0" applyNumberFormat="1" applyFont="1" applyFill="1" applyBorder="1" applyAlignment="1" applyProtection="1">
      <alignment horizontal="center"/>
      <protection hidden="1"/>
    </xf>
    <xf numFmtId="4" fontId="181" fillId="3" borderId="9" xfId="0" applyNumberFormat="1" applyFont="1" applyFill="1" applyBorder="1" applyAlignment="1" applyProtection="1">
      <alignment horizontal="center"/>
      <protection hidden="1"/>
    </xf>
    <xf numFmtId="4" fontId="181" fillId="3" borderId="15" xfId="0" applyNumberFormat="1" applyFont="1" applyFill="1" applyBorder="1" applyAlignment="1" applyProtection="1">
      <alignment horizontal="center"/>
      <protection hidden="1"/>
    </xf>
    <xf numFmtId="4" fontId="181" fillId="3" borderId="10" xfId="0" applyNumberFormat="1" applyFont="1" applyFill="1" applyBorder="1" applyAlignment="1" applyProtection="1">
      <alignment horizontal="center"/>
      <protection hidden="1"/>
    </xf>
    <xf numFmtId="4" fontId="181" fillId="3" borderId="1" xfId="0" applyNumberFormat="1" applyFont="1" applyFill="1" applyBorder="1" applyAlignment="1" applyProtection="1">
      <alignment horizontal="center"/>
      <protection hidden="1"/>
    </xf>
    <xf numFmtId="0" fontId="181" fillId="0" borderId="12" xfId="0" applyFont="1" applyBorder="1" applyAlignment="1" applyProtection="1">
      <alignment horizontal="center"/>
      <protection hidden="1"/>
    </xf>
    <xf numFmtId="0" fontId="78" fillId="14" borderId="65" xfId="2" applyFill="1" applyBorder="1" applyAlignment="1" applyProtection="1">
      <alignment horizontal="center"/>
    </xf>
    <xf numFmtId="0" fontId="78" fillId="14" borderId="66" xfId="2" applyFill="1" applyBorder="1" applyAlignment="1" applyProtection="1">
      <alignment horizontal="center"/>
    </xf>
    <xf numFmtId="0" fontId="4" fillId="3" borderId="0" xfId="0" applyFont="1" applyFill="1" applyAlignment="1" applyProtection="1">
      <alignment horizontal="left" vertical="top"/>
      <protection hidden="1"/>
    </xf>
    <xf numFmtId="0" fontId="3" fillId="0" borderId="0" xfId="0" applyFont="1" applyBorder="1" applyAlignment="1">
      <alignment vertical="top"/>
    </xf>
    <xf numFmtId="0" fontId="8" fillId="25" borderId="98" xfId="0" applyFont="1" applyFill="1" applyBorder="1" applyAlignment="1" applyProtection="1">
      <protection locked="0"/>
    </xf>
    <xf numFmtId="4" fontId="4" fillId="18" borderId="3" xfId="0"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25" xfId="0" applyBorder="1" applyAlignment="1" applyProtection="1">
      <alignment vertical="center"/>
      <protection hidden="1"/>
    </xf>
    <xf numFmtId="0" fontId="0" fillId="0" borderId="3" xfId="0" applyBorder="1" applyAlignment="1" applyProtection="1">
      <alignment vertical="center"/>
      <protection hidden="1"/>
    </xf>
    <xf numFmtId="0" fontId="0" fillId="0" borderId="0" xfId="0" applyAlignment="1" applyProtection="1">
      <alignment vertical="center"/>
      <protection hidden="1"/>
    </xf>
    <xf numFmtId="4" fontId="181" fillId="3" borderId="31" xfId="0" applyNumberFormat="1" applyFont="1" applyFill="1" applyBorder="1" applyAlignment="1" applyProtection="1">
      <alignment horizontal="center" wrapText="1"/>
      <protection locked="0"/>
    </xf>
    <xf numFmtId="0" fontId="160" fillId="0" borderId="9" xfId="0" applyFont="1" applyBorder="1" applyAlignment="1">
      <alignment horizontal="center" wrapText="1"/>
    </xf>
    <xf numFmtId="0" fontId="160" fillId="0" borderId="15" xfId="0" applyFont="1" applyBorder="1" applyAlignment="1">
      <alignment horizontal="center" wrapText="1"/>
    </xf>
    <xf numFmtId="0" fontId="19" fillId="21" borderId="4" xfId="0" applyFont="1" applyFill="1" applyBorder="1" applyAlignment="1" applyProtection="1">
      <alignment horizontal="left"/>
      <protection locked="0"/>
    </xf>
    <xf numFmtId="0" fontId="19" fillId="21" borderId="95" xfId="0" applyFont="1" applyFill="1" applyBorder="1" applyAlignment="1" applyProtection="1">
      <alignment horizontal="left"/>
      <protection locked="0"/>
    </xf>
    <xf numFmtId="0" fontId="22" fillId="2" borderId="88" xfId="0" applyFont="1" applyFill="1" applyBorder="1" applyAlignment="1" applyProtection="1">
      <alignment horizontal="center" vertical="center"/>
      <protection hidden="1"/>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horizontal="center" vertical="center"/>
    </xf>
    <xf numFmtId="0" fontId="20" fillId="3" borderId="6" xfId="0" applyFont="1" applyFill="1" applyBorder="1" applyAlignment="1" applyProtection="1">
      <alignment horizontal="center" vertical="center"/>
      <protection hidden="1"/>
    </xf>
    <xf numFmtId="0" fontId="17" fillId="3" borderId="59" xfId="0" applyFont="1" applyFill="1" applyBorder="1" applyAlignment="1" applyProtection="1">
      <alignment horizontal="left"/>
      <protection hidden="1"/>
    </xf>
    <xf numFmtId="0" fontId="3" fillId="0" borderId="8" xfId="0" applyFont="1" applyBorder="1" applyAlignment="1">
      <alignment horizontal="left"/>
    </xf>
    <xf numFmtId="0" fontId="3" fillId="0" borderId="37" xfId="0" applyFont="1" applyBorder="1" applyAlignment="1">
      <alignment horizontal="left"/>
    </xf>
    <xf numFmtId="166" fontId="10" fillId="31" borderId="10" xfId="0" applyNumberFormat="1" applyFont="1" applyFill="1" applyBorder="1" applyAlignment="1" applyProtection="1">
      <alignment horizontal="center"/>
      <protection hidden="1"/>
    </xf>
    <xf numFmtId="0" fontId="14" fillId="32" borderId="1" xfId="0" applyFont="1" applyFill="1" applyBorder="1" applyAlignment="1" applyProtection="1">
      <alignment horizontal="center"/>
      <protection hidden="1"/>
    </xf>
    <xf numFmtId="0" fontId="14" fillId="32" borderId="12" xfId="0" applyFont="1" applyFill="1" applyBorder="1" applyAlignment="1" applyProtection="1">
      <alignment horizontal="center"/>
      <protection hidden="1"/>
    </xf>
    <xf numFmtId="3" fontId="6" fillId="20" borderId="31" xfId="0" applyNumberFormat="1" applyFont="1" applyFill="1" applyBorder="1" applyAlignment="1" applyProtection="1">
      <alignment horizontal="right"/>
      <protection hidden="1"/>
    </xf>
    <xf numFmtId="3" fontId="6" fillId="20" borderId="9" xfId="0" applyNumberFormat="1" applyFont="1" applyFill="1" applyBorder="1" applyAlignment="1" applyProtection="1">
      <alignment horizontal="right"/>
      <protection hidden="1"/>
    </xf>
    <xf numFmtId="3" fontId="6" fillId="20" borderId="3" xfId="0" applyNumberFormat="1" applyFont="1" applyFill="1" applyBorder="1" applyAlignment="1" applyProtection="1">
      <alignment horizontal="right"/>
      <protection hidden="1"/>
    </xf>
    <xf numFmtId="3" fontId="6" fillId="20" borderId="0" xfId="0" applyNumberFormat="1" applyFont="1" applyFill="1" applyBorder="1" applyAlignment="1" applyProtection="1">
      <alignment horizontal="right"/>
      <protection hidden="1"/>
    </xf>
    <xf numFmtId="1" fontId="9" fillId="25" borderId="1" xfId="0" applyNumberFormat="1" applyFont="1" applyFill="1" applyBorder="1" applyAlignment="1" applyProtection="1">
      <alignment horizontal="center"/>
      <protection locked="0"/>
    </xf>
    <xf numFmtId="1" fontId="0" fillId="25" borderId="1" xfId="0" applyNumberFormat="1" applyFill="1" applyBorder="1" applyAlignment="1" applyProtection="1">
      <alignment horizontal="center"/>
      <protection locked="0"/>
    </xf>
    <xf numFmtId="1" fontId="0" fillId="25" borderId="1" xfId="0" applyNumberFormat="1" applyFill="1" applyBorder="1" applyAlignment="1" applyProtection="1">
      <protection locked="0"/>
    </xf>
    <xf numFmtId="37" fontId="4" fillId="25" borderId="10" xfId="0" applyNumberFormat="1" applyFont="1" applyFill="1" applyBorder="1" applyAlignment="1" applyProtection="1">
      <alignment horizontal="right"/>
      <protection locked="0"/>
    </xf>
    <xf numFmtId="37" fontId="4" fillId="25" borderId="1" xfId="0" applyNumberFormat="1" applyFont="1" applyFill="1" applyBorder="1" applyAlignment="1" applyProtection="1">
      <alignment horizontal="right"/>
      <protection locked="0"/>
    </xf>
    <xf numFmtId="3" fontId="4" fillId="25" borderId="4" xfId="0" applyNumberFormat="1" applyFont="1" applyFill="1" applyBorder="1" applyAlignment="1" applyProtection="1">
      <alignment horizontal="center"/>
      <protection locked="0"/>
    </xf>
    <xf numFmtId="37" fontId="4" fillId="25" borderId="4" xfId="0" applyNumberFormat="1" applyFont="1" applyFill="1" applyBorder="1" applyAlignment="1" applyProtection="1">
      <alignment horizontal="center"/>
      <protection locked="0"/>
    </xf>
    <xf numFmtId="0" fontId="0" fillId="0" borderId="4" xfId="0" applyBorder="1" applyAlignment="1">
      <alignment horizontal="center"/>
    </xf>
    <xf numFmtId="39" fontId="8" fillId="25" borderId="105" xfId="0" applyNumberFormat="1" applyFont="1" applyFill="1" applyBorder="1" applyAlignment="1" applyProtection="1">
      <protection locked="0"/>
    </xf>
    <xf numFmtId="0" fontId="0" fillId="21" borderId="105" xfId="0" applyFill="1" applyBorder="1" applyAlignment="1" applyProtection="1">
      <protection locked="0"/>
    </xf>
    <xf numFmtId="0" fontId="0" fillId="21" borderId="106" xfId="0" applyFill="1" applyBorder="1" applyAlignment="1" applyProtection="1">
      <protection locked="0"/>
    </xf>
    <xf numFmtId="0" fontId="53" fillId="3" borderId="0" xfId="0" applyFont="1" applyFill="1" applyBorder="1" applyAlignment="1" applyProtection="1">
      <alignment wrapText="1"/>
      <protection hidden="1"/>
    </xf>
    <xf numFmtId="0" fontId="0" fillId="0" borderId="25" xfId="0" applyBorder="1" applyAlignment="1">
      <alignment wrapText="1"/>
    </xf>
    <xf numFmtId="0" fontId="0" fillId="0" borderId="1" xfId="0" applyBorder="1" applyAlignment="1">
      <alignment wrapText="1"/>
    </xf>
    <xf numFmtId="0" fontId="0" fillId="0" borderId="12" xfId="0" applyBorder="1" applyAlignment="1">
      <alignment wrapText="1"/>
    </xf>
    <xf numFmtId="4" fontId="6" fillId="25" borderId="98" xfId="0" applyNumberFormat="1" applyFont="1" applyFill="1" applyBorder="1" applyAlignment="1" applyProtection="1">
      <protection locked="0"/>
    </xf>
    <xf numFmtId="0" fontId="0" fillId="21" borderId="98" xfId="0" applyFill="1" applyBorder="1" applyAlignment="1" applyProtection="1">
      <protection locked="0"/>
    </xf>
    <xf numFmtId="0" fontId="11" fillId="3" borderId="10" xfId="0" applyFont="1" applyFill="1" applyBorder="1" applyAlignment="1" applyProtection="1">
      <alignment horizontal="center"/>
      <protection hidden="1"/>
    </xf>
    <xf numFmtId="0" fontId="0" fillId="0" borderId="30" xfId="0" applyBorder="1"/>
    <xf numFmtId="37" fontId="6" fillId="33" borderId="10" xfId="0" applyNumberFormat="1" applyFont="1" applyFill="1" applyBorder="1" applyAlignment="1" applyProtection="1">
      <alignment horizontal="right"/>
      <protection hidden="1"/>
    </xf>
    <xf numFmtId="37" fontId="6" fillId="33" borderId="1" xfId="0" applyNumberFormat="1" applyFont="1" applyFill="1" applyBorder="1" applyAlignment="1" applyProtection="1">
      <alignment horizontal="right"/>
      <protection hidden="1"/>
    </xf>
    <xf numFmtId="0" fontId="4" fillId="25" borderId="1" xfId="0" applyFont="1" applyFill="1" applyBorder="1" applyAlignment="1" applyProtection="1">
      <alignment horizontal="center"/>
      <protection locked="0"/>
    </xf>
    <xf numFmtId="0" fontId="4" fillId="21" borderId="12" xfId="0" applyFont="1" applyFill="1" applyBorder="1" applyAlignment="1" applyProtection="1">
      <alignment horizontal="center"/>
      <protection locked="0"/>
    </xf>
    <xf numFmtId="0" fontId="6" fillId="25" borderId="1" xfId="0" applyFont="1" applyFill="1" applyBorder="1" applyAlignment="1" applyProtection="1">
      <alignment horizontal="center"/>
      <protection locked="0"/>
    </xf>
    <xf numFmtId="0" fontId="6" fillId="21" borderId="1" xfId="0" applyFont="1" applyFill="1" applyBorder="1" applyAlignment="1" applyProtection="1">
      <alignment horizontal="center"/>
      <protection locked="0"/>
    </xf>
    <xf numFmtId="0" fontId="6" fillId="21" borderId="107" xfId="0" applyFont="1" applyFill="1" applyBorder="1" applyAlignment="1" applyProtection="1">
      <alignment horizontal="center"/>
      <protection locked="0"/>
    </xf>
    <xf numFmtId="166" fontId="4" fillId="25" borderId="36" xfId="0" applyNumberFormat="1" applyFont="1" applyFill="1" applyBorder="1" applyAlignment="1" applyProtection="1">
      <alignment horizontal="center" vertical="center"/>
      <protection locked="0"/>
    </xf>
    <xf numFmtId="166" fontId="19" fillId="21" borderId="14" xfId="0" applyNumberFormat="1" applyFont="1" applyFill="1" applyBorder="1" applyAlignment="1" applyProtection="1">
      <alignment horizontal="center" vertical="center"/>
      <protection locked="0"/>
    </xf>
    <xf numFmtId="0" fontId="15" fillId="25" borderId="105" xfId="0" applyFont="1" applyFill="1" applyBorder="1" applyAlignment="1" applyProtection="1">
      <alignment horizontal="left"/>
      <protection locked="0"/>
    </xf>
    <xf numFmtId="0" fontId="0" fillId="21" borderId="105" xfId="0" applyFill="1" applyBorder="1" applyAlignment="1" applyProtection="1">
      <alignment horizontal="left"/>
      <protection locked="0"/>
    </xf>
    <xf numFmtId="37" fontId="6" fillId="25" borderId="10" xfId="0" applyNumberFormat="1" applyFont="1" applyFill="1" applyBorder="1" applyAlignment="1" applyProtection="1">
      <alignment horizontal="right"/>
      <protection locked="0"/>
    </xf>
    <xf numFmtId="37" fontId="6" fillId="21" borderId="1" xfId="0" applyNumberFormat="1" applyFont="1" applyFill="1" applyBorder="1" applyAlignment="1" applyProtection="1">
      <alignment horizontal="right"/>
      <protection locked="0"/>
    </xf>
    <xf numFmtId="0" fontId="6" fillId="3" borderId="3" xfId="0" applyFont="1" applyFill="1" applyBorder="1" applyAlignment="1" applyProtection="1">
      <alignment horizontal="center"/>
      <protection hidden="1"/>
    </xf>
    <xf numFmtId="0" fontId="0" fillId="0" borderId="21" xfId="0" applyBorder="1" applyAlignment="1"/>
    <xf numFmtId="0" fontId="17" fillId="3" borderId="27" xfId="0" applyFont="1" applyFill="1" applyBorder="1" applyAlignment="1" applyProtection="1">
      <alignment horizontal="center"/>
      <protection hidden="1"/>
    </xf>
    <xf numFmtId="0" fontId="68" fillId="3" borderId="88" xfId="0" applyFont="1" applyFill="1" applyBorder="1" applyAlignment="1" applyProtection="1">
      <alignment horizontal="center" vertical="center"/>
      <protection hidden="1"/>
    </xf>
    <xf numFmtId="0" fontId="112" fillId="0" borderId="9" xfId="0" applyFont="1" applyBorder="1" applyAlignment="1">
      <alignment horizontal="center" vertical="center"/>
    </xf>
    <xf numFmtId="0" fontId="68" fillId="3" borderId="9" xfId="0" applyFont="1" applyFill="1" applyBorder="1" applyAlignment="1" applyProtection="1">
      <alignment horizontal="center" vertical="center"/>
      <protection hidden="1"/>
    </xf>
    <xf numFmtId="0" fontId="0" fillId="0" borderId="9" xfId="0" applyBorder="1" applyAlignment="1">
      <alignment horizontal="center" vertical="center"/>
    </xf>
    <xf numFmtId="39" fontId="15" fillId="25" borderId="100" xfId="0" applyNumberFormat="1" applyFont="1" applyFill="1" applyBorder="1" applyAlignment="1" applyProtection="1">
      <alignment horizontal="left"/>
      <protection locked="0"/>
    </xf>
    <xf numFmtId="0" fontId="0" fillId="21" borderId="100" xfId="0" applyFill="1" applyBorder="1" applyAlignment="1" applyProtection="1">
      <alignment horizontal="left"/>
      <protection locked="0"/>
    </xf>
    <xf numFmtId="0" fontId="0" fillId="21" borderId="67" xfId="0" applyFill="1" applyBorder="1" applyAlignment="1" applyProtection="1">
      <alignment horizontal="left"/>
      <protection locked="0"/>
    </xf>
    <xf numFmtId="37" fontId="6" fillId="33" borderId="72" xfId="0" applyNumberFormat="1" applyFont="1" applyFill="1" applyBorder="1" applyAlignment="1" applyProtection="1">
      <alignment horizontal="right"/>
      <protection hidden="1"/>
    </xf>
    <xf numFmtId="37" fontId="5" fillId="33" borderId="5" xfId="0" applyNumberFormat="1" applyFont="1" applyFill="1" applyBorder="1" applyAlignment="1">
      <alignment horizontal="right"/>
    </xf>
    <xf numFmtId="14" fontId="4" fillId="25" borderId="1" xfId="0" applyNumberFormat="1" applyFont="1" applyFill="1" applyBorder="1" applyAlignment="1" applyProtection="1">
      <alignment horizontal="center"/>
      <protection locked="0"/>
    </xf>
    <xf numFmtId="39" fontId="5" fillId="3" borderId="0" xfId="0" applyNumberFormat="1" applyFont="1" applyFill="1" applyBorder="1" applyAlignment="1" applyProtection="1">
      <alignment horizontal="center"/>
      <protection hidden="1"/>
    </xf>
    <xf numFmtId="0" fontId="5" fillId="0" borderId="0" xfId="0" applyFont="1" applyAlignment="1">
      <alignment horizontal="center"/>
    </xf>
    <xf numFmtId="3" fontId="6" fillId="21" borderId="40" xfId="0" applyNumberFormat="1" applyFont="1" applyFill="1" applyBorder="1" applyAlignment="1" applyProtection="1">
      <alignment horizontal="right"/>
      <protection locked="0"/>
    </xf>
    <xf numFmtId="3" fontId="6" fillId="21" borderId="26" xfId="0" applyNumberFormat="1" applyFont="1" applyFill="1" applyBorder="1" applyAlignment="1" applyProtection="1">
      <alignment horizontal="right"/>
      <protection locked="0"/>
    </xf>
    <xf numFmtId="3" fontId="6" fillId="25" borderId="10" xfId="0" applyNumberFormat="1" applyFont="1" applyFill="1" applyBorder="1" applyAlignment="1" applyProtection="1">
      <alignment horizontal="right"/>
      <protection locked="0"/>
    </xf>
    <xf numFmtId="3" fontId="6" fillId="25" borderId="1" xfId="0" applyNumberFormat="1" applyFont="1" applyFill="1" applyBorder="1" applyAlignment="1" applyProtection="1">
      <alignment horizontal="right"/>
      <protection locked="0"/>
    </xf>
    <xf numFmtId="3" fontId="5" fillId="25" borderId="31" xfId="0" applyNumberFormat="1" applyFont="1" applyFill="1" applyBorder="1" applyAlignment="1" applyProtection="1">
      <alignment horizontal="right"/>
      <protection locked="0"/>
    </xf>
    <xf numFmtId="3" fontId="5" fillId="25" borderId="9" xfId="0" applyNumberFormat="1" applyFont="1" applyFill="1" applyBorder="1" applyAlignment="1" applyProtection="1">
      <alignment horizontal="right"/>
      <protection locked="0"/>
    </xf>
    <xf numFmtId="3" fontId="5" fillId="25" borderId="10" xfId="0" applyNumberFormat="1" applyFont="1" applyFill="1" applyBorder="1" applyAlignment="1" applyProtection="1">
      <alignment horizontal="right"/>
      <protection locked="0"/>
    </xf>
    <xf numFmtId="3" fontId="5" fillId="25" borderId="1" xfId="0" applyNumberFormat="1" applyFont="1" applyFill="1" applyBorder="1" applyAlignment="1" applyProtection="1">
      <alignment horizontal="right"/>
      <protection locked="0"/>
    </xf>
    <xf numFmtId="3" fontId="6" fillId="21" borderId="53" xfId="0" applyNumberFormat="1" applyFont="1" applyFill="1" applyBorder="1" applyAlignment="1" applyProtection="1">
      <alignment horizontal="right"/>
      <protection locked="0"/>
    </xf>
    <xf numFmtId="3" fontId="6" fillId="21" borderId="32" xfId="0" applyNumberFormat="1" applyFont="1" applyFill="1" applyBorder="1" applyAlignment="1" applyProtection="1">
      <alignment horizontal="right"/>
      <protection locked="0"/>
    </xf>
    <xf numFmtId="0" fontId="78" fillId="14" borderId="64" xfId="2" applyFill="1" applyBorder="1" applyAlignment="1" applyProtection="1">
      <alignment horizontal="center" vertical="center" wrapText="1"/>
    </xf>
    <xf numFmtId="0" fontId="78" fillId="14" borderId="65" xfId="2" applyFill="1" applyBorder="1" applyAlignment="1" applyProtection="1">
      <alignment horizontal="center" vertical="center" wrapText="1"/>
    </xf>
    <xf numFmtId="0" fontId="78" fillId="14" borderId="66" xfId="2" applyFill="1" applyBorder="1" applyAlignment="1" applyProtection="1">
      <alignment horizontal="center" vertical="center" wrapText="1"/>
    </xf>
    <xf numFmtId="39" fontId="8" fillId="25" borderId="103" xfId="0" applyNumberFormat="1" applyFont="1" applyFill="1" applyBorder="1" applyAlignment="1" applyProtection="1">
      <protection locked="0"/>
    </xf>
    <xf numFmtId="0" fontId="0" fillId="21" borderId="103" xfId="0" applyFill="1" applyBorder="1" applyAlignment="1" applyProtection="1">
      <protection locked="0"/>
    </xf>
    <xf numFmtId="0" fontId="0" fillId="21" borderId="104" xfId="0" applyFill="1" applyBorder="1" applyAlignment="1" applyProtection="1">
      <protection locked="0"/>
    </xf>
    <xf numFmtId="0" fontId="8" fillId="21" borderId="103" xfId="0" applyFont="1" applyFill="1" applyBorder="1" applyAlignment="1" applyProtection="1">
      <protection locked="0"/>
    </xf>
    <xf numFmtId="39" fontId="8" fillId="25" borderId="100" xfId="0" applyNumberFormat="1" applyFont="1" applyFill="1" applyBorder="1" applyAlignment="1" applyProtection="1">
      <protection locked="0"/>
    </xf>
    <xf numFmtId="0" fontId="0" fillId="21" borderId="100" xfId="0" applyFill="1" applyBorder="1" applyAlignment="1" applyProtection="1">
      <protection locked="0"/>
    </xf>
    <xf numFmtId="0" fontId="0" fillId="21" borderId="101" xfId="0" applyFill="1" applyBorder="1" applyAlignment="1" applyProtection="1">
      <protection locked="0"/>
    </xf>
    <xf numFmtId="0" fontId="78" fillId="14" borderId="64" xfId="2" applyFill="1" applyBorder="1" applyAlignment="1" applyProtection="1">
      <alignment horizontal="center" vertical="center"/>
    </xf>
    <xf numFmtId="0" fontId="78" fillId="14" borderId="65" xfId="2" applyFill="1" applyBorder="1" applyAlignment="1" applyProtection="1">
      <alignment horizontal="center" vertical="center"/>
    </xf>
    <xf numFmtId="0" fontId="78" fillId="14" borderId="66" xfId="2" applyFill="1" applyBorder="1" applyAlignment="1" applyProtection="1">
      <alignment horizontal="center" vertical="center"/>
    </xf>
    <xf numFmtId="3" fontId="6" fillId="33" borderId="72" xfId="0" applyNumberFormat="1" applyFont="1" applyFill="1" applyBorder="1" applyAlignment="1" applyProtection="1">
      <alignment horizontal="right"/>
      <protection hidden="1"/>
    </xf>
    <xf numFmtId="0" fontId="0" fillId="33" borderId="5" xfId="0" applyFill="1" applyBorder="1" applyAlignment="1" applyProtection="1">
      <alignment horizontal="right"/>
      <protection hidden="1"/>
    </xf>
    <xf numFmtId="37" fontId="6" fillId="33" borderId="31" xfId="0" applyNumberFormat="1" applyFont="1" applyFill="1" applyBorder="1" applyAlignment="1" applyProtection="1">
      <alignment horizontal="right"/>
      <protection hidden="1"/>
    </xf>
    <xf numFmtId="37" fontId="5" fillId="33" borderId="9" xfId="0" applyNumberFormat="1" applyFont="1" applyFill="1" applyBorder="1" applyAlignment="1">
      <alignment horizontal="right"/>
    </xf>
    <xf numFmtId="37" fontId="5" fillId="33" borderId="10" xfId="0" applyNumberFormat="1" applyFont="1" applyFill="1" applyBorder="1" applyAlignment="1">
      <alignment horizontal="right"/>
    </xf>
    <xf numFmtId="37" fontId="5" fillId="33" borderId="1" xfId="0" applyNumberFormat="1" applyFont="1" applyFill="1" applyBorder="1" applyAlignment="1">
      <alignment horizontal="right"/>
    </xf>
    <xf numFmtId="3" fontId="6" fillId="21" borderId="1" xfId="0" applyNumberFormat="1" applyFont="1" applyFill="1" applyBorder="1" applyAlignment="1" applyProtection="1">
      <alignment horizontal="right"/>
      <protection locked="0"/>
    </xf>
    <xf numFmtId="0" fontId="19" fillId="3" borderId="0" xfId="0" applyFont="1" applyFill="1" applyBorder="1" applyAlignment="1" applyProtection="1">
      <alignment horizontal="left"/>
      <protection hidden="1"/>
    </xf>
    <xf numFmtId="3" fontId="6" fillId="33" borderId="10" xfId="0" applyNumberFormat="1" applyFont="1" applyFill="1" applyBorder="1" applyAlignment="1" applyProtection="1">
      <alignment horizontal="right"/>
      <protection hidden="1"/>
    </xf>
    <xf numFmtId="3" fontId="6" fillId="33" borderId="1" xfId="0" applyNumberFormat="1" applyFont="1" applyFill="1" applyBorder="1" applyAlignment="1" applyProtection="1">
      <alignment horizontal="right"/>
      <protection hidden="1"/>
    </xf>
    <xf numFmtId="0" fontId="6" fillId="3" borderId="0" xfId="0" applyFont="1" applyFill="1" applyBorder="1" applyAlignment="1" applyProtection="1">
      <alignment vertical="top" wrapText="1"/>
      <protection hidden="1"/>
    </xf>
    <xf numFmtId="0" fontId="0" fillId="0" borderId="0" xfId="0" applyBorder="1" applyAlignment="1">
      <alignment vertical="top" wrapText="1"/>
    </xf>
    <xf numFmtId="0" fontId="0" fillId="0" borderId="5" xfId="0" applyBorder="1" applyAlignment="1">
      <alignment vertical="top" wrapText="1"/>
    </xf>
    <xf numFmtId="0" fontId="0" fillId="0" borderId="73" xfId="0" applyBorder="1" applyAlignment="1"/>
    <xf numFmtId="0" fontId="0" fillId="0" borderId="0" xfId="0" applyBorder="1" applyAlignment="1" applyProtection="1">
      <alignment vertical="top" wrapText="1"/>
      <protection hidden="1"/>
    </xf>
    <xf numFmtId="0" fontId="0" fillId="0" borderId="5" xfId="0" applyBorder="1" applyAlignment="1" applyProtection="1">
      <alignment vertical="top" wrapText="1"/>
      <protection hidden="1"/>
    </xf>
    <xf numFmtId="37" fontId="6" fillId="25" borderId="12" xfId="0" applyNumberFormat="1" applyFont="1" applyFill="1" applyBorder="1" applyAlignment="1" applyProtection="1">
      <alignment horizontal="right"/>
      <protection locked="0"/>
    </xf>
    <xf numFmtId="37" fontId="6" fillId="27" borderId="10" xfId="0" applyNumberFormat="1" applyFont="1" applyFill="1" applyBorder="1" applyAlignment="1" applyProtection="1">
      <alignment horizontal="right"/>
      <protection hidden="1"/>
    </xf>
    <xf numFmtId="37" fontId="6" fillId="27" borderId="1" xfId="0" applyNumberFormat="1" applyFont="1" applyFill="1" applyBorder="1" applyAlignment="1" applyProtection="1">
      <alignment horizontal="right"/>
      <protection hidden="1"/>
    </xf>
    <xf numFmtId="37" fontId="6" fillId="27" borderId="12" xfId="0" applyNumberFormat="1" applyFont="1" applyFill="1" applyBorder="1" applyAlignment="1" applyProtection="1">
      <alignment horizontal="right"/>
      <protection hidden="1"/>
    </xf>
    <xf numFmtId="0" fontId="11" fillId="3" borderId="6" xfId="0" applyFont="1" applyFill="1" applyBorder="1" applyAlignment="1" applyProtection="1">
      <alignment horizontal="center"/>
      <protection hidden="1"/>
    </xf>
    <xf numFmtId="37" fontId="182" fillId="3" borderId="31" xfId="0" applyNumberFormat="1" applyFont="1" applyFill="1" applyBorder="1" applyAlignment="1" applyProtection="1">
      <alignment horizontal="right"/>
      <protection hidden="1"/>
    </xf>
    <xf numFmtId="37" fontId="182" fillId="0" borderId="15" xfId="0" applyNumberFormat="1" applyFont="1" applyBorder="1" applyAlignment="1" applyProtection="1">
      <alignment horizontal="right"/>
      <protection hidden="1"/>
    </xf>
    <xf numFmtId="37" fontId="182" fillId="0" borderId="9" xfId="0" applyNumberFormat="1" applyFont="1" applyBorder="1" applyAlignment="1" applyProtection="1">
      <alignment horizontal="right"/>
      <protection hidden="1"/>
    </xf>
    <xf numFmtId="0" fontId="161" fillId="0" borderId="15" xfId="0" applyFont="1" applyBorder="1" applyAlignment="1">
      <alignment horizontal="right"/>
    </xf>
    <xf numFmtId="4" fontId="5" fillId="3" borderId="9" xfId="0" applyNumberFormat="1" applyFont="1" applyFill="1"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0" fontId="0" fillId="0" borderId="15" xfId="0" applyBorder="1" applyAlignment="1" applyProtection="1">
      <alignment horizontal="left" vertical="center" wrapText="1"/>
      <protection hidden="1"/>
    </xf>
    <xf numFmtId="0" fontId="0" fillId="0" borderId="1" xfId="0" applyBorder="1" applyAlignment="1">
      <alignment horizontal="left" vertical="center" wrapText="1"/>
    </xf>
    <xf numFmtId="0" fontId="0" fillId="0" borderId="12" xfId="0" applyBorder="1" applyAlignment="1">
      <alignment horizontal="left" vertical="center" wrapText="1"/>
    </xf>
    <xf numFmtId="0" fontId="5" fillId="3" borderId="9" xfId="0" applyFont="1" applyFill="1" applyBorder="1" applyAlignment="1" applyProtection="1">
      <alignment horizontal="left" vertical="top" wrapText="1"/>
      <protection hidden="1"/>
    </xf>
    <xf numFmtId="0" fontId="5" fillId="0" borderId="0" xfId="0" applyFont="1" applyAlignment="1">
      <alignment horizontal="left" vertical="top"/>
    </xf>
    <xf numFmtId="0" fontId="5" fillId="0" borderId="25" xfId="0" applyFont="1" applyBorder="1" applyAlignment="1"/>
    <xf numFmtId="0" fontId="5" fillId="0" borderId="1" xfId="0" applyFont="1" applyBorder="1" applyAlignment="1">
      <alignment horizontal="left" vertical="top"/>
    </xf>
    <xf numFmtId="0" fontId="5" fillId="0" borderId="1" xfId="0" applyFont="1" applyBorder="1" applyAlignment="1"/>
    <xf numFmtId="0" fontId="5" fillId="0" borderId="12" xfId="0" applyFont="1" applyBorder="1" applyAlignment="1"/>
    <xf numFmtId="0" fontId="17" fillId="3" borderId="31" xfId="0" applyFont="1" applyFill="1" applyBorder="1" applyAlignment="1" applyProtection="1">
      <alignment horizontal="center" vertical="center" wrapText="1"/>
      <protection hidden="1"/>
    </xf>
    <xf numFmtId="0" fontId="3" fillId="0" borderId="15" xfId="0" applyFont="1" applyBorder="1" applyAlignment="1">
      <alignment horizontal="center" vertical="center"/>
    </xf>
    <xf numFmtId="0" fontId="3" fillId="0" borderId="3" xfId="0" applyFont="1" applyBorder="1" applyAlignment="1">
      <alignment horizontal="center" vertical="center"/>
    </xf>
    <xf numFmtId="0" fontId="3" fillId="0" borderId="25"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4" fontId="17" fillId="3" borderId="16" xfId="0" applyNumberFormat="1" applyFont="1" applyFill="1" applyBorder="1" applyAlignment="1" applyProtection="1">
      <alignment horizontal="center" vertical="center" wrapText="1"/>
      <protection hidden="1"/>
    </xf>
    <xf numFmtId="4" fontId="17" fillId="3" borderId="7" xfId="0" applyNumberFormat="1" applyFont="1" applyFill="1" applyBorder="1" applyAlignment="1" applyProtection="1">
      <alignment horizontal="center" vertical="center"/>
      <protection hidden="1"/>
    </xf>
    <xf numFmtId="4" fontId="17" fillId="3" borderId="11" xfId="0" applyNumberFormat="1" applyFont="1" applyFill="1" applyBorder="1" applyAlignment="1" applyProtection="1">
      <alignment horizontal="center" vertical="center"/>
      <protection hidden="1"/>
    </xf>
    <xf numFmtId="4" fontId="17" fillId="3" borderId="31" xfId="0" applyNumberFormat="1" applyFont="1" applyFill="1" applyBorder="1" applyAlignment="1" applyProtection="1">
      <alignment horizontal="center" vertical="center" wrapText="1"/>
      <protection hidden="1"/>
    </xf>
    <xf numFmtId="4" fontId="17" fillId="3" borderId="9" xfId="0" applyNumberFormat="1" applyFont="1" applyFill="1" applyBorder="1" applyAlignment="1" applyProtection="1">
      <alignment horizontal="center" vertical="center" wrapText="1"/>
      <protection hidden="1"/>
    </xf>
    <xf numFmtId="4" fontId="17" fillId="3" borderId="15" xfId="0" applyNumberFormat="1" applyFont="1" applyFill="1" applyBorder="1" applyAlignment="1" applyProtection="1">
      <alignment horizontal="center" vertical="center" wrapText="1"/>
      <protection hidden="1"/>
    </xf>
    <xf numFmtId="4" fontId="17" fillId="3" borderId="3" xfId="0" applyNumberFormat="1" applyFont="1" applyFill="1" applyBorder="1" applyAlignment="1" applyProtection="1">
      <alignment horizontal="center" vertical="center" wrapText="1"/>
      <protection hidden="1"/>
    </xf>
    <xf numFmtId="4" fontId="17" fillId="3" borderId="0" xfId="0" applyNumberFormat="1" applyFont="1" applyFill="1" applyBorder="1" applyAlignment="1" applyProtection="1">
      <alignment horizontal="center" vertical="center" wrapText="1"/>
      <protection hidden="1"/>
    </xf>
    <xf numFmtId="4" fontId="17" fillId="3" borderId="25" xfId="0" applyNumberFormat="1" applyFont="1" applyFill="1" applyBorder="1" applyAlignment="1" applyProtection="1">
      <alignment horizontal="center" vertical="center" wrapText="1"/>
      <protection hidden="1"/>
    </xf>
    <xf numFmtId="4" fontId="17" fillId="3" borderId="10" xfId="0" applyNumberFormat="1" applyFont="1" applyFill="1" applyBorder="1" applyAlignment="1" applyProtection="1">
      <alignment horizontal="center" vertical="center" wrapText="1"/>
      <protection hidden="1"/>
    </xf>
    <xf numFmtId="4" fontId="17" fillId="3" borderId="1" xfId="0" applyNumberFormat="1" applyFont="1" applyFill="1" applyBorder="1" applyAlignment="1" applyProtection="1">
      <alignment horizontal="center" vertical="center" wrapText="1"/>
      <protection hidden="1"/>
    </xf>
    <xf numFmtId="4" fontId="17" fillId="3" borderId="12" xfId="0" applyNumberFormat="1" applyFont="1" applyFill="1" applyBorder="1" applyAlignment="1" applyProtection="1">
      <alignment horizontal="center" vertical="center" wrapText="1"/>
      <protection hidden="1"/>
    </xf>
    <xf numFmtId="37" fontId="6" fillId="33" borderId="12" xfId="0" applyNumberFormat="1" applyFont="1" applyFill="1" applyBorder="1" applyAlignment="1" applyProtection="1">
      <alignment horizontal="right"/>
      <protection hidden="1"/>
    </xf>
    <xf numFmtId="0" fontId="5" fillId="20" borderId="9" xfId="0" applyFont="1" applyFill="1" applyBorder="1" applyAlignment="1">
      <alignment wrapText="1"/>
    </xf>
    <xf numFmtId="0" fontId="0" fillId="0" borderId="9" xfId="0" applyBorder="1" applyAlignment="1">
      <alignment wrapText="1"/>
    </xf>
    <xf numFmtId="0" fontId="0" fillId="0" borderId="15" xfId="0" applyBorder="1" applyAlignment="1">
      <alignment wrapText="1"/>
    </xf>
    <xf numFmtId="37" fontId="6" fillId="3" borderId="31" xfId="0" applyNumberFormat="1" applyFont="1" applyFill="1" applyBorder="1" applyAlignment="1" applyProtection="1">
      <alignment horizontal="right"/>
      <protection locked="0"/>
    </xf>
    <xf numFmtId="0" fontId="0" fillId="0" borderId="9" xfId="0" applyBorder="1" applyAlignment="1" applyProtection="1">
      <alignment horizontal="right"/>
      <protection locked="0"/>
    </xf>
    <xf numFmtId="0" fontId="5" fillId="3" borderId="9" xfId="0" applyFont="1" applyFill="1" applyBorder="1" applyAlignment="1" applyProtection="1">
      <alignment wrapText="1"/>
      <protection hidden="1"/>
    </xf>
    <xf numFmtId="37" fontId="6" fillId="19" borderId="31" xfId="0" applyNumberFormat="1" applyFont="1" applyFill="1" applyBorder="1" applyAlignment="1" applyProtection="1">
      <alignment horizontal="right"/>
      <protection hidden="1"/>
    </xf>
    <xf numFmtId="0" fontId="0" fillId="0" borderId="9" xfId="0" applyBorder="1" applyAlignment="1" applyProtection="1">
      <alignment horizontal="right"/>
      <protection hidden="1"/>
    </xf>
    <xf numFmtId="0" fontId="11" fillId="0" borderId="1" xfId="0" quotePrefix="1" applyFont="1" applyBorder="1" applyAlignment="1" applyProtection="1">
      <alignment horizontal="center"/>
      <protection hidden="1"/>
    </xf>
    <xf numFmtId="0" fontId="11" fillId="0" borderId="1" xfId="0" applyFont="1" applyBorder="1" applyAlignment="1">
      <alignment horizontal="center"/>
    </xf>
    <xf numFmtId="39" fontId="175" fillId="3" borderId="31" xfId="0" applyNumberFormat="1" applyFont="1" applyFill="1" applyBorder="1" applyAlignment="1" applyProtection="1">
      <alignment wrapText="1"/>
      <protection hidden="1"/>
    </xf>
    <xf numFmtId="0" fontId="175" fillId="3" borderId="9" xfId="0" applyFont="1" applyFill="1" applyBorder="1" applyAlignment="1" applyProtection="1">
      <alignment wrapText="1"/>
      <protection hidden="1"/>
    </xf>
    <xf numFmtId="0" fontId="175" fillId="3" borderId="3" xfId="0" applyFont="1" applyFill="1" applyBorder="1" applyAlignment="1" applyProtection="1">
      <alignment wrapText="1"/>
      <protection hidden="1"/>
    </xf>
    <xf numFmtId="0" fontId="175" fillId="3" borderId="0" xfId="0" applyFont="1" applyFill="1" applyBorder="1" applyAlignment="1" applyProtection="1">
      <alignment wrapText="1"/>
      <protection hidden="1"/>
    </xf>
    <xf numFmtId="0" fontId="0" fillId="0" borderId="3" xfId="0" applyBorder="1" applyAlignment="1">
      <alignment wrapText="1"/>
    </xf>
    <xf numFmtId="0" fontId="0" fillId="0" borderId="0" xfId="0" applyBorder="1" applyAlignment="1">
      <alignment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37" fontId="1" fillId="33" borderId="72" xfId="0" applyNumberFormat="1" applyFont="1" applyFill="1" applyBorder="1" applyAlignment="1" applyProtection="1">
      <alignment horizontal="right"/>
      <protection hidden="1"/>
    </xf>
    <xf numFmtId="0" fontId="0" fillId="30" borderId="5" xfId="0" applyFill="1" applyBorder="1" applyAlignment="1" applyProtection="1">
      <alignment horizontal="right"/>
      <protection hidden="1"/>
    </xf>
    <xf numFmtId="37" fontId="6" fillId="3" borderId="31" xfId="0" applyNumberFormat="1" applyFont="1" applyFill="1" applyBorder="1" applyAlignment="1" applyProtection="1">
      <alignment horizontal="right"/>
      <protection hidden="1"/>
    </xf>
    <xf numFmtId="37" fontId="6" fillId="31" borderId="10" xfId="0" applyNumberFormat="1" applyFont="1" applyFill="1" applyBorder="1" applyAlignment="1" applyProtection="1">
      <alignment horizontal="right"/>
      <protection hidden="1"/>
    </xf>
    <xf numFmtId="0" fontId="17" fillId="0" borderId="1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0" xfId="0" applyFont="1" applyAlignment="1">
      <alignment horizontal="center" vertical="center" wrapText="1"/>
    </xf>
    <xf numFmtId="0" fontId="17" fillId="0" borderId="10" xfId="0" applyFont="1" applyBorder="1" applyAlignment="1">
      <alignment horizontal="center" vertical="center" wrapText="1"/>
    </xf>
    <xf numFmtId="0" fontId="17" fillId="0" borderId="1" xfId="0" applyFont="1" applyBorder="1" applyAlignment="1">
      <alignment horizontal="center" vertical="center" wrapText="1"/>
    </xf>
    <xf numFmtId="37" fontId="1" fillId="3" borderId="31" xfId="0" applyNumberFormat="1" applyFont="1" applyFill="1" applyBorder="1" applyAlignment="1" applyProtection="1">
      <alignment horizontal="right"/>
      <protection hidden="1"/>
    </xf>
    <xf numFmtId="0" fontId="0" fillId="0" borderId="9" xfId="0" applyBorder="1" applyAlignment="1">
      <alignment horizontal="right"/>
    </xf>
    <xf numFmtId="0" fontId="3" fillId="0" borderId="7" xfId="0" applyFont="1" applyBorder="1" applyAlignment="1">
      <alignment horizontal="center" vertical="center" wrapText="1"/>
    </xf>
    <xf numFmtId="0" fontId="3" fillId="0" borderId="11" xfId="0" applyFont="1" applyBorder="1" applyAlignment="1">
      <alignment horizontal="center" vertical="center" wrapText="1"/>
    </xf>
    <xf numFmtId="0" fontId="21" fillId="3" borderId="6" xfId="0" applyFont="1" applyFill="1" applyBorder="1" applyAlignment="1" applyProtection="1">
      <alignment horizontal="center" vertical="center"/>
      <protection hidden="1"/>
    </xf>
    <xf numFmtId="0" fontId="88" fillId="0" borderId="0" xfId="0" applyFont="1" applyAlignment="1" applyProtection="1">
      <alignment horizontal="center" vertical="center"/>
      <protection hidden="1"/>
    </xf>
    <xf numFmtId="0" fontId="88" fillId="0" borderId="21" xfId="0" applyFont="1" applyBorder="1" applyAlignment="1" applyProtection="1">
      <alignment horizontal="center" vertical="center"/>
      <protection hidden="1"/>
    </xf>
    <xf numFmtId="0" fontId="88" fillId="0" borderId="6" xfId="0" applyFont="1" applyBorder="1" applyAlignment="1">
      <alignment horizontal="center" vertical="center"/>
    </xf>
    <xf numFmtId="0" fontId="88" fillId="0" borderId="0" xfId="0" applyFont="1" applyAlignment="1">
      <alignment horizontal="center" vertical="center"/>
    </xf>
    <xf numFmtId="0" fontId="88" fillId="0" borderId="21" xfId="0" applyFont="1" applyBorder="1" applyAlignment="1">
      <alignment horizontal="center" vertical="center"/>
    </xf>
    <xf numFmtId="4" fontId="11" fillId="3" borderId="59" xfId="0" applyNumberFormat="1" applyFont="1" applyFill="1" applyBorder="1" applyAlignment="1" applyProtection="1">
      <alignment horizontal="center"/>
      <protection hidden="1"/>
    </xf>
    <xf numFmtId="4" fontId="11" fillId="3" borderId="8" xfId="0" applyNumberFormat="1" applyFont="1" applyFill="1" applyBorder="1" applyAlignment="1" applyProtection="1">
      <alignment horizontal="center"/>
      <protection hidden="1"/>
    </xf>
    <xf numFmtId="166" fontId="10" fillId="33" borderId="10" xfId="0" applyNumberFormat="1" applyFont="1" applyFill="1" applyBorder="1" applyAlignment="1" applyProtection="1">
      <alignment horizontal="center"/>
      <protection hidden="1"/>
    </xf>
    <xf numFmtId="166" fontId="10" fillId="33" borderId="1" xfId="0" applyNumberFormat="1" applyFont="1" applyFill="1" applyBorder="1" applyAlignment="1" applyProtection="1">
      <alignment horizontal="center"/>
      <protection hidden="1"/>
    </xf>
    <xf numFmtId="0" fontId="14" fillId="30" borderId="1" xfId="0" applyFont="1" applyFill="1" applyBorder="1" applyAlignment="1">
      <alignment horizontal="center"/>
    </xf>
    <xf numFmtId="4" fontId="17" fillId="3" borderId="27" xfId="0" applyNumberFormat="1" applyFont="1" applyFill="1" applyBorder="1" applyAlignment="1" applyProtection="1">
      <alignment horizontal="center"/>
      <protection hidden="1"/>
    </xf>
    <xf numFmtId="0" fontId="17" fillId="0" borderId="9" xfId="0" applyFont="1" applyBorder="1" applyAlignment="1">
      <alignment horizontal="center" vertical="center"/>
    </xf>
    <xf numFmtId="0" fontId="17" fillId="0" borderId="3" xfId="0" applyFont="1" applyBorder="1" applyAlignment="1">
      <alignment horizontal="center" vertical="center"/>
    </xf>
    <xf numFmtId="0" fontId="17" fillId="0" borderId="0" xfId="0" applyFont="1" applyAlignment="1">
      <alignment horizontal="center" vertical="center"/>
    </xf>
    <xf numFmtId="0" fontId="17" fillId="0" borderId="10" xfId="0" applyFont="1" applyBorder="1" applyAlignment="1">
      <alignment horizontal="center" vertical="center"/>
    </xf>
    <xf numFmtId="0" fontId="17" fillId="0" borderId="1" xfId="0" applyFont="1" applyBorder="1" applyAlignment="1">
      <alignment horizontal="center" vertical="center"/>
    </xf>
    <xf numFmtId="1" fontId="86" fillId="3" borderId="88" xfId="0" applyNumberFormat="1" applyFont="1" applyFill="1" applyBorder="1" applyAlignment="1" applyProtection="1">
      <alignment horizontal="center" vertical="center"/>
      <protection hidden="1"/>
    </xf>
    <xf numFmtId="0" fontId="185" fillId="0" borderId="9" xfId="0" applyFont="1" applyBorder="1" applyAlignment="1">
      <alignment horizontal="center" vertical="center"/>
    </xf>
    <xf numFmtId="0" fontId="185" fillId="0" borderId="6" xfId="0" applyFont="1" applyBorder="1" applyAlignment="1">
      <alignment horizontal="center" vertical="center"/>
    </xf>
    <xf numFmtId="0" fontId="185" fillId="0" borderId="0" xfId="0" applyFont="1" applyAlignment="1">
      <alignment horizontal="center" vertical="center"/>
    </xf>
    <xf numFmtId="0" fontId="8" fillId="3" borderId="6" xfId="0" applyFont="1" applyFill="1" applyBorder="1" applyAlignment="1" applyProtection="1">
      <alignment vertical="center" wrapText="1"/>
      <protection hidden="1"/>
    </xf>
    <xf numFmtId="0" fontId="0" fillId="0" borderId="22" xfId="0" applyBorder="1" applyAlignment="1">
      <alignment vertical="center"/>
    </xf>
    <xf numFmtId="0" fontId="0" fillId="0" borderId="5" xfId="0" applyBorder="1" applyAlignment="1">
      <alignment vertical="center"/>
    </xf>
    <xf numFmtId="0" fontId="0" fillId="0" borderId="15" xfId="0"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0" fillId="0" borderId="25" xfId="0"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2" xfId="0" applyBorder="1" applyAlignment="1">
      <alignment horizontal="center" vertical="center" wrapText="1"/>
    </xf>
    <xf numFmtId="0" fontId="17" fillId="3" borderId="16" xfId="0" applyFont="1" applyFill="1" applyBorder="1" applyAlignment="1" applyProtection="1">
      <alignment horizontal="center" vertical="center" wrapText="1"/>
      <protection hidden="1"/>
    </xf>
    <xf numFmtId="0" fontId="0" fillId="0" borderId="7" xfId="0" applyBorder="1" applyAlignment="1">
      <alignment horizontal="center" vertical="center"/>
    </xf>
    <xf numFmtId="0" fontId="0" fillId="0" borderId="11" xfId="0" applyBorder="1" applyAlignment="1">
      <alignment horizontal="center" vertical="center"/>
    </xf>
    <xf numFmtId="37" fontId="6" fillId="33" borderId="10" xfId="0" applyNumberFormat="1" applyFont="1" applyFill="1" applyBorder="1" applyAlignment="1" applyProtection="1">
      <alignment horizontal="right"/>
      <protection locked="0"/>
    </xf>
    <xf numFmtId="0" fontId="0" fillId="33" borderId="1" xfId="0" applyFill="1" applyBorder="1" applyAlignment="1" applyProtection="1">
      <alignment horizontal="right"/>
      <protection locked="0"/>
    </xf>
    <xf numFmtId="0" fontId="33" fillId="11" borderId="0" xfId="0" applyFont="1" applyFill="1" applyBorder="1" applyAlignment="1" applyProtection="1">
      <alignment horizontal="center" vertical="center"/>
      <protection hidden="1"/>
    </xf>
    <xf numFmtId="0" fontId="0" fillId="30" borderId="1" xfId="0" applyFill="1" applyBorder="1" applyAlignment="1" applyProtection="1">
      <alignment horizontal="right"/>
      <protection locked="0"/>
    </xf>
    <xf numFmtId="37" fontId="6" fillId="3" borderId="31" xfId="0" applyNumberFormat="1" applyFont="1" applyFill="1" applyBorder="1" applyAlignment="1" applyProtection="1">
      <protection hidden="1"/>
    </xf>
    <xf numFmtId="0" fontId="4" fillId="0" borderId="9" xfId="0" applyFont="1" applyBorder="1" applyAlignment="1" applyProtection="1">
      <protection hidden="1"/>
    </xf>
    <xf numFmtId="0" fontId="175" fillId="5" borderId="8" xfId="0" applyFont="1" applyFill="1" applyBorder="1" applyAlignment="1" applyProtection="1">
      <alignment horizontal="center" vertical="center" wrapText="1"/>
      <protection hidden="1"/>
    </xf>
    <xf numFmtId="0" fontId="0" fillId="0" borderId="0" xfId="0" applyAlignment="1">
      <alignment vertical="center" wrapText="1"/>
    </xf>
    <xf numFmtId="0" fontId="89" fillId="3" borderId="3" xfId="0" applyFont="1" applyFill="1" applyBorder="1" applyAlignment="1" applyProtection="1">
      <alignment horizontal="center" vertical="center"/>
      <protection hidden="1"/>
    </xf>
    <xf numFmtId="0" fontId="104" fillId="0" borderId="0" xfId="0" applyFont="1" applyAlignment="1">
      <alignment horizontal="center" vertical="center"/>
    </xf>
    <xf numFmtId="0" fontId="3" fillId="3" borderId="0" xfId="0" applyFont="1" applyFill="1" applyBorder="1" applyAlignment="1" applyProtection="1">
      <alignment horizontal="left" vertical="top" wrapText="1"/>
      <protection hidden="1"/>
    </xf>
    <xf numFmtId="0" fontId="0" fillId="0" borderId="0" xfId="0" applyAlignment="1">
      <alignment horizontal="left" wrapText="1"/>
    </xf>
    <xf numFmtId="0" fontId="181" fillId="2" borderId="9" xfId="0" applyFont="1" applyFill="1" applyBorder="1" applyAlignment="1" applyProtection="1">
      <alignment horizontal="left" vertical="center"/>
      <protection hidden="1"/>
    </xf>
    <xf numFmtId="0" fontId="181" fillId="0" borderId="9" xfId="0" applyFont="1" applyBorder="1" applyAlignment="1" applyProtection="1">
      <alignment horizontal="left" vertical="center"/>
      <protection hidden="1"/>
    </xf>
    <xf numFmtId="37" fontId="6" fillId="25" borderId="40" xfId="0" applyNumberFormat="1" applyFont="1" applyFill="1" applyBorder="1" applyAlignment="1" applyProtection="1">
      <alignment horizontal="right" wrapText="1"/>
      <protection locked="0"/>
    </xf>
    <xf numFmtId="37" fontId="6" fillId="25" borderId="26" xfId="0" applyNumberFormat="1" applyFont="1" applyFill="1" applyBorder="1" applyAlignment="1" applyProtection="1">
      <alignment horizontal="right" wrapText="1"/>
      <protection locked="0"/>
    </xf>
    <xf numFmtId="37" fontId="6" fillId="25" borderId="55" xfId="0" applyNumberFormat="1" applyFont="1" applyFill="1" applyBorder="1" applyAlignment="1" applyProtection="1">
      <alignment horizontal="right" wrapText="1"/>
      <protection locked="0"/>
    </xf>
    <xf numFmtId="0" fontId="11" fillId="25" borderId="4" xfId="0" applyFont="1" applyFill="1" applyBorder="1" applyAlignment="1" applyProtection="1">
      <alignment horizontal="center"/>
      <protection locked="0"/>
    </xf>
    <xf numFmtId="0" fontId="11" fillId="21" borderId="95" xfId="0" applyFont="1" applyFill="1" applyBorder="1" applyAlignment="1" applyProtection="1">
      <alignment horizontal="center"/>
      <protection locked="0"/>
    </xf>
    <xf numFmtId="0" fontId="5" fillId="3" borderId="59" xfId="0" applyFont="1" applyFill="1" applyBorder="1" applyAlignment="1" applyProtection="1">
      <alignment horizontal="left" vertical="center"/>
      <protection hidden="1"/>
    </xf>
    <xf numFmtId="0" fontId="5" fillId="3" borderId="8" xfId="0" applyFont="1" applyFill="1" applyBorder="1" applyAlignment="1" applyProtection="1">
      <alignment horizontal="left" vertical="center"/>
      <protection hidden="1"/>
    </xf>
    <xf numFmtId="0" fontId="5" fillId="0" borderId="8" xfId="0" applyFont="1" applyBorder="1" applyAlignment="1" applyProtection="1">
      <alignment horizontal="left"/>
      <protection hidden="1"/>
    </xf>
    <xf numFmtId="0" fontId="5" fillId="25" borderId="40" xfId="0" applyFont="1" applyFill="1" applyBorder="1" applyAlignment="1" applyProtection="1">
      <alignment horizontal="left" vertical="center"/>
      <protection locked="0"/>
    </xf>
    <xf numFmtId="0" fontId="5" fillId="25" borderId="26" xfId="0" applyFont="1" applyFill="1" applyBorder="1" applyAlignment="1" applyProtection="1">
      <alignment horizontal="left" vertical="center"/>
      <protection locked="0"/>
    </xf>
    <xf numFmtId="0" fontId="5" fillId="21" borderId="26" xfId="0" applyFont="1" applyFill="1" applyBorder="1" applyAlignment="1" applyProtection="1">
      <alignment horizontal="left"/>
      <protection locked="0"/>
    </xf>
    <xf numFmtId="0" fontId="6" fillId="0" borderId="10" xfId="0" applyFont="1" applyBorder="1" applyAlignment="1" applyProtection="1">
      <alignment horizontal="center" vertical="center" wrapText="1"/>
      <protection hidden="1"/>
    </xf>
    <xf numFmtId="0" fontId="1" fillId="0" borderId="1" xfId="0" applyFont="1" applyBorder="1" applyAlignment="1">
      <alignment horizontal="center" wrapText="1"/>
    </xf>
    <xf numFmtId="0" fontId="1" fillId="0" borderId="12" xfId="0" applyFont="1" applyBorder="1" applyAlignment="1">
      <alignment horizontal="center" wrapText="1"/>
    </xf>
    <xf numFmtId="0" fontId="6" fillId="21" borderId="40" xfId="0" applyFont="1" applyFill="1" applyBorder="1" applyAlignment="1" applyProtection="1">
      <alignment horizontal="center" vertical="center" wrapText="1"/>
      <protection locked="0"/>
    </xf>
    <xf numFmtId="0" fontId="1" fillId="21" borderId="26" xfId="0" applyFont="1" applyFill="1" applyBorder="1" applyAlignment="1" applyProtection="1">
      <alignment horizontal="center" vertical="center" wrapText="1"/>
      <protection locked="0"/>
    </xf>
    <xf numFmtId="0" fontId="1" fillId="21" borderId="55"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left" vertical="top" wrapText="1"/>
      <protection hidden="1"/>
    </xf>
    <xf numFmtId="0" fontId="0" fillId="0" borderId="0" xfId="0" applyBorder="1" applyAlignment="1">
      <alignment horizontal="left" vertical="top" wrapText="1"/>
    </xf>
    <xf numFmtId="0" fontId="0" fillId="0" borderId="1" xfId="0" applyBorder="1" applyAlignment="1">
      <alignment horizontal="left" vertical="top" wrapText="1"/>
    </xf>
    <xf numFmtId="0" fontId="16" fillId="25" borderId="109" xfId="0" applyFont="1" applyFill="1" applyBorder="1" applyAlignment="1" applyProtection="1">
      <alignment horizontal="center" vertical="center" wrapText="1"/>
      <protection locked="0"/>
    </xf>
    <xf numFmtId="0" fontId="55" fillId="21" borderId="104" xfId="0" applyFont="1" applyFill="1" applyBorder="1" applyAlignment="1" applyProtection="1">
      <alignment horizontal="center" vertical="center" wrapText="1"/>
      <protection locked="0"/>
    </xf>
    <xf numFmtId="0" fontId="6" fillId="3" borderId="40" xfId="0" applyFont="1" applyFill="1" applyBorder="1" applyAlignment="1" applyProtection="1">
      <alignment horizontal="center" vertical="center" wrapText="1"/>
      <protection hidden="1"/>
    </xf>
    <xf numFmtId="0" fontId="6" fillId="3" borderId="55" xfId="0" applyFont="1" applyFill="1" applyBorder="1" applyAlignment="1" applyProtection="1">
      <alignment horizontal="center" vertical="center" wrapText="1"/>
      <protection hidden="1"/>
    </xf>
    <xf numFmtId="0" fontId="5" fillId="3" borderId="26" xfId="0" applyFont="1" applyFill="1" applyBorder="1" applyAlignment="1" applyProtection="1">
      <alignment horizontal="left" vertical="center" wrapText="1"/>
      <protection hidden="1"/>
    </xf>
    <xf numFmtId="0" fontId="5" fillId="3" borderId="55" xfId="0" applyFont="1" applyFill="1" applyBorder="1" applyAlignment="1" applyProtection="1">
      <alignment horizontal="left" vertical="center" wrapText="1"/>
      <protection hidden="1"/>
    </xf>
    <xf numFmtId="37" fontId="8" fillId="19" borderId="31" xfId="0" applyNumberFormat="1" applyFont="1" applyFill="1" applyBorder="1" applyAlignment="1" applyProtection="1">
      <alignment horizontal="center" wrapText="1"/>
      <protection locked="0"/>
    </xf>
    <xf numFmtId="37" fontId="8" fillId="19" borderId="15" xfId="0" applyNumberFormat="1" applyFont="1" applyFill="1" applyBorder="1" applyAlignment="1" applyProtection="1">
      <alignment horizontal="center" wrapText="1"/>
      <protection locked="0"/>
    </xf>
    <xf numFmtId="0" fontId="6" fillId="3" borderId="40" xfId="0" applyFont="1" applyFill="1" applyBorder="1" applyAlignment="1" applyProtection="1">
      <alignment horizontal="center" vertical="center"/>
      <protection hidden="1"/>
    </xf>
    <xf numFmtId="0" fontId="6" fillId="3" borderId="26" xfId="0" applyFont="1" applyFill="1" applyBorder="1" applyAlignment="1" applyProtection="1">
      <alignment horizontal="center" vertical="center"/>
      <protection hidden="1"/>
    </xf>
    <xf numFmtId="0" fontId="16" fillId="25" borderId="110" xfId="0" applyFont="1" applyFill="1" applyBorder="1" applyAlignment="1" applyProtection="1">
      <alignment horizontal="center" vertical="center" wrapText="1"/>
      <protection locked="0"/>
    </xf>
    <xf numFmtId="0" fontId="55" fillId="21" borderId="101" xfId="0" applyFont="1" applyFill="1" applyBorder="1" applyAlignment="1" applyProtection="1">
      <alignment horizontal="center" vertical="center" wrapText="1"/>
      <protection locked="0"/>
    </xf>
    <xf numFmtId="0" fontId="5" fillId="3" borderId="10" xfId="0" applyFont="1" applyFill="1" applyBorder="1" applyAlignment="1" applyProtection="1">
      <alignment horizontal="center" vertical="center" wrapText="1"/>
      <protection hidden="1"/>
    </xf>
    <xf numFmtId="0" fontId="0" fillId="0" borderId="12" xfId="0" applyBorder="1" applyAlignment="1">
      <alignment horizontal="center" vertical="center"/>
    </xf>
    <xf numFmtId="0" fontId="224" fillId="3" borderId="9" xfId="0" applyFont="1" applyFill="1" applyBorder="1" applyAlignment="1" applyProtection="1">
      <alignment horizontal="right"/>
      <protection hidden="1"/>
    </xf>
    <xf numFmtId="0" fontId="224" fillId="0" borderId="9" xfId="0" applyFont="1" applyBorder="1" applyAlignment="1">
      <alignment horizontal="right"/>
    </xf>
    <xf numFmtId="0" fontId="224" fillId="0" borderId="15" xfId="0" applyFont="1" applyBorder="1" applyAlignment="1">
      <alignment horizontal="right"/>
    </xf>
    <xf numFmtId="0" fontId="154" fillId="14" borderId="64" xfId="3" applyFill="1" applyBorder="1" applyAlignment="1" applyProtection="1">
      <alignment horizontal="center"/>
    </xf>
    <xf numFmtId="0" fontId="154" fillId="14" borderId="65" xfId="3" applyFill="1" applyBorder="1" applyAlignment="1" applyProtection="1">
      <alignment horizontal="center"/>
    </xf>
    <xf numFmtId="0" fontId="154" fillId="14" borderId="66" xfId="3" applyFill="1" applyBorder="1" applyAlignment="1" applyProtection="1">
      <alignment horizontal="center"/>
    </xf>
    <xf numFmtId="0" fontId="154" fillId="14" borderId="64" xfId="3" applyFill="1" applyBorder="1" applyAlignment="1" applyProtection="1">
      <alignment horizontal="center" wrapText="1"/>
    </xf>
    <xf numFmtId="0" fontId="154" fillId="14" borderId="65" xfId="3" applyFill="1" applyBorder="1" applyAlignment="1" applyProtection="1">
      <alignment horizontal="center" wrapText="1"/>
    </xf>
    <xf numFmtId="0" fontId="154" fillId="14" borderId="66" xfId="3" applyFill="1" applyBorder="1" applyAlignment="1" applyProtection="1">
      <alignment horizontal="center" wrapText="1"/>
    </xf>
    <xf numFmtId="0" fontId="5" fillId="3" borderId="0" xfId="0" applyFont="1" applyFill="1" applyBorder="1" applyAlignment="1" applyProtection="1">
      <alignment vertical="top" wrapText="1"/>
      <protection hidden="1"/>
    </xf>
    <xf numFmtId="0" fontId="5" fillId="0" borderId="25" xfId="0" applyFont="1" applyBorder="1" applyAlignment="1">
      <alignment wrapText="1"/>
    </xf>
    <xf numFmtId="38" fontId="6" fillId="31" borderId="13" xfId="0" applyNumberFormat="1" applyFont="1" applyFill="1" applyBorder="1" applyAlignment="1" applyProtection="1">
      <protection hidden="1"/>
    </xf>
    <xf numFmtId="0" fontId="4" fillId="32" borderId="13" xfId="0" applyFont="1" applyFill="1" applyBorder="1" applyAlignment="1" applyProtection="1">
      <protection hidden="1"/>
    </xf>
    <xf numFmtId="37" fontId="6" fillId="31" borderId="40" xfId="0" applyNumberFormat="1" applyFont="1" applyFill="1" applyBorder="1" applyAlignment="1" applyProtection="1">
      <alignment horizontal="right" wrapText="1"/>
      <protection hidden="1"/>
    </xf>
    <xf numFmtId="37" fontId="6" fillId="31" borderId="55" xfId="0" applyNumberFormat="1" applyFont="1" applyFill="1" applyBorder="1" applyAlignment="1" applyProtection="1">
      <alignment horizontal="right" wrapText="1"/>
      <protection hidden="1"/>
    </xf>
    <xf numFmtId="175" fontId="8" fillId="5" borderId="0" xfId="0" applyNumberFormat="1" applyFont="1" applyFill="1" applyAlignment="1">
      <alignment horizontal="center" vertical="center"/>
    </xf>
    <xf numFmtId="0" fontId="10" fillId="3" borderId="0" xfId="0" applyFont="1" applyFill="1" applyBorder="1" applyAlignment="1" applyProtection="1">
      <alignment horizontal="left"/>
      <protection hidden="1"/>
    </xf>
    <xf numFmtId="0" fontId="0" fillId="0" borderId="0" xfId="0" applyAlignment="1">
      <alignment horizontal="left"/>
    </xf>
    <xf numFmtId="0" fontId="0" fillId="0" borderId="21" xfId="0" applyBorder="1" applyAlignment="1">
      <alignment horizontal="left"/>
    </xf>
    <xf numFmtId="0" fontId="150" fillId="3" borderId="6" xfId="0" applyNumberFormat="1" applyFont="1" applyFill="1" applyBorder="1" applyAlignment="1" applyProtection="1">
      <alignment horizontal="center" vertical="center"/>
      <protection hidden="1"/>
    </xf>
    <xf numFmtId="0" fontId="8" fillId="3" borderId="0" xfId="0" applyFont="1" applyFill="1" applyBorder="1" applyAlignment="1" applyProtection="1">
      <alignment horizontal="left"/>
      <protection hidden="1"/>
    </xf>
    <xf numFmtId="0" fontId="8" fillId="3" borderId="5" xfId="0" applyFont="1" applyFill="1" applyBorder="1" applyAlignment="1" applyProtection="1">
      <alignment horizontal="left"/>
      <protection hidden="1"/>
    </xf>
    <xf numFmtId="0" fontId="8" fillId="0" borderId="5" xfId="0" applyFont="1" applyBorder="1" applyAlignment="1"/>
    <xf numFmtId="0" fontId="8" fillId="0" borderId="23" xfId="0" applyFont="1" applyBorder="1" applyAlignment="1"/>
    <xf numFmtId="37" fontId="6" fillId="25" borderId="10" xfId="0" applyNumberFormat="1" applyFont="1" applyFill="1" applyBorder="1" applyAlignment="1" applyProtection="1">
      <alignment horizontal="right" wrapText="1"/>
      <protection locked="0"/>
    </xf>
    <xf numFmtId="37" fontId="6" fillId="25" borderId="1" xfId="0" applyNumberFormat="1" applyFont="1" applyFill="1" applyBorder="1" applyAlignment="1" applyProtection="1">
      <alignment horizontal="right" wrapText="1"/>
      <protection locked="0"/>
    </xf>
    <xf numFmtId="37" fontId="6" fillId="25" borderId="12" xfId="0" applyNumberFormat="1" applyFont="1" applyFill="1" applyBorder="1" applyAlignment="1" applyProtection="1">
      <alignment horizontal="right" wrapText="1"/>
      <protection locked="0"/>
    </xf>
    <xf numFmtId="0" fontId="45" fillId="3" borderId="22" xfId="0" applyFont="1" applyFill="1" applyBorder="1" applyAlignment="1" applyProtection="1">
      <alignment horizontal="center"/>
      <protection hidden="1"/>
    </xf>
    <xf numFmtId="0" fontId="0" fillId="0" borderId="5" xfId="0" applyBorder="1" applyAlignment="1">
      <alignment horizontal="center"/>
    </xf>
    <xf numFmtId="0" fontId="0" fillId="0" borderId="23" xfId="0" applyBorder="1" applyAlignment="1">
      <alignment horizontal="center"/>
    </xf>
    <xf numFmtId="0" fontId="16" fillId="25" borderId="108" xfId="0" applyFont="1" applyFill="1" applyBorder="1" applyAlignment="1" applyProtection="1">
      <alignment horizontal="center" vertical="center" wrapText="1"/>
      <protection locked="0"/>
    </xf>
    <xf numFmtId="0" fontId="55" fillId="21" borderId="106" xfId="0" applyFont="1" applyFill="1" applyBorder="1" applyAlignment="1" applyProtection="1">
      <alignment horizontal="center" vertical="center" wrapText="1"/>
      <protection locked="0"/>
    </xf>
    <xf numFmtId="0" fontId="11" fillId="2" borderId="40" xfId="0" applyFont="1" applyFill="1" applyBorder="1" applyAlignment="1" applyProtection="1">
      <alignment horizontal="right" vertical="center"/>
      <protection hidden="1"/>
    </xf>
    <xf numFmtId="0" fontId="11" fillId="2" borderId="26" xfId="0" applyFont="1" applyFill="1" applyBorder="1" applyAlignment="1" applyProtection="1">
      <alignment horizontal="right" vertical="center"/>
      <protection hidden="1"/>
    </xf>
    <xf numFmtId="0" fontId="11" fillId="2" borderId="55" xfId="0" applyFont="1" applyFill="1" applyBorder="1" applyAlignment="1" applyProtection="1">
      <alignment horizontal="right" vertical="center"/>
      <protection hidden="1"/>
    </xf>
    <xf numFmtId="0" fontId="6" fillId="3" borderId="26" xfId="0" applyFont="1" applyFill="1" applyBorder="1" applyAlignment="1" applyProtection="1">
      <alignment horizontal="left" vertical="center"/>
      <protection hidden="1"/>
    </xf>
    <xf numFmtId="0" fontId="0" fillId="0" borderId="26" xfId="0" applyBorder="1" applyAlignment="1">
      <alignment horizontal="left" vertical="center"/>
    </xf>
    <xf numFmtId="0" fontId="0" fillId="0" borderId="55" xfId="0" applyBorder="1" applyAlignment="1">
      <alignment horizontal="left" vertical="center"/>
    </xf>
    <xf numFmtId="166" fontId="4" fillId="25" borderId="10" xfId="0" applyNumberFormat="1" applyFont="1" applyFill="1" applyBorder="1" applyAlignment="1" applyProtection="1">
      <alignment horizontal="center"/>
      <protection locked="0" hidden="1"/>
    </xf>
    <xf numFmtId="0" fontId="0" fillId="21" borderId="1" xfId="0" applyFill="1" applyBorder="1" applyAlignment="1" applyProtection="1">
      <alignment horizontal="center"/>
      <protection locked="0" hidden="1"/>
    </xf>
    <xf numFmtId="0" fontId="0" fillId="0" borderId="8" xfId="0" applyBorder="1" applyAlignment="1">
      <alignment horizontal="center"/>
    </xf>
    <xf numFmtId="37" fontId="5" fillId="0" borderId="40" xfId="0" applyNumberFormat="1" applyFont="1" applyBorder="1" applyAlignment="1" applyProtection="1">
      <protection locked="0"/>
    </xf>
    <xf numFmtId="37" fontId="5" fillId="0" borderId="26" xfId="0" applyNumberFormat="1" applyFont="1" applyBorder="1" applyAlignment="1" applyProtection="1">
      <protection locked="0"/>
    </xf>
    <xf numFmtId="37" fontId="5" fillId="0" borderId="55" xfId="0" applyNumberFormat="1" applyFont="1" applyBorder="1" applyAlignment="1" applyProtection="1">
      <protection locked="0"/>
    </xf>
    <xf numFmtId="0" fontId="16" fillId="25" borderId="1" xfId="0" quotePrefix="1" applyFont="1" applyFill="1" applyBorder="1" applyAlignment="1" applyProtection="1">
      <protection locked="0" hidden="1"/>
    </xf>
    <xf numFmtId="0" fontId="0" fillId="21" borderId="1" xfId="0" applyFill="1" applyBorder="1" applyAlignment="1" applyProtection="1">
      <protection locked="0" hidden="1"/>
    </xf>
    <xf numFmtId="0" fontId="0" fillId="21" borderId="12" xfId="0" applyFill="1" applyBorder="1" applyAlignment="1" applyProtection="1">
      <protection locked="0" hidden="1"/>
    </xf>
    <xf numFmtId="37" fontId="5" fillId="20" borderId="40" xfId="0" applyNumberFormat="1" applyFont="1" applyFill="1" applyBorder="1" applyAlignment="1" applyProtection="1">
      <protection locked="0"/>
    </xf>
    <xf numFmtId="37" fontId="153" fillId="2" borderId="40" xfId="0" applyNumberFormat="1" applyFont="1" applyFill="1" applyBorder="1" applyAlignment="1" applyProtection="1">
      <protection locked="0"/>
    </xf>
    <xf numFmtId="37" fontId="8" fillId="19" borderId="9" xfId="0" applyNumberFormat="1" applyFont="1" applyFill="1" applyBorder="1" applyAlignment="1" applyProtection="1">
      <alignment horizontal="center" wrapText="1"/>
      <protection locked="0"/>
    </xf>
    <xf numFmtId="37" fontId="6" fillId="31" borderId="40" xfId="0" applyNumberFormat="1" applyFont="1" applyFill="1" applyBorder="1" applyAlignment="1" applyProtection="1">
      <protection hidden="1"/>
    </xf>
    <xf numFmtId="37" fontId="5" fillId="31" borderId="26" xfId="0" applyNumberFormat="1" applyFont="1" applyFill="1" applyBorder="1" applyAlignment="1" applyProtection="1">
      <protection hidden="1"/>
    </xf>
    <xf numFmtId="37" fontId="6" fillId="31" borderId="36" xfId="0" applyNumberFormat="1" applyFont="1" applyFill="1" applyBorder="1" applyAlignment="1" applyProtection="1">
      <protection hidden="1"/>
    </xf>
    <xf numFmtId="37" fontId="5" fillId="31" borderId="14" xfId="0" applyNumberFormat="1" applyFont="1" applyFill="1" applyBorder="1" applyAlignment="1" applyProtection="1">
      <protection hidden="1"/>
    </xf>
    <xf numFmtId="37" fontId="157" fillId="20" borderId="31" xfId="0" applyNumberFormat="1" applyFont="1" applyFill="1" applyBorder="1" applyAlignment="1" applyProtection="1">
      <alignment horizontal="center" vertical="top" wrapText="1"/>
      <protection hidden="1"/>
    </xf>
    <xf numFmtId="37" fontId="0" fillId="20" borderId="9" xfId="0" applyNumberFormat="1" applyFill="1" applyBorder="1" applyAlignment="1" applyProtection="1">
      <alignment horizontal="center" vertical="top" wrapText="1"/>
      <protection hidden="1"/>
    </xf>
    <xf numFmtId="37" fontId="0" fillId="20" borderId="3" xfId="0" applyNumberFormat="1" applyFill="1" applyBorder="1" applyAlignment="1" applyProtection="1">
      <alignment horizontal="center" vertical="top" wrapText="1"/>
      <protection hidden="1"/>
    </xf>
    <xf numFmtId="37" fontId="0" fillId="20" borderId="0" xfId="0" applyNumberFormat="1" applyFill="1" applyBorder="1" applyAlignment="1" applyProtection="1">
      <alignment horizontal="center" vertical="top" wrapText="1"/>
      <protection hidden="1"/>
    </xf>
    <xf numFmtId="37" fontId="6" fillId="31" borderId="26" xfId="0" applyNumberFormat="1" applyFont="1" applyFill="1" applyBorder="1" applyAlignment="1" applyProtection="1">
      <alignment horizontal="right" wrapText="1"/>
      <protection hidden="1"/>
    </xf>
    <xf numFmtId="0" fontId="6" fillId="21" borderId="0" xfId="0" applyFont="1" applyFill="1" applyAlignment="1" applyProtection="1">
      <alignment horizontal="left" wrapText="1"/>
      <protection locked="0"/>
    </xf>
    <xf numFmtId="0" fontId="6" fillId="21" borderId="1" xfId="0" applyFont="1" applyFill="1" applyBorder="1" applyAlignment="1" applyProtection="1">
      <alignment horizontal="left" wrapText="1"/>
      <protection locked="0"/>
    </xf>
    <xf numFmtId="38" fontId="6" fillId="32" borderId="40" xfId="0" applyNumberFormat="1" applyFont="1" applyFill="1" applyBorder="1" applyAlignment="1" applyProtection="1">
      <protection hidden="1"/>
    </xf>
    <xf numFmtId="0" fontId="0" fillId="0" borderId="118" xfId="0" applyBorder="1" applyAlignment="1"/>
    <xf numFmtId="38" fontId="4" fillId="2" borderId="9" xfId="0" applyNumberFormat="1" applyFont="1" applyFill="1" applyBorder="1" applyAlignment="1" applyProtection="1">
      <alignment horizontal="center"/>
      <protection hidden="1"/>
    </xf>
    <xf numFmtId="0" fontId="0" fillId="0" borderId="9" xfId="0" applyBorder="1" applyAlignment="1">
      <alignment horizontal="center"/>
    </xf>
    <xf numFmtId="0" fontId="0" fillId="0" borderId="117" xfId="0" applyBorder="1" applyAlignment="1">
      <alignment horizontal="center"/>
    </xf>
    <xf numFmtId="38" fontId="11" fillId="2" borderId="31" xfId="0" applyNumberFormat="1" applyFont="1" applyFill="1" applyBorder="1" applyAlignment="1" applyProtection="1">
      <alignment horizontal="center" vertical="center" wrapText="1"/>
      <protection hidden="1"/>
    </xf>
    <xf numFmtId="0" fontId="0" fillId="0" borderId="11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07" xfId="0" applyBorder="1" applyAlignment="1">
      <alignment horizontal="center" vertical="center"/>
    </xf>
    <xf numFmtId="38" fontId="11" fillId="2" borderId="31" xfId="0" applyNumberFormat="1" applyFont="1" applyFill="1" applyBorder="1" applyAlignment="1" applyProtection="1">
      <alignment horizontal="center" wrapText="1"/>
      <protection hidden="1"/>
    </xf>
    <xf numFmtId="0" fontId="0" fillId="0" borderId="9"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38" fontId="16" fillId="2" borderId="116" xfId="0" applyNumberFormat="1" applyFont="1" applyFill="1" applyBorder="1" applyAlignment="1" applyProtection="1">
      <alignment horizontal="center"/>
      <protection hidden="1"/>
    </xf>
    <xf numFmtId="0" fontId="0" fillId="0" borderId="116" xfId="0" applyBorder="1" applyAlignment="1">
      <alignment horizontal="center"/>
    </xf>
    <xf numFmtId="38" fontId="6" fillId="21" borderId="40" xfId="0" applyNumberFormat="1" applyFont="1" applyFill="1" applyBorder="1" applyAlignment="1" applyProtection="1">
      <alignment horizontal="right"/>
      <protection locked="0"/>
    </xf>
    <xf numFmtId="0" fontId="1" fillId="21" borderId="26" xfId="0" applyFont="1" applyFill="1" applyBorder="1" applyAlignment="1" applyProtection="1">
      <alignment horizontal="right"/>
      <protection locked="0"/>
    </xf>
    <xf numFmtId="38" fontId="0" fillId="7" borderId="40" xfId="0" applyNumberFormat="1" applyFill="1" applyBorder="1" applyAlignment="1" applyProtection="1">
      <alignment horizontal="center"/>
      <protection hidden="1"/>
    </xf>
    <xf numFmtId="0" fontId="0" fillId="0" borderId="26" xfId="0" applyBorder="1" applyAlignment="1">
      <alignment horizontal="center"/>
    </xf>
    <xf numFmtId="38" fontId="6" fillId="32" borderId="10" xfId="0" applyNumberFormat="1" applyFont="1" applyFill="1" applyBorder="1" applyAlignment="1" applyProtection="1">
      <alignment horizontal="right"/>
      <protection hidden="1"/>
    </xf>
    <xf numFmtId="0" fontId="1" fillId="32" borderId="1" xfId="0" applyFont="1" applyFill="1" applyBorder="1" applyAlignment="1" applyProtection="1">
      <alignment horizontal="right"/>
      <protection hidden="1"/>
    </xf>
    <xf numFmtId="37" fontId="6" fillId="32" borderId="10" xfId="0" applyNumberFormat="1" applyFont="1" applyFill="1" applyBorder="1" applyAlignment="1" applyProtection="1">
      <alignment horizontal="right"/>
      <protection hidden="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38" fontId="8" fillId="2" borderId="9" xfId="0" applyNumberFormat="1" applyFont="1" applyFill="1" applyBorder="1" applyAlignment="1" applyProtection="1">
      <alignment horizontal="center" vertical="center" wrapText="1"/>
      <protection hidden="1"/>
    </xf>
    <xf numFmtId="0" fontId="0" fillId="0" borderId="0" xfId="0" applyAlignment="1">
      <alignment horizontal="center" vertical="center" wrapText="1"/>
    </xf>
    <xf numFmtId="38" fontId="6" fillId="21" borderId="26" xfId="0" applyNumberFormat="1" applyFont="1" applyFill="1" applyBorder="1" applyAlignment="1" applyProtection="1">
      <alignment horizontal="right"/>
      <protection locked="0"/>
    </xf>
    <xf numFmtId="0" fontId="1" fillId="21" borderId="55" xfId="0" applyFont="1" applyFill="1" applyBorder="1" applyAlignment="1" applyProtection="1">
      <alignment horizontal="right"/>
      <protection locked="0"/>
    </xf>
    <xf numFmtId="38" fontId="171" fillId="7" borderId="120" xfId="0" applyNumberFormat="1" applyFont="1" applyFill="1" applyBorder="1" applyAlignment="1" applyProtection="1">
      <alignment horizontal="center"/>
      <protection hidden="1"/>
    </xf>
    <xf numFmtId="0" fontId="171" fillId="0" borderId="26" xfId="0" applyFont="1" applyBorder="1" applyAlignment="1">
      <alignment horizontal="center"/>
    </xf>
    <xf numFmtId="0" fontId="171" fillId="0" borderId="55" xfId="0" applyFont="1" applyBorder="1" applyAlignment="1">
      <alignment horizontal="center"/>
    </xf>
    <xf numFmtId="38" fontId="0" fillId="2" borderId="0" xfId="0" applyNumberFormat="1" applyFill="1" applyBorder="1" applyAlignment="1" applyProtection="1">
      <alignment horizontal="center"/>
      <protection hidden="1"/>
    </xf>
    <xf numFmtId="38" fontId="11" fillId="2" borderId="40" xfId="0" applyNumberFormat="1" applyFont="1" applyFill="1" applyBorder="1" applyAlignment="1" applyProtection="1">
      <alignment horizontal="center" vertical="center" wrapText="1"/>
      <protection hidden="1"/>
    </xf>
    <xf numFmtId="0" fontId="0" fillId="0" borderId="26" xfId="0" applyBorder="1" applyAlignment="1">
      <alignment horizontal="center" vertical="center" wrapText="1"/>
    </xf>
    <xf numFmtId="38" fontId="5" fillId="2" borderId="3" xfId="0" applyNumberFormat="1" applyFont="1" applyFill="1" applyBorder="1" applyAlignment="1" applyProtection="1">
      <alignment horizontal="center"/>
      <protection hidden="1"/>
    </xf>
    <xf numFmtId="37" fontId="6" fillId="32" borderId="72" xfId="0" applyNumberFormat="1" applyFont="1" applyFill="1" applyBorder="1" applyAlignment="1" applyProtection="1">
      <alignment horizontal="right"/>
      <protection hidden="1"/>
    </xf>
    <xf numFmtId="37" fontId="1" fillId="32" borderId="5" xfId="0" applyNumberFormat="1" applyFont="1" applyFill="1" applyBorder="1" applyAlignment="1" applyProtection="1">
      <alignment horizontal="right"/>
      <protection hidden="1"/>
    </xf>
    <xf numFmtId="38" fontId="6" fillId="32" borderId="26" xfId="0" applyNumberFormat="1" applyFont="1" applyFill="1" applyBorder="1" applyAlignment="1" applyProtection="1">
      <protection hidden="1"/>
    </xf>
    <xf numFmtId="0" fontId="1" fillId="32" borderId="26" xfId="0" applyFont="1" applyFill="1" applyBorder="1" applyAlignment="1" applyProtection="1">
      <protection hidden="1"/>
    </xf>
    <xf numFmtId="0" fontId="1" fillId="32" borderId="55" xfId="0" applyFont="1" applyFill="1" applyBorder="1" applyAlignment="1" applyProtection="1">
      <protection hidden="1"/>
    </xf>
    <xf numFmtId="38" fontId="11" fillId="2" borderId="9" xfId="0" applyNumberFormat="1" applyFont="1" applyFill="1" applyBorder="1" applyAlignment="1" applyProtection="1">
      <alignment horizontal="center" vertical="center" wrapText="1"/>
      <protection hidden="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vertical="center" wrapText="1"/>
    </xf>
    <xf numFmtId="0" fontId="0" fillId="0" borderId="12" xfId="0" applyBorder="1" applyAlignment="1">
      <alignment vertical="center" wrapText="1"/>
    </xf>
    <xf numFmtId="0" fontId="1" fillId="21" borderId="118" xfId="0" applyFont="1" applyFill="1" applyBorder="1" applyAlignment="1" applyProtection="1">
      <alignment horizontal="right"/>
      <protection locked="0"/>
    </xf>
    <xf numFmtId="38" fontId="5" fillId="21" borderId="40" xfId="0" applyNumberFormat="1" applyFont="1" applyFill="1" applyBorder="1" applyAlignment="1" applyProtection="1">
      <alignment horizontal="left"/>
      <protection locked="0"/>
    </xf>
    <xf numFmtId="0" fontId="5" fillId="21" borderId="55" xfId="0" applyFont="1" applyFill="1" applyBorder="1" applyAlignment="1" applyProtection="1">
      <alignment horizontal="left"/>
      <protection locked="0"/>
    </xf>
    <xf numFmtId="38" fontId="0" fillId="7" borderId="40" xfId="0" applyNumberFormat="1" applyFill="1" applyBorder="1" applyAlignment="1" applyProtection="1">
      <alignment wrapText="1"/>
      <protection hidden="1"/>
    </xf>
    <xf numFmtId="0" fontId="0" fillId="0" borderId="26" xfId="0" applyBorder="1" applyAlignment="1">
      <alignment wrapText="1"/>
    </xf>
    <xf numFmtId="0" fontId="0" fillId="0" borderId="118" xfId="0" applyBorder="1" applyAlignment="1">
      <alignment wrapText="1"/>
    </xf>
    <xf numFmtId="38" fontId="6" fillId="21" borderId="40" xfId="0" applyNumberFormat="1" applyFont="1" applyFill="1" applyBorder="1" applyAlignment="1" applyProtection="1">
      <alignment horizontal="right" wrapText="1"/>
      <protection locked="0"/>
    </xf>
    <xf numFmtId="0" fontId="1" fillId="21" borderId="26" xfId="0" applyFont="1" applyFill="1" applyBorder="1" applyAlignment="1" applyProtection="1">
      <alignment horizontal="right" wrapText="1"/>
      <protection locked="0"/>
    </xf>
    <xf numFmtId="0" fontId="1" fillId="21" borderId="118" xfId="0" applyFont="1" applyFill="1" applyBorder="1" applyAlignment="1" applyProtection="1">
      <alignment horizontal="right" wrapText="1"/>
      <protection locked="0"/>
    </xf>
    <xf numFmtId="38" fontId="6" fillId="32" borderId="40" xfId="0" applyNumberFormat="1" applyFont="1" applyFill="1" applyBorder="1" applyAlignment="1" applyProtection="1">
      <alignment wrapText="1"/>
      <protection hidden="1"/>
    </xf>
    <xf numFmtId="0" fontId="1" fillId="32" borderId="26" xfId="0" applyFont="1" applyFill="1" applyBorder="1" applyAlignment="1" applyProtection="1">
      <alignment wrapText="1"/>
      <protection hidden="1"/>
    </xf>
    <xf numFmtId="0" fontId="1" fillId="32" borderId="118" xfId="0" applyFont="1" applyFill="1" applyBorder="1" applyAlignment="1" applyProtection="1">
      <alignment wrapText="1"/>
      <protection hidden="1"/>
    </xf>
    <xf numFmtId="38" fontId="8" fillId="2" borderId="31" xfId="0" applyNumberFormat="1" applyFont="1" applyFill="1" applyBorder="1" applyAlignment="1" applyProtection="1">
      <alignment horizontal="center" vertical="center" wrapText="1"/>
      <protection hidden="1"/>
    </xf>
    <xf numFmtId="0" fontId="0" fillId="0" borderId="117" xfId="0" applyBorder="1" applyAlignment="1">
      <alignment horizontal="center" vertical="center" wrapText="1"/>
    </xf>
    <xf numFmtId="0" fontId="0" fillId="0" borderId="79" xfId="0" applyBorder="1" applyAlignment="1">
      <alignment horizontal="center" vertical="center" wrapText="1"/>
    </xf>
    <xf numFmtId="0" fontId="0" fillId="0" borderId="107" xfId="0" applyBorder="1" applyAlignment="1">
      <alignment horizontal="center" vertical="center" wrapText="1"/>
    </xf>
    <xf numFmtId="49" fontId="5" fillId="21" borderId="40" xfId="0" applyNumberFormat="1" applyFont="1" applyFill="1" applyBorder="1" applyAlignment="1" applyProtection="1">
      <alignment horizontal="center"/>
      <protection locked="0"/>
    </xf>
    <xf numFmtId="38" fontId="8" fillId="2" borderId="3" xfId="0" applyNumberFormat="1" applyFont="1" applyFill="1" applyBorder="1" applyAlignment="1" applyProtection="1">
      <alignment horizontal="center"/>
      <protection hidden="1"/>
    </xf>
    <xf numFmtId="38" fontId="5" fillId="2" borderId="5" xfId="0" applyNumberFormat="1" applyFont="1" applyFill="1" applyBorder="1" applyAlignment="1" applyProtection="1">
      <alignment horizontal="right"/>
      <protection hidden="1"/>
    </xf>
    <xf numFmtId="0" fontId="0" fillId="0" borderId="5" xfId="0" applyBorder="1" applyAlignment="1">
      <alignment horizontal="right"/>
    </xf>
    <xf numFmtId="38" fontId="11" fillId="3" borderId="59" xfId="0" applyNumberFormat="1" applyFont="1" applyFill="1" applyBorder="1" applyAlignment="1" applyProtection="1">
      <alignment horizontal="center"/>
      <protection hidden="1"/>
    </xf>
    <xf numFmtId="0" fontId="0" fillId="0" borderId="8" xfId="0" applyBorder="1" applyAlignment="1" applyProtection="1">
      <protection hidden="1"/>
    </xf>
    <xf numFmtId="166" fontId="152" fillId="25" borderId="3" xfId="0" applyNumberFormat="1" applyFont="1" applyFill="1" applyBorder="1" applyAlignment="1" applyProtection="1">
      <alignment horizontal="center" vertical="center"/>
      <protection locked="0"/>
    </xf>
    <xf numFmtId="0" fontId="0" fillId="21" borderId="0" xfId="0" applyFill="1" applyAlignment="1">
      <alignment horizontal="center" vertical="center"/>
    </xf>
    <xf numFmtId="38" fontId="0" fillId="2" borderId="26" xfId="0" applyNumberFormat="1" applyFill="1" applyBorder="1" applyAlignment="1" applyProtection="1">
      <protection hidden="1"/>
    </xf>
    <xf numFmtId="0" fontId="0" fillId="0" borderId="26" xfId="0" applyBorder="1" applyAlignment="1"/>
    <xf numFmtId="38" fontId="11" fillId="2" borderId="59" xfId="0" applyNumberFormat="1" applyFont="1" applyFill="1" applyBorder="1" applyAlignment="1" applyProtection="1">
      <alignment horizontal="center"/>
      <protection hidden="1"/>
    </xf>
    <xf numFmtId="38" fontId="6" fillId="32" borderId="31" xfId="0" applyNumberFormat="1" applyFont="1" applyFill="1" applyBorder="1" applyAlignment="1" applyProtection="1">
      <alignment horizontal="right"/>
      <protection hidden="1"/>
    </xf>
    <xf numFmtId="0" fontId="1" fillId="32" borderId="9" xfId="0" applyFont="1" applyFill="1" applyBorder="1" applyAlignment="1" applyProtection="1">
      <alignment horizontal="right"/>
      <protection hidden="1"/>
    </xf>
    <xf numFmtId="38" fontId="4" fillId="2" borderId="0" xfId="0" applyNumberFormat="1" applyFont="1" applyFill="1" applyBorder="1" applyAlignment="1" applyProtection="1">
      <alignment horizontal="center"/>
      <protection hidden="1"/>
    </xf>
    <xf numFmtId="0" fontId="0" fillId="0" borderId="0" xfId="0" applyBorder="1" applyAlignment="1">
      <alignment horizontal="center"/>
    </xf>
    <xf numFmtId="38" fontId="6" fillId="32" borderId="111" xfId="0" applyNumberFormat="1" applyFont="1" applyFill="1" applyBorder="1" applyAlignment="1" applyProtection="1">
      <alignment horizontal="right"/>
      <protection hidden="1"/>
    </xf>
    <xf numFmtId="0" fontId="1" fillId="32" borderId="112" xfId="0" applyFont="1" applyFill="1" applyBorder="1" applyAlignment="1" applyProtection="1">
      <alignment horizontal="right"/>
      <protection hidden="1"/>
    </xf>
    <xf numFmtId="38" fontId="6" fillId="32" borderId="3" xfId="0" applyNumberFormat="1" applyFont="1" applyFill="1" applyBorder="1" applyAlignment="1" applyProtection="1">
      <alignment horizontal="right"/>
      <protection hidden="1"/>
    </xf>
    <xf numFmtId="0" fontId="1" fillId="32" borderId="0" xfId="0" applyFont="1" applyFill="1" applyBorder="1" applyAlignment="1" applyProtection="1">
      <alignment horizontal="right"/>
      <protection hidden="1"/>
    </xf>
    <xf numFmtId="38" fontId="0" fillId="2" borderId="3" xfId="0" applyNumberFormat="1" applyFill="1" applyBorder="1" applyAlignment="1" applyProtection="1">
      <alignment horizontal="right"/>
      <protection hidden="1"/>
    </xf>
    <xf numFmtId="38" fontId="20" fillId="2" borderId="3" xfId="0" applyNumberFormat="1" applyFont="1" applyFill="1" applyBorder="1" applyAlignment="1" applyProtection="1">
      <alignment horizontal="center" vertical="center" wrapText="1"/>
      <protection hidden="1"/>
    </xf>
    <xf numFmtId="38" fontId="0" fillId="5" borderId="0" xfId="0" applyNumberFormat="1" applyFill="1" applyAlignment="1" applyProtection="1">
      <protection hidden="1"/>
    </xf>
    <xf numFmtId="38" fontId="164" fillId="5" borderId="9" xfId="0" applyNumberFormat="1" applyFont="1" applyFill="1" applyBorder="1" applyAlignment="1" applyProtection="1">
      <protection hidden="1"/>
    </xf>
    <xf numFmtId="0" fontId="164" fillId="0" borderId="9" xfId="0" applyFont="1" applyBorder="1" applyAlignment="1"/>
    <xf numFmtId="38" fontId="5" fillId="21" borderId="26" xfId="0" applyNumberFormat="1" applyFont="1" applyFill="1" applyBorder="1" applyAlignment="1" applyProtection="1">
      <alignment horizontal="left"/>
      <protection locked="0"/>
    </xf>
    <xf numFmtId="49" fontId="5" fillId="21" borderId="40" xfId="0" applyNumberFormat="1" applyFont="1" applyFill="1" applyBorder="1" applyAlignment="1" applyProtection="1">
      <alignment horizontal="left"/>
      <protection locked="0"/>
    </xf>
    <xf numFmtId="49" fontId="5" fillId="21" borderId="55" xfId="0" applyNumberFormat="1" applyFont="1" applyFill="1" applyBorder="1" applyAlignment="1" applyProtection="1">
      <protection locked="0"/>
    </xf>
    <xf numFmtId="38" fontId="0" fillId="21" borderId="40" xfId="0" applyNumberFormat="1" applyFill="1" applyBorder="1" applyAlignment="1" applyProtection="1">
      <alignment horizontal="right"/>
      <protection locked="0"/>
    </xf>
    <xf numFmtId="38" fontId="6" fillId="32" borderId="40" xfId="0" applyNumberFormat="1" applyFont="1" applyFill="1" applyBorder="1" applyAlignment="1" applyProtection="1">
      <alignment horizontal="right"/>
      <protection hidden="1"/>
    </xf>
    <xf numFmtId="0" fontId="1" fillId="32" borderId="26" xfId="0" applyFont="1" applyFill="1" applyBorder="1" applyAlignment="1" applyProtection="1">
      <alignment horizontal="right"/>
      <protection hidden="1"/>
    </xf>
    <xf numFmtId="38" fontId="0" fillId="7" borderId="3" xfId="0" applyNumberFormat="1" applyFill="1" applyBorder="1" applyAlignment="1" applyProtection="1">
      <alignment horizontal="center"/>
      <protection hidden="1"/>
    </xf>
    <xf numFmtId="0" fontId="1" fillId="32" borderId="0" xfId="0" applyFont="1" applyFill="1" applyAlignment="1" applyProtection="1">
      <alignment horizontal="right"/>
      <protection hidden="1"/>
    </xf>
    <xf numFmtId="38" fontId="0" fillId="2" borderId="116" xfId="0" applyNumberFormat="1" applyFill="1" applyBorder="1" applyAlignment="1" applyProtection="1">
      <alignment horizontal="center"/>
      <protection hidden="1"/>
    </xf>
    <xf numFmtId="38" fontId="20" fillId="2" borderId="59" xfId="0" applyNumberFormat="1" applyFont="1" applyFill="1" applyBorder="1" applyAlignment="1" applyProtection="1">
      <alignment horizontal="center" vertical="center" wrapText="1"/>
      <protection hidden="1"/>
    </xf>
    <xf numFmtId="0" fontId="0" fillId="0" borderId="8" xfId="0" applyBorder="1" applyAlignment="1">
      <alignment horizontal="center" vertical="center" wrapText="1"/>
    </xf>
    <xf numFmtId="0" fontId="0" fillId="0" borderId="37" xfId="0" applyBorder="1" applyAlignment="1">
      <alignment horizontal="center" vertical="center" wrapText="1"/>
    </xf>
    <xf numFmtId="38" fontId="5" fillId="21" borderId="40" xfId="0" applyNumberFormat="1" applyFont="1" applyFill="1" applyBorder="1" applyAlignment="1" applyProtection="1">
      <alignment horizontal="right"/>
      <protection locked="0"/>
    </xf>
    <xf numFmtId="0" fontId="0" fillId="0" borderId="26" xfId="0" applyBorder="1" applyAlignment="1" applyProtection="1">
      <alignment horizontal="right"/>
      <protection locked="0"/>
    </xf>
    <xf numFmtId="0" fontId="0" fillId="0" borderId="55" xfId="0" applyBorder="1" applyAlignment="1" applyProtection="1">
      <alignment horizontal="right"/>
      <protection locked="0"/>
    </xf>
    <xf numFmtId="38" fontId="11" fillId="2" borderId="3" xfId="0" applyNumberFormat="1" applyFont="1" applyFill="1" applyBorder="1" applyAlignment="1" applyProtection="1">
      <alignment horizontal="center" vertical="center" wrapText="1"/>
      <protection hidden="1"/>
    </xf>
    <xf numFmtId="38" fontId="6" fillId="21" borderId="48" xfId="0" applyNumberFormat="1" applyFont="1" applyFill="1" applyBorder="1" applyAlignment="1" applyProtection="1">
      <alignment horizontal="right"/>
      <protection locked="0"/>
    </xf>
    <xf numFmtId="0" fontId="6" fillId="21" borderId="28" xfId="0" applyFont="1" applyFill="1" applyBorder="1" applyAlignment="1" applyProtection="1">
      <alignment horizontal="right"/>
      <protection locked="0"/>
    </xf>
    <xf numFmtId="0" fontId="6" fillId="32" borderId="26" xfId="0" applyFont="1" applyFill="1" applyBorder="1" applyAlignment="1" applyProtection="1">
      <alignment horizontal="right"/>
      <protection hidden="1"/>
    </xf>
    <xf numFmtId="22" fontId="8" fillId="5" borderId="0" xfId="0" applyNumberFormat="1" applyFont="1" applyFill="1" applyAlignment="1" applyProtection="1">
      <alignment horizontal="center" vertical="center"/>
      <protection hidden="1"/>
    </xf>
    <xf numFmtId="0" fontId="8" fillId="0" borderId="0" xfId="0" applyFont="1" applyAlignment="1">
      <alignment horizontal="center" vertical="center"/>
    </xf>
    <xf numFmtId="38" fontId="6" fillId="25" borderId="1" xfId="0" applyNumberFormat="1" applyFont="1" applyFill="1" applyBorder="1" applyAlignment="1" applyProtection="1">
      <alignment horizontal="left" vertical="center"/>
      <protection locked="0"/>
    </xf>
    <xf numFmtId="0" fontId="0" fillId="21" borderId="1" xfId="0" applyFill="1" applyBorder="1" applyAlignment="1" applyProtection="1">
      <alignment horizontal="left" vertical="center"/>
      <protection locked="0"/>
    </xf>
    <xf numFmtId="0" fontId="0" fillId="21" borderId="12" xfId="0" applyFill="1" applyBorder="1" applyAlignment="1" applyProtection="1">
      <alignment horizontal="left" vertical="center"/>
      <protection locked="0"/>
    </xf>
    <xf numFmtId="38" fontId="0" fillId="21" borderId="40" xfId="0" applyNumberFormat="1" applyFill="1" applyBorder="1" applyAlignment="1" applyProtection="1">
      <alignment horizontal="left"/>
      <protection locked="0"/>
    </xf>
    <xf numFmtId="0" fontId="0" fillId="21" borderId="26" xfId="0" applyFill="1" applyBorder="1" applyAlignment="1" applyProtection="1">
      <alignment horizontal="left"/>
      <protection locked="0"/>
    </xf>
    <xf numFmtId="0" fontId="0" fillId="21" borderId="55" xfId="0" applyFill="1" applyBorder="1" applyAlignment="1" applyProtection="1">
      <alignment horizontal="left"/>
      <protection locked="0"/>
    </xf>
    <xf numFmtId="38" fontId="0" fillId="21" borderId="40" xfId="0" applyNumberFormat="1" applyFill="1" applyBorder="1" applyAlignment="1" applyProtection="1">
      <alignment horizontal="center"/>
      <protection locked="0"/>
    </xf>
    <xf numFmtId="38" fontId="4" fillId="2" borderId="26" xfId="0" applyNumberFormat="1" applyFont="1" applyFill="1" applyBorder="1" applyAlignment="1" applyProtection="1">
      <alignment horizontal="center"/>
      <protection hidden="1"/>
    </xf>
    <xf numFmtId="0" fontId="0" fillId="0" borderId="118" xfId="0" applyBorder="1" applyAlignment="1">
      <alignment horizontal="center"/>
    </xf>
    <xf numFmtId="0" fontId="59" fillId="11" borderId="35" xfId="0" applyFont="1" applyFill="1" applyBorder="1" applyAlignment="1" applyProtection="1">
      <alignment horizontal="center"/>
      <protection hidden="1"/>
    </xf>
    <xf numFmtId="0" fontId="59" fillId="11" borderId="26" xfId="0" applyFont="1" applyFill="1" applyBorder="1" applyAlignment="1" applyProtection="1">
      <alignment horizontal="center"/>
      <protection hidden="1"/>
    </xf>
    <xf numFmtId="0" fontId="5" fillId="3" borderId="0" xfId="0" applyFont="1" applyFill="1" applyBorder="1" applyAlignment="1" applyProtection="1">
      <protection hidden="1"/>
    </xf>
    <xf numFmtId="0" fontId="11" fillId="25" borderId="98" xfId="0" applyFont="1" applyFill="1" applyBorder="1" applyAlignment="1" applyProtection="1">
      <alignment horizontal="left"/>
      <protection locked="0"/>
    </xf>
    <xf numFmtId="0" fontId="11" fillId="0" borderId="98" xfId="0" applyFont="1" applyBorder="1" applyAlignment="1" applyProtection="1">
      <alignment horizontal="left"/>
      <protection locked="0"/>
    </xf>
    <xf numFmtId="0" fontId="11" fillId="0" borderId="102" xfId="0" applyFont="1" applyBorder="1" applyAlignment="1" applyProtection="1">
      <alignment horizontal="left"/>
      <protection locked="0"/>
    </xf>
    <xf numFmtId="0" fontId="7" fillId="3" borderId="31" xfId="0" applyFont="1" applyFill="1" applyBorder="1" applyAlignment="1" applyProtection="1">
      <alignment horizontal="right" indent="1"/>
      <protection hidden="1"/>
    </xf>
    <xf numFmtId="0" fontId="0" fillId="0" borderId="9" xfId="0" applyBorder="1" applyAlignment="1">
      <alignment horizontal="right" indent="1"/>
    </xf>
    <xf numFmtId="0" fontId="7" fillId="3" borderId="3" xfId="0" applyFont="1" applyFill="1" applyBorder="1" applyAlignment="1" applyProtection="1">
      <alignment horizontal="right" indent="1"/>
      <protection hidden="1"/>
    </xf>
    <xf numFmtId="0" fontId="0" fillId="0" borderId="0" xfId="0" applyBorder="1" applyAlignment="1">
      <alignment horizontal="right" indent="1"/>
    </xf>
    <xf numFmtId="0" fontId="6" fillId="3" borderId="3" xfId="0" applyFont="1" applyFill="1" applyBorder="1" applyAlignment="1" applyProtection="1">
      <alignment horizontal="right" indent="1"/>
      <protection hidden="1"/>
    </xf>
    <xf numFmtId="0" fontId="0" fillId="0" borderId="1" xfId="0" applyBorder="1" applyAlignment="1" applyProtection="1">
      <alignment horizontal="right"/>
      <protection locked="0"/>
    </xf>
    <xf numFmtId="0" fontId="0" fillId="0" borderId="1" xfId="0" applyBorder="1" applyAlignment="1">
      <alignment horizontal="right"/>
    </xf>
    <xf numFmtId="3" fontId="6" fillId="25" borderId="31" xfId="0" applyNumberFormat="1" applyFont="1" applyFill="1" applyBorder="1" applyAlignment="1" applyProtection="1">
      <alignment horizontal="right"/>
      <protection locked="0"/>
    </xf>
    <xf numFmtId="3" fontId="6" fillId="25" borderId="9" xfId="0" applyNumberFormat="1" applyFont="1" applyFill="1" applyBorder="1" applyAlignment="1" applyProtection="1">
      <alignment horizontal="right"/>
      <protection locked="0"/>
    </xf>
    <xf numFmtId="37" fontId="6" fillId="31" borderId="40" xfId="0" applyNumberFormat="1" applyFont="1" applyFill="1" applyBorder="1" applyAlignment="1" applyProtection="1">
      <alignment horizontal="right"/>
      <protection hidden="1"/>
    </xf>
    <xf numFmtId="37" fontId="6" fillId="31" borderId="26" xfId="0" applyNumberFormat="1" applyFont="1" applyFill="1" applyBorder="1" applyAlignment="1" applyProtection="1">
      <alignment horizontal="right"/>
      <protection hidden="1"/>
    </xf>
    <xf numFmtId="37" fontId="0" fillId="32" borderId="26" xfId="0" applyNumberFormat="1" applyFill="1" applyBorder="1" applyAlignment="1" applyProtection="1">
      <alignment horizontal="right"/>
      <protection hidden="1"/>
    </xf>
    <xf numFmtId="0" fontId="6" fillId="3" borderId="10" xfId="0" applyFont="1" applyFill="1" applyBorder="1" applyAlignment="1" applyProtection="1">
      <alignment horizontal="right" indent="1"/>
      <protection hidden="1"/>
    </xf>
    <xf numFmtId="0" fontId="0" fillId="0" borderId="1" xfId="0" applyBorder="1" applyAlignment="1">
      <alignment horizontal="right" indent="1"/>
    </xf>
    <xf numFmtId="0" fontId="11" fillId="25" borderId="125" xfId="0" applyFont="1" applyFill="1" applyBorder="1" applyAlignment="1" applyProtection="1">
      <alignment horizontal="left"/>
      <protection locked="0"/>
    </xf>
    <xf numFmtId="0" fontId="11" fillId="0" borderId="125" xfId="0" applyFont="1" applyBorder="1" applyAlignment="1" applyProtection="1">
      <alignment horizontal="left"/>
      <protection locked="0"/>
    </xf>
    <xf numFmtId="0" fontId="11" fillId="0" borderId="126" xfId="0" applyFont="1" applyBorder="1" applyAlignment="1" applyProtection="1">
      <alignment horizontal="left"/>
      <protection locked="0"/>
    </xf>
    <xf numFmtId="0" fontId="0" fillId="0" borderId="12" xfId="0" applyBorder="1" applyAlignment="1" applyProtection="1">
      <alignment horizontal="right"/>
      <protection locked="0"/>
    </xf>
    <xf numFmtId="0" fontId="7" fillId="3" borderId="31" xfId="0" applyFont="1" applyFill="1" applyBorder="1" applyAlignment="1" applyProtection="1">
      <alignment horizontal="center"/>
      <protection hidden="1"/>
    </xf>
    <xf numFmtId="3" fontId="1" fillId="0" borderId="12" xfId="0" applyNumberFormat="1" applyFont="1" applyBorder="1" applyAlignment="1" applyProtection="1">
      <alignment horizontal="right"/>
      <protection locked="0"/>
    </xf>
    <xf numFmtId="3" fontId="9" fillId="3" borderId="0" xfId="0" applyNumberFormat="1" applyFont="1" applyFill="1" applyBorder="1" applyAlignment="1" applyProtection="1">
      <alignment horizontal="center"/>
      <protection hidden="1"/>
    </xf>
    <xf numFmtId="3" fontId="6" fillId="31" borderId="10" xfId="0" applyNumberFormat="1" applyFont="1" applyFill="1" applyBorder="1" applyAlignment="1" applyProtection="1">
      <alignment horizontal="right"/>
      <protection hidden="1"/>
    </xf>
    <xf numFmtId="3" fontId="6" fillId="31" borderId="1" xfId="0" applyNumberFormat="1" applyFont="1" applyFill="1" applyBorder="1" applyAlignment="1" applyProtection="1">
      <alignment horizontal="right"/>
      <protection hidden="1"/>
    </xf>
    <xf numFmtId="0" fontId="7" fillId="3" borderId="16" xfId="0" applyFont="1" applyFill="1" applyBorder="1" applyAlignment="1" applyProtection="1">
      <alignment horizontal="center"/>
      <protection hidden="1"/>
    </xf>
    <xf numFmtId="0" fontId="0" fillId="0" borderId="11" xfId="0" applyBorder="1" applyAlignment="1">
      <alignment horizontal="center"/>
    </xf>
    <xf numFmtId="39" fontId="5" fillId="3" borderId="0" xfId="0" applyNumberFormat="1" applyFont="1" applyFill="1" applyBorder="1" applyAlignment="1" applyProtection="1">
      <alignment horizontal="left"/>
      <protection hidden="1"/>
    </xf>
    <xf numFmtId="3" fontId="6" fillId="25" borderId="40" xfId="0" applyNumberFormat="1" applyFont="1" applyFill="1" applyBorder="1" applyAlignment="1" applyProtection="1">
      <alignment horizontal="right"/>
      <protection locked="0"/>
    </xf>
    <xf numFmtId="3" fontId="1" fillId="0" borderId="26" xfId="0" applyNumberFormat="1" applyFont="1" applyBorder="1" applyAlignment="1" applyProtection="1">
      <alignment horizontal="right"/>
      <protection locked="0"/>
    </xf>
    <xf numFmtId="3" fontId="1" fillId="0" borderId="55" xfId="0" applyNumberFormat="1" applyFont="1" applyBorder="1" applyAlignment="1" applyProtection="1">
      <alignment horizontal="right"/>
      <protection locked="0"/>
    </xf>
    <xf numFmtId="0" fontId="7" fillId="19" borderId="31" xfId="0" applyFont="1" applyFill="1" applyBorder="1" applyAlignment="1" applyProtection="1">
      <alignment horizontal="center"/>
      <protection hidden="1"/>
    </xf>
    <xf numFmtId="0" fontId="0" fillId="0" borderId="9" xfId="0" applyBorder="1" applyAlignment="1" applyProtection="1">
      <alignment horizontal="center"/>
      <protection hidden="1"/>
    </xf>
    <xf numFmtId="49" fontId="1" fillId="25" borderId="7" xfId="0" applyNumberFormat="1" applyFont="1" applyFill="1" applyBorder="1" applyAlignment="1" applyProtection="1">
      <alignment horizontal="center" vertical="center"/>
      <protection locked="0"/>
    </xf>
    <xf numFmtId="0" fontId="0" fillId="0" borderId="11" xfId="0" applyBorder="1" applyAlignment="1" applyProtection="1">
      <alignment vertical="center"/>
      <protection locked="0"/>
    </xf>
    <xf numFmtId="49" fontId="1" fillId="25" borderId="122" xfId="0" applyNumberFormat="1" applyFont="1" applyFill="1" applyBorder="1" applyAlignment="1" applyProtection="1">
      <alignment horizontal="center" vertical="center"/>
      <protection locked="0"/>
    </xf>
    <xf numFmtId="0" fontId="0" fillId="0" borderId="19" xfId="0" applyBorder="1" applyAlignment="1" applyProtection="1">
      <alignment horizontal="center" vertical="center"/>
      <protection locked="0"/>
    </xf>
    <xf numFmtId="49" fontId="1" fillId="25" borderId="123" xfId="0" applyNumberFormat="1" applyFont="1" applyFill="1" applyBorder="1" applyAlignment="1" applyProtection="1">
      <alignment horizontal="center" vertical="center"/>
      <protection locked="0"/>
    </xf>
    <xf numFmtId="0" fontId="0" fillId="0" borderId="124" xfId="0" applyBorder="1" applyAlignment="1" applyProtection="1">
      <alignment horizontal="center" vertical="center"/>
      <protection locked="0"/>
    </xf>
    <xf numFmtId="39" fontId="5" fillId="19" borderId="0" xfId="0" applyNumberFormat="1" applyFont="1" applyFill="1" applyBorder="1" applyAlignment="1" applyProtection="1">
      <alignment horizontal="left"/>
      <protection hidden="1"/>
    </xf>
    <xf numFmtId="0" fontId="0" fillId="0" borderId="25" xfId="0" applyBorder="1" applyAlignment="1">
      <alignment horizontal="left"/>
    </xf>
    <xf numFmtId="0" fontId="150" fillId="3" borderId="88" xfId="0" applyFont="1" applyFill="1" applyBorder="1" applyAlignment="1" applyProtection="1">
      <alignment horizontal="center" vertical="center"/>
      <protection hidden="1"/>
    </xf>
    <xf numFmtId="0" fontId="201" fillId="0" borderId="9" xfId="0" applyFont="1" applyBorder="1" applyAlignment="1"/>
    <xf numFmtId="0" fontId="8" fillId="3" borderId="6" xfId="0" applyFont="1" applyFill="1" applyBorder="1" applyAlignment="1" applyProtection="1">
      <alignment horizontal="left" vertical="center" wrapText="1" indent="1"/>
      <protection hidden="1"/>
    </xf>
    <xf numFmtId="0" fontId="0" fillId="0" borderId="0" xfId="0" applyBorder="1" applyAlignment="1">
      <alignment horizontal="left" wrapText="1" indent="1"/>
    </xf>
    <xf numFmtId="0" fontId="0" fillId="0" borderId="6" xfId="0" applyBorder="1" applyAlignment="1">
      <alignment horizontal="left" wrapText="1" indent="1"/>
    </xf>
    <xf numFmtId="0" fontId="0" fillId="0" borderId="27" xfId="0" applyBorder="1" applyAlignment="1">
      <alignment horizontal="left" wrapText="1" indent="1"/>
    </xf>
    <xf numFmtId="0" fontId="0" fillId="0" borderId="1" xfId="0" applyBorder="1" applyAlignment="1">
      <alignment horizontal="left" wrapText="1" indent="1"/>
    </xf>
    <xf numFmtId="0" fontId="0" fillId="0" borderId="0" xfId="0" applyBorder="1" applyAlignment="1" applyProtection="1">
      <alignment horizontal="center"/>
      <protection locked="0"/>
    </xf>
    <xf numFmtId="166" fontId="4" fillId="25" borderId="10" xfId="0" applyNumberFormat="1" applyFont="1" applyFill="1" applyBorder="1" applyAlignment="1" applyProtection="1">
      <alignment horizontal="center" vertical="center"/>
      <protection locked="0"/>
    </xf>
    <xf numFmtId="166" fontId="19" fillId="21" borderId="1" xfId="0" applyNumberFormat="1" applyFon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37" fontId="6" fillId="31" borderId="1" xfId="0" applyNumberFormat="1" applyFont="1" applyFill="1" applyBorder="1" applyAlignment="1" applyProtection="1">
      <alignment horizontal="right"/>
      <protection hidden="1"/>
    </xf>
    <xf numFmtId="37" fontId="0" fillId="32" borderId="1" xfId="0" applyNumberFormat="1" applyFill="1" applyBorder="1" applyAlignment="1" applyProtection="1">
      <alignment horizontal="right"/>
      <protection hidden="1"/>
    </xf>
    <xf numFmtId="0" fontId="6" fillId="3" borderId="0" xfId="0" applyFont="1" applyFill="1" applyBorder="1" applyAlignment="1" applyProtection="1">
      <protection hidden="1"/>
    </xf>
    <xf numFmtId="0" fontId="0" fillId="0" borderId="0" xfId="0" applyBorder="1" applyAlignment="1"/>
    <xf numFmtId="0" fontId="6" fillId="25" borderId="0" xfId="0" applyFont="1" applyFill="1" applyBorder="1" applyAlignment="1" applyProtection="1">
      <alignment horizontal="center"/>
      <protection locked="0"/>
    </xf>
    <xf numFmtId="0" fontId="0" fillId="0" borderId="29" xfId="0" applyBorder="1" applyAlignment="1" applyProtection="1">
      <alignment horizontal="center" vertical="center"/>
      <protection locked="0"/>
    </xf>
    <xf numFmtId="49" fontId="1" fillId="25" borderId="86" xfId="0" applyNumberFormat="1" applyFont="1" applyFill="1" applyBorder="1" applyAlignment="1" applyProtection="1">
      <alignment horizontal="center" vertical="center"/>
      <protection locked="0"/>
    </xf>
    <xf numFmtId="0" fontId="0" fillId="0" borderId="87" xfId="0" applyBorder="1" applyAlignment="1" applyProtection="1">
      <alignment horizontal="center" vertical="center"/>
      <protection locked="0"/>
    </xf>
    <xf numFmtId="0" fontId="1" fillId="3" borderId="0" xfId="0" applyFont="1" applyFill="1" applyBorder="1" applyAlignment="1" applyProtection="1">
      <alignment horizontal="left" vertical="center" wrapText="1"/>
      <protection hidden="1"/>
    </xf>
    <xf numFmtId="0" fontId="3" fillId="0" borderId="21" xfId="0" applyFont="1" applyBorder="1" applyAlignment="1">
      <alignment horizontal="left" vertical="center"/>
    </xf>
    <xf numFmtId="0" fontId="3" fillId="0" borderId="0" xfId="0" applyFont="1" applyAlignment="1">
      <alignment horizontal="left" vertical="center"/>
    </xf>
    <xf numFmtId="0" fontId="17" fillId="3" borderId="0" xfId="0" applyFont="1" applyFill="1" applyBorder="1" applyAlignment="1" applyProtection="1">
      <alignment wrapText="1"/>
      <protection hidden="1"/>
    </xf>
    <xf numFmtId="0" fontId="0" fillId="0" borderId="21" xfId="0" applyBorder="1" applyAlignment="1">
      <alignment wrapText="1"/>
    </xf>
    <xf numFmtId="0" fontId="0" fillId="0" borderId="30" xfId="0" applyBorder="1" applyAlignment="1">
      <alignment wrapText="1"/>
    </xf>
    <xf numFmtId="0" fontId="8" fillId="3" borderId="0" xfId="0" applyFont="1" applyFill="1" applyBorder="1" applyAlignment="1" applyProtection="1">
      <protection hidden="1"/>
    </xf>
    <xf numFmtId="0" fontId="202" fillId="3" borderId="31" xfId="0" applyFont="1" applyFill="1" applyBorder="1" applyAlignment="1" applyProtection="1">
      <protection hidden="1"/>
    </xf>
    <xf numFmtId="0" fontId="161" fillId="0" borderId="9" xfId="0" applyFont="1" applyBorder="1" applyAlignment="1"/>
    <xf numFmtId="0" fontId="0" fillId="0" borderId="35" xfId="0" applyBorder="1" applyAlignment="1">
      <alignment horizontal="center"/>
    </xf>
    <xf numFmtId="0" fontId="0" fillId="2" borderId="3" xfId="0" applyFill="1" applyBorder="1" applyAlignment="1" applyProtection="1">
      <alignment vertical="center"/>
      <protection hidden="1"/>
    </xf>
    <xf numFmtId="0" fontId="0" fillId="2" borderId="0" xfId="0" applyFill="1" applyAlignment="1" applyProtection="1">
      <alignment vertical="center"/>
      <protection hidden="1"/>
    </xf>
    <xf numFmtId="0" fontId="5" fillId="2" borderId="31" xfId="0" applyFont="1" applyFill="1" applyBorder="1" applyAlignment="1" applyProtection="1">
      <protection hidden="1"/>
    </xf>
    <xf numFmtId="0" fontId="5" fillId="2" borderId="9" xfId="0" applyFont="1" applyFill="1" applyBorder="1" applyAlignment="1" applyProtection="1">
      <protection hidden="1"/>
    </xf>
    <xf numFmtId="3" fontId="0" fillId="32" borderId="10" xfId="0" applyNumberFormat="1" applyFill="1" applyBorder="1" applyAlignment="1" applyProtection="1">
      <alignment vertical="center"/>
      <protection hidden="1"/>
    </xf>
    <xf numFmtId="0" fontId="0" fillId="32" borderId="1" xfId="0" applyFill="1" applyBorder="1" applyAlignment="1" applyProtection="1">
      <alignment vertical="center"/>
      <protection hidden="1"/>
    </xf>
    <xf numFmtId="0" fontId="67" fillId="2" borderId="3" xfId="0" applyFont="1" applyFill="1" applyBorder="1" applyAlignment="1" applyProtection="1">
      <alignment horizontal="center"/>
      <protection hidden="1"/>
    </xf>
    <xf numFmtId="0" fontId="67" fillId="2" borderId="0" xfId="0" applyFont="1" applyFill="1" applyBorder="1" applyAlignment="1" applyProtection="1">
      <alignment horizontal="center"/>
      <protection hidden="1"/>
    </xf>
    <xf numFmtId="0" fontId="0" fillId="2" borderId="31" xfId="0" applyFill="1" applyBorder="1" applyAlignment="1" applyProtection="1">
      <alignment vertical="center"/>
      <protection hidden="1"/>
    </xf>
    <xf numFmtId="0" fontId="0" fillId="2" borderId="9" xfId="0" applyFill="1" applyBorder="1" applyAlignment="1" applyProtection="1">
      <alignment vertical="center"/>
      <protection hidden="1"/>
    </xf>
    <xf numFmtId="3" fontId="0" fillId="32" borderId="40" xfId="0" applyNumberFormat="1" applyFill="1" applyBorder="1" applyAlignment="1" applyProtection="1">
      <alignment vertical="center"/>
      <protection hidden="1"/>
    </xf>
    <xf numFmtId="0" fontId="0" fillId="32" borderId="26" xfId="0" applyFill="1" applyBorder="1" applyAlignment="1" applyProtection="1">
      <alignment vertical="center"/>
      <protection hidden="1"/>
    </xf>
    <xf numFmtId="0" fontId="23" fillId="2" borderId="31" xfId="0" applyFont="1" applyFill="1" applyBorder="1" applyAlignment="1" applyProtection="1">
      <alignment vertical="center"/>
      <protection hidden="1"/>
    </xf>
    <xf numFmtId="0" fontId="23" fillId="2" borderId="9" xfId="0" applyFont="1" applyFill="1" applyBorder="1" applyAlignment="1" applyProtection="1">
      <alignment vertical="center"/>
      <protection hidden="1"/>
    </xf>
    <xf numFmtId="0" fontId="5" fillId="2" borderId="3" xfId="0" applyFont="1" applyFill="1" applyBorder="1" applyAlignment="1" applyProtection="1">
      <protection hidden="1"/>
    </xf>
    <xf numFmtId="3" fontId="0" fillId="21" borderId="10" xfId="0" applyNumberFormat="1" applyFill="1" applyBorder="1" applyAlignment="1" applyProtection="1">
      <alignment vertical="center"/>
      <protection locked="0"/>
    </xf>
    <xf numFmtId="0" fontId="0" fillId="21" borderId="1" xfId="0" applyFill="1" applyBorder="1" applyAlignment="1" applyProtection="1">
      <alignment vertical="center"/>
      <protection locked="0"/>
    </xf>
    <xf numFmtId="0" fontId="0" fillId="5" borderId="31" xfId="0" applyFill="1" applyBorder="1" applyAlignment="1" applyProtection="1">
      <protection hidden="1"/>
    </xf>
    <xf numFmtId="0" fontId="0" fillId="5" borderId="72" xfId="0" applyFill="1" applyBorder="1" applyAlignment="1" applyProtection="1">
      <protection hidden="1"/>
    </xf>
    <xf numFmtId="0" fontId="0" fillId="0" borderId="5" xfId="0" applyBorder="1" applyAlignment="1"/>
    <xf numFmtId="0" fontId="8" fillId="2" borderId="1" xfId="0" applyFont="1" applyFill="1" applyBorder="1" applyAlignment="1" applyProtection="1">
      <alignment horizontal="center"/>
      <protection hidden="1"/>
    </xf>
    <xf numFmtId="0" fontId="8" fillId="0" borderId="1" xfId="0" applyFont="1" applyBorder="1" applyAlignment="1"/>
    <xf numFmtId="166" fontId="4" fillId="32" borderId="59" xfId="0" applyNumberFormat="1" applyFont="1" applyFill="1" applyBorder="1" applyAlignment="1" applyProtection="1">
      <alignment horizontal="center" vertical="center"/>
      <protection hidden="1"/>
    </xf>
    <xf numFmtId="166" fontId="4" fillId="32" borderId="8" xfId="0" applyNumberFormat="1" applyFont="1" applyFill="1" applyBorder="1" applyAlignment="1" applyProtection="1">
      <alignment horizontal="center" vertical="center"/>
      <protection hidden="1"/>
    </xf>
    <xf numFmtId="166" fontId="4" fillId="32" borderId="10" xfId="0" applyNumberFormat="1" applyFont="1" applyFill="1" applyBorder="1" applyAlignment="1" applyProtection="1">
      <alignment horizontal="center" vertical="center"/>
      <protection hidden="1"/>
    </xf>
    <xf numFmtId="166" fontId="4" fillId="32" borderId="1" xfId="0" applyNumberFormat="1" applyFont="1" applyFill="1" applyBorder="1" applyAlignment="1" applyProtection="1">
      <alignment horizontal="center" vertical="center"/>
      <protection hidden="1"/>
    </xf>
    <xf numFmtId="0" fontId="0" fillId="2" borderId="31" xfId="0" applyFill="1" applyBorder="1" applyAlignment="1" applyProtection="1">
      <protection hidden="1"/>
    </xf>
    <xf numFmtId="0" fontId="86" fillId="2" borderId="9" xfId="0" applyFont="1" applyFill="1" applyBorder="1" applyAlignment="1" applyProtection="1">
      <alignment horizontal="center" vertical="center"/>
      <protection hidden="1"/>
    </xf>
    <xf numFmtId="0" fontId="126" fillId="2" borderId="3" xfId="0" applyFont="1" applyFill="1" applyBorder="1" applyAlignment="1" applyProtection="1">
      <protection hidden="1"/>
    </xf>
    <xf numFmtId="0" fontId="126" fillId="2" borderId="0" xfId="0" applyFont="1" applyFill="1" applyBorder="1" applyAlignment="1" applyProtection="1">
      <protection hidden="1"/>
    </xf>
    <xf numFmtId="3" fontId="0" fillId="32" borderId="10" xfId="0" applyNumberFormat="1" applyFill="1" applyBorder="1" applyAlignment="1" applyProtection="1">
      <alignment horizontal="right" vertical="center"/>
      <protection hidden="1"/>
    </xf>
    <xf numFmtId="3" fontId="0" fillId="32" borderId="1" xfId="0" applyNumberFormat="1" applyFill="1" applyBorder="1" applyAlignment="1" applyProtection="1">
      <alignment horizontal="right" vertical="center"/>
      <protection hidden="1"/>
    </xf>
    <xf numFmtId="0" fontId="161" fillId="2" borderId="31" xfId="0" applyNumberFormat="1" applyFont="1" applyFill="1" applyBorder="1" applyAlignment="1" applyProtection="1">
      <protection hidden="1"/>
    </xf>
    <xf numFmtId="0" fontId="161" fillId="0" borderId="9" xfId="0" applyNumberFormat="1" applyFont="1" applyBorder="1" applyAlignment="1" applyProtection="1">
      <protection hidden="1"/>
    </xf>
    <xf numFmtId="0" fontId="78" fillId="14" borderId="64" xfId="2" applyFill="1" applyBorder="1" applyAlignment="1" applyProtection="1">
      <alignment horizontal="center" wrapText="1"/>
    </xf>
    <xf numFmtId="0" fontId="78" fillId="14" borderId="65" xfId="2" applyFill="1" applyBorder="1" applyAlignment="1" applyProtection="1">
      <alignment horizontal="center" wrapText="1"/>
    </xf>
    <xf numFmtId="0" fontId="0" fillId="0" borderId="65" xfId="0" applyBorder="1" applyAlignment="1">
      <alignment horizontal="center" wrapText="1"/>
    </xf>
    <xf numFmtId="0" fontId="0" fillId="0" borderId="66" xfId="0" applyBorder="1" applyAlignment="1">
      <alignment horizontal="center" wrapText="1"/>
    </xf>
    <xf numFmtId="0" fontId="8" fillId="2" borderId="5" xfId="0" applyFont="1" applyFill="1" applyBorder="1" applyAlignment="1" applyProtection="1">
      <alignment vertical="top" wrapText="1"/>
      <protection hidden="1"/>
    </xf>
    <xf numFmtId="0" fontId="8" fillId="0" borderId="5" xfId="0" applyFont="1" applyBorder="1" applyAlignment="1">
      <alignment wrapText="1"/>
    </xf>
    <xf numFmtId="0" fontId="8" fillId="2" borderId="0" xfId="0" applyFont="1" applyFill="1" applyBorder="1" applyAlignment="1">
      <alignment horizontal="left" vertical="top" wrapText="1"/>
    </xf>
    <xf numFmtId="0" fontId="8" fillId="0" borderId="0" xfId="0" applyFont="1" applyAlignment="1">
      <alignment vertical="top" wrapText="1"/>
    </xf>
    <xf numFmtId="0" fontId="8" fillId="0" borderId="25" xfId="0" applyFont="1" applyBorder="1" applyAlignment="1">
      <alignment vertical="top" wrapText="1"/>
    </xf>
    <xf numFmtId="0" fontId="8" fillId="2" borderId="5" xfId="0" applyFont="1" applyFill="1" applyBorder="1" applyAlignment="1">
      <alignment horizontal="left" vertical="top" wrapText="1"/>
    </xf>
    <xf numFmtId="0" fontId="8" fillId="0" borderId="5" xfId="0" applyFont="1" applyBorder="1" applyAlignment="1">
      <alignment vertical="top" wrapText="1"/>
    </xf>
    <xf numFmtId="0" fontId="8" fillId="0" borderId="73" xfId="0" applyFont="1" applyBorder="1" applyAlignment="1">
      <alignment vertical="top" wrapText="1"/>
    </xf>
    <xf numFmtId="0" fontId="8" fillId="2" borderId="0" xfId="0" applyFont="1" applyFill="1" applyAlignment="1" applyProtection="1">
      <alignment vertical="top" wrapText="1"/>
      <protection hidden="1"/>
    </xf>
    <xf numFmtId="0" fontId="8" fillId="0" borderId="0" xfId="0" applyFont="1" applyAlignment="1">
      <alignment wrapText="1"/>
    </xf>
    <xf numFmtId="0" fontId="161" fillId="2" borderId="8" xfId="0" applyFont="1" applyFill="1" applyBorder="1" applyAlignment="1" applyProtection="1">
      <alignment vertical="top"/>
      <protection hidden="1"/>
    </xf>
    <xf numFmtId="0" fontId="161" fillId="0" borderId="8" xfId="0" applyFont="1" applyBorder="1" applyAlignment="1">
      <alignment vertical="top"/>
    </xf>
    <xf numFmtId="0" fontId="4" fillId="32" borderId="1" xfId="0" applyFont="1" applyFill="1" applyBorder="1" applyAlignment="1" applyProtection="1">
      <alignment horizontal="left"/>
      <protection locked="0"/>
    </xf>
    <xf numFmtId="0" fontId="4" fillId="32" borderId="1" xfId="0" applyFont="1" applyFill="1" applyBorder="1" applyAlignment="1" applyProtection="1">
      <protection locked="0"/>
    </xf>
    <xf numFmtId="0" fontId="4" fillId="32" borderId="12" xfId="0" applyFont="1" applyFill="1" applyBorder="1" applyAlignment="1" applyProtection="1">
      <protection locked="0"/>
    </xf>
    <xf numFmtId="166" fontId="4" fillId="32" borderId="59" xfId="0" applyNumberFormat="1" applyFont="1" applyFill="1" applyBorder="1" applyAlignment="1" applyProtection="1">
      <alignment horizontal="center" vertical="center"/>
      <protection locked="0"/>
    </xf>
    <xf numFmtId="166" fontId="4" fillId="32" borderId="8" xfId="0" applyNumberFormat="1" applyFont="1" applyFill="1" applyBorder="1" applyAlignment="1" applyProtection="1">
      <alignment horizontal="center" vertical="center"/>
      <protection locked="0"/>
    </xf>
    <xf numFmtId="166" fontId="4" fillId="32" borderId="10" xfId="0" applyNumberFormat="1" applyFont="1" applyFill="1" applyBorder="1" applyAlignment="1" applyProtection="1">
      <alignment horizontal="center" vertical="center"/>
      <protection locked="0"/>
    </xf>
    <xf numFmtId="166" fontId="4" fillId="32" borderId="1" xfId="0" applyNumberFormat="1" applyFont="1" applyFill="1" applyBorder="1" applyAlignment="1" applyProtection="1">
      <alignment horizontal="center" vertical="center"/>
      <protection locked="0"/>
    </xf>
    <xf numFmtId="4" fontId="126" fillId="2" borderId="3" xfId="0" applyNumberFormat="1" applyFont="1" applyFill="1" applyBorder="1" applyAlignment="1" applyProtection="1">
      <alignment horizontal="right"/>
      <protection hidden="1"/>
    </xf>
    <xf numFmtId="4" fontId="126" fillId="2" borderId="0" xfId="0" applyNumberFormat="1" applyFont="1" applyFill="1" applyBorder="1" applyAlignment="1" applyProtection="1">
      <protection hidden="1"/>
    </xf>
    <xf numFmtId="0" fontId="0" fillId="2" borderId="9" xfId="0" applyFill="1" applyBorder="1" applyAlignment="1" applyProtection="1">
      <protection hidden="1"/>
    </xf>
    <xf numFmtId="0" fontId="108" fillId="2" borderId="3" xfId="0" applyFont="1" applyFill="1" applyBorder="1" applyAlignment="1" applyProtection="1">
      <alignment horizontal="center"/>
      <protection hidden="1"/>
    </xf>
    <xf numFmtId="0" fontId="108" fillId="2" borderId="0" xfId="0" applyFont="1" applyFill="1" applyAlignment="1" applyProtection="1">
      <alignment horizontal="center"/>
      <protection hidden="1"/>
    </xf>
    <xf numFmtId="0" fontId="108" fillId="2" borderId="3" xfId="0" applyFont="1" applyFill="1" applyBorder="1" applyAlignment="1" applyProtection="1">
      <alignment horizontal="center" vertical="center"/>
      <protection hidden="1"/>
    </xf>
    <xf numFmtId="0" fontId="108" fillId="2" borderId="0" xfId="0" applyFont="1" applyFill="1" applyAlignment="1" applyProtection="1">
      <alignment horizontal="center" vertical="center"/>
      <protection hidden="1"/>
    </xf>
    <xf numFmtId="0" fontId="108" fillId="2" borderId="3" xfId="0" applyFont="1" applyFill="1" applyBorder="1" applyAlignment="1" applyProtection="1">
      <alignment horizontal="center" vertical="top"/>
      <protection hidden="1"/>
    </xf>
    <xf numFmtId="0" fontId="108" fillId="2" borderId="0" xfId="0" applyFont="1" applyFill="1" applyAlignment="1" applyProtection="1">
      <alignment horizontal="center" vertical="top"/>
      <protection hidden="1"/>
    </xf>
    <xf numFmtId="3" fontId="113" fillId="2" borderId="10" xfId="0" applyNumberFormat="1" applyFont="1" applyFill="1" applyBorder="1" applyAlignment="1" applyProtection="1">
      <alignment vertical="top"/>
      <protection hidden="1"/>
    </xf>
    <xf numFmtId="0" fontId="114" fillId="0" borderId="1" xfId="0" applyFont="1" applyBorder="1" applyAlignment="1" applyProtection="1">
      <alignment vertical="top"/>
      <protection hidden="1"/>
    </xf>
    <xf numFmtId="0" fontId="139" fillId="2" borderId="0" xfId="0" applyFont="1" applyFill="1" applyBorder="1" applyAlignment="1" applyProtection="1">
      <protection hidden="1"/>
    </xf>
    <xf numFmtId="0" fontId="139" fillId="0" borderId="0" xfId="0" applyFont="1" applyAlignment="1"/>
    <xf numFmtId="0" fontId="139" fillId="0" borderId="25" xfId="0" applyFont="1" applyBorder="1" applyAlignment="1"/>
    <xf numFmtId="3" fontId="0" fillId="32" borderId="1" xfId="0" applyNumberFormat="1" applyFill="1" applyBorder="1" applyAlignment="1" applyProtection="1">
      <alignment vertical="center"/>
      <protection hidden="1"/>
    </xf>
    <xf numFmtId="3" fontId="0" fillId="32" borderId="12" xfId="0" applyNumberFormat="1" applyFill="1" applyBorder="1" applyAlignment="1" applyProtection="1">
      <alignment vertical="center"/>
      <protection hidden="1"/>
    </xf>
    <xf numFmtId="0" fontId="0" fillId="21" borderId="40" xfId="0" applyFill="1" applyBorder="1" applyAlignment="1" applyProtection="1">
      <protection locked="0"/>
    </xf>
    <xf numFmtId="0" fontId="0" fillId="2" borderId="3" xfId="0" applyFill="1" applyBorder="1" applyAlignment="1" applyProtection="1">
      <protection hidden="1"/>
    </xf>
    <xf numFmtId="0" fontId="0" fillId="2" borderId="0" xfId="0" applyFill="1" applyAlignment="1" applyProtection="1">
      <protection hidden="1"/>
    </xf>
    <xf numFmtId="0" fontId="8" fillId="14" borderId="9" xfId="0" applyFont="1" applyFill="1" applyBorder="1" applyAlignment="1" applyProtection="1">
      <alignment horizontal="center" wrapText="1"/>
      <protection hidden="1"/>
    </xf>
    <xf numFmtId="3" fontId="3" fillId="32" borderId="10" xfId="0" applyNumberFormat="1" applyFont="1" applyFill="1" applyBorder="1" applyAlignment="1" applyProtection="1">
      <alignment vertical="center"/>
      <protection hidden="1"/>
    </xf>
    <xf numFmtId="0" fontId="3" fillId="32" borderId="1" xfId="0" applyFont="1" applyFill="1" applyBorder="1" applyAlignment="1" applyProtection="1">
      <alignment vertical="center"/>
      <protection hidden="1"/>
    </xf>
    <xf numFmtId="0" fontId="1" fillId="2" borderId="0" xfId="0" applyFont="1" applyFill="1" applyBorder="1" applyAlignment="1" applyProtection="1">
      <alignment horizontal="center" wrapText="1"/>
      <protection hidden="1"/>
    </xf>
    <xf numFmtId="0" fontId="11" fillId="2" borderId="22" xfId="0" applyFont="1" applyFill="1" applyBorder="1" applyAlignment="1" applyProtection="1">
      <alignment horizontal="center"/>
      <protection hidden="1"/>
    </xf>
    <xf numFmtId="0" fontId="51" fillId="2" borderId="6" xfId="0" applyFont="1" applyFill="1" applyBorder="1" applyAlignment="1" applyProtection="1">
      <alignment horizontal="center" vertical="top"/>
      <protection hidden="1"/>
    </xf>
    <xf numFmtId="0" fontId="180" fillId="0" borderId="0" xfId="0" applyFont="1" applyAlignment="1">
      <alignment horizontal="center" vertical="top"/>
    </xf>
    <xf numFmtId="0" fontId="180" fillId="0" borderId="21" xfId="0" applyFont="1" applyBorder="1" applyAlignment="1">
      <alignment horizontal="center" vertical="top"/>
    </xf>
    <xf numFmtId="0" fontId="11" fillId="2" borderId="6" xfId="0" applyFont="1" applyFill="1" applyBorder="1" applyAlignment="1" applyProtection="1">
      <alignment horizontal="center"/>
      <protection hidden="1"/>
    </xf>
    <xf numFmtId="0" fontId="11" fillId="0" borderId="0" xfId="0" applyFont="1" applyAlignment="1">
      <alignment horizontal="center"/>
    </xf>
    <xf numFmtId="0" fontId="11" fillId="0" borderId="21" xfId="0" applyFont="1" applyBorder="1" applyAlignment="1">
      <alignment horizontal="center"/>
    </xf>
    <xf numFmtId="3" fontId="0" fillId="21" borderId="1" xfId="0" applyNumberFormat="1" applyFill="1" applyBorder="1" applyAlignment="1" applyProtection="1">
      <alignment vertical="center"/>
      <protection locked="0"/>
    </xf>
    <xf numFmtId="3" fontId="0" fillId="21" borderId="12" xfId="0" applyNumberFormat="1" applyFill="1" applyBorder="1" applyAlignment="1" applyProtection="1">
      <alignment vertical="center"/>
      <protection locked="0"/>
    </xf>
    <xf numFmtId="0" fontId="5" fillId="2" borderId="59" xfId="0" applyFont="1" applyFill="1" applyBorder="1" applyAlignment="1" applyProtection="1">
      <alignment horizontal="left" wrapText="1"/>
      <protection hidden="1"/>
    </xf>
    <xf numFmtId="0" fontId="5" fillId="0" borderId="8" xfId="0" applyFont="1" applyBorder="1" applyAlignment="1">
      <alignment horizontal="left" wrapText="1"/>
    </xf>
    <xf numFmtId="0" fontId="5" fillId="0" borderId="37" xfId="0" applyFont="1" applyBorder="1" applyAlignment="1">
      <alignment horizontal="left" wrapText="1"/>
    </xf>
    <xf numFmtId="0" fontId="5" fillId="0" borderId="10" xfId="0" applyFont="1" applyBorder="1" applyAlignment="1">
      <alignment horizontal="left" wrapText="1"/>
    </xf>
    <xf numFmtId="0" fontId="5" fillId="0" borderId="1" xfId="0" applyFont="1" applyBorder="1" applyAlignment="1">
      <alignment horizontal="left" wrapText="1"/>
    </xf>
    <xf numFmtId="0" fontId="5" fillId="0" borderId="12" xfId="0" applyFont="1" applyBorder="1" applyAlignment="1">
      <alignment horizontal="left" wrapText="1"/>
    </xf>
    <xf numFmtId="0" fontId="5" fillId="2" borderId="59" xfId="0" applyFont="1" applyFill="1" applyBorder="1" applyAlignment="1" applyProtection="1">
      <alignment horizontal="left" vertical="center" wrapText="1" indent="1"/>
      <protection hidden="1"/>
    </xf>
    <xf numFmtId="0" fontId="5" fillId="0" borderId="8" xfId="0" applyFont="1" applyBorder="1" applyAlignment="1">
      <alignment horizontal="left" vertical="center" wrapText="1" indent="1"/>
    </xf>
    <xf numFmtId="0" fontId="5" fillId="0" borderId="37"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4" fillId="2" borderId="40" xfId="0" applyFont="1" applyFill="1" applyBorder="1" applyAlignment="1" applyProtection="1">
      <alignment horizontal="center" vertical="center"/>
      <protection hidden="1"/>
    </xf>
    <xf numFmtId="0" fontId="0" fillId="0" borderId="26" xfId="0" applyBorder="1" applyAlignment="1">
      <alignment horizontal="center" vertical="center"/>
    </xf>
    <xf numFmtId="0" fontId="0" fillId="0" borderId="55" xfId="0" applyBorder="1" applyAlignment="1">
      <alignment horizontal="center" vertical="center"/>
    </xf>
    <xf numFmtId="0" fontId="139" fillId="2" borderId="3" xfId="0" applyFont="1" applyFill="1" applyBorder="1" applyAlignment="1" applyProtection="1">
      <protection hidden="1"/>
    </xf>
    <xf numFmtId="0" fontId="4" fillId="32" borderId="1" xfId="0" applyFont="1" applyFill="1" applyBorder="1" applyAlignment="1" applyProtection="1">
      <alignment horizontal="left"/>
      <protection hidden="1"/>
    </xf>
    <xf numFmtId="0" fontId="4" fillId="32" borderId="1" xfId="0" applyFont="1" applyFill="1" applyBorder="1" applyAlignment="1" applyProtection="1">
      <protection hidden="1"/>
    </xf>
    <xf numFmtId="0" fontId="4" fillId="32" borderId="12" xfId="0" applyFont="1" applyFill="1" applyBorder="1" applyAlignment="1" applyProtection="1">
      <protection hidden="1"/>
    </xf>
    <xf numFmtId="3" fontId="0" fillId="32" borderId="72" xfId="0" applyNumberFormat="1" applyFill="1" applyBorder="1" applyAlignment="1" applyProtection="1">
      <alignment vertical="center"/>
      <protection hidden="1"/>
    </xf>
    <xf numFmtId="0" fontId="0" fillId="32" borderId="5" xfId="0" applyFill="1" applyBorder="1" applyAlignment="1" applyProtection="1">
      <alignment vertical="center"/>
      <protection hidden="1"/>
    </xf>
    <xf numFmtId="0" fontId="0" fillId="32" borderId="73" xfId="0" applyFill="1" applyBorder="1" applyAlignment="1" applyProtection="1">
      <alignment vertical="center"/>
      <protection hidden="1"/>
    </xf>
    <xf numFmtId="0" fontId="3" fillId="2" borderId="26" xfId="0" applyFont="1" applyFill="1" applyBorder="1" applyAlignment="1" applyProtection="1">
      <alignment vertical="center"/>
      <protection hidden="1"/>
    </xf>
    <xf numFmtId="0" fontId="0" fillId="0" borderId="26" xfId="0" applyBorder="1" applyAlignment="1">
      <alignment vertical="center"/>
    </xf>
    <xf numFmtId="0" fontId="157" fillId="2" borderId="0" xfId="0" applyFont="1" applyFill="1" applyBorder="1" applyAlignment="1" applyProtection="1">
      <alignment horizontal="center"/>
      <protection hidden="1"/>
    </xf>
    <xf numFmtId="0" fontId="157" fillId="0" borderId="0" xfId="0" applyFont="1" applyAlignment="1">
      <alignment horizontal="center"/>
    </xf>
    <xf numFmtId="0" fontId="157" fillId="0" borderId="25" xfId="0" applyFont="1" applyBorder="1" applyAlignment="1">
      <alignment horizontal="center"/>
    </xf>
    <xf numFmtId="0" fontId="23" fillId="2" borderId="31" xfId="0" applyFont="1" applyFill="1" applyBorder="1" applyAlignment="1" applyProtection="1">
      <protection hidden="1"/>
    </xf>
    <xf numFmtId="0" fontId="23" fillId="2" borderId="9" xfId="0" applyFont="1" applyFill="1" applyBorder="1" applyAlignment="1" applyProtection="1">
      <protection hidden="1"/>
    </xf>
    <xf numFmtId="3" fontId="161" fillId="2" borderId="3" xfId="0" applyNumberFormat="1" applyFont="1" applyFill="1" applyBorder="1" applyAlignment="1" applyProtection="1">
      <protection hidden="1"/>
    </xf>
    <xf numFmtId="3" fontId="161" fillId="0" borderId="25" xfId="0" applyNumberFormat="1" applyFont="1" applyBorder="1" applyAlignment="1"/>
    <xf numFmtId="3" fontId="3" fillId="32" borderId="10" xfId="0" applyNumberFormat="1" applyFont="1" applyFill="1" applyBorder="1" applyAlignment="1" applyProtection="1">
      <alignment wrapText="1"/>
      <protection hidden="1"/>
    </xf>
    <xf numFmtId="3" fontId="3" fillId="32" borderId="1" xfId="0" applyNumberFormat="1" applyFont="1" applyFill="1" applyBorder="1" applyAlignment="1" applyProtection="1">
      <alignment wrapText="1"/>
      <protection hidden="1"/>
    </xf>
    <xf numFmtId="3" fontId="3" fillId="32" borderId="12" xfId="0" applyNumberFormat="1" applyFont="1" applyFill="1" applyBorder="1" applyAlignment="1" applyProtection="1">
      <alignment wrapText="1"/>
      <protection hidden="1"/>
    </xf>
    <xf numFmtId="193" fontId="174" fillId="20" borderId="0" xfId="0" applyNumberFormat="1" applyFont="1" applyFill="1" applyBorder="1" applyAlignment="1" applyProtection="1">
      <alignment horizontal="center" vertical="center" wrapText="1"/>
      <protection hidden="1"/>
    </xf>
    <xf numFmtId="193" fontId="174" fillId="0" borderId="0" xfId="0" applyNumberFormat="1" applyFont="1" applyAlignment="1">
      <alignment horizontal="center" vertical="center" wrapText="1"/>
    </xf>
    <xf numFmtId="193" fontId="174" fillId="0" borderId="25" xfId="0" applyNumberFormat="1" applyFont="1" applyBorder="1" applyAlignment="1">
      <alignment horizontal="center" vertical="center" wrapText="1"/>
    </xf>
    <xf numFmtId="3" fontId="3" fillId="32" borderId="40" xfId="0" applyNumberFormat="1" applyFont="1" applyFill="1" applyBorder="1" applyAlignment="1" applyProtection="1">
      <alignment horizontal="center" vertical="center" wrapText="1"/>
      <protection hidden="1"/>
    </xf>
    <xf numFmtId="0" fontId="3" fillId="32" borderId="55" xfId="0" applyFont="1" applyFill="1" applyBorder="1" applyAlignment="1" applyProtection="1">
      <alignment horizontal="center" vertical="center" wrapText="1"/>
      <protection hidden="1"/>
    </xf>
    <xf numFmtId="3" fontId="174" fillId="2" borderId="0" xfId="0" applyNumberFormat="1" applyFont="1" applyFill="1" applyBorder="1" applyAlignment="1" applyProtection="1">
      <alignment horizontal="center" vertical="center" wrapText="1"/>
      <protection hidden="1"/>
    </xf>
    <xf numFmtId="3" fontId="3" fillId="21" borderId="10" xfId="0" applyNumberFormat="1" applyFont="1" applyFill="1" applyBorder="1" applyAlignment="1" applyProtection="1">
      <alignment wrapText="1"/>
      <protection locked="0"/>
    </xf>
    <xf numFmtId="3" fontId="3" fillId="21" borderId="12" xfId="0" applyNumberFormat="1" applyFont="1" applyFill="1" applyBorder="1" applyAlignment="1" applyProtection="1">
      <alignment wrapText="1"/>
      <protection locked="0"/>
    </xf>
    <xf numFmtId="3" fontId="174" fillId="2" borderId="3" xfId="0" applyNumberFormat="1" applyFont="1" applyFill="1" applyBorder="1" applyAlignment="1" applyProtection="1">
      <alignment horizontal="center" vertical="center" wrapText="1"/>
      <protection hidden="1"/>
    </xf>
    <xf numFmtId="0" fontId="263" fillId="20" borderId="31" xfId="0" applyFont="1" applyFill="1" applyBorder="1" applyAlignment="1" applyProtection="1">
      <alignment horizontal="left" vertical="center" wrapText="1" indent="1"/>
      <protection hidden="1"/>
    </xf>
    <xf numFmtId="0" fontId="228" fillId="0" borderId="9" xfId="0" applyFont="1" applyBorder="1" applyAlignment="1">
      <alignment horizontal="left" vertical="center" wrapText="1" indent="1"/>
    </xf>
    <xf numFmtId="0" fontId="228" fillId="0" borderId="15" xfId="0" applyFont="1" applyBorder="1" applyAlignment="1">
      <alignment horizontal="left" vertical="center" wrapText="1" indent="1"/>
    </xf>
    <xf numFmtId="0" fontId="228" fillId="0" borderId="3" xfId="0" applyFont="1" applyBorder="1" applyAlignment="1">
      <alignment horizontal="left" vertical="center" wrapText="1" indent="1"/>
    </xf>
    <xf numFmtId="0" fontId="228" fillId="0" borderId="0" xfId="0" applyFont="1" applyBorder="1" applyAlignment="1">
      <alignment horizontal="left" vertical="center" wrapText="1" indent="1"/>
    </xf>
    <xf numFmtId="0" fontId="228" fillId="0" borderId="25" xfId="0" applyFont="1" applyBorder="1" applyAlignment="1">
      <alignment horizontal="left" vertical="center" wrapText="1" indent="1"/>
    </xf>
    <xf numFmtId="194" fontId="1" fillId="2" borderId="10" xfId="0" applyNumberFormat="1" applyFont="1" applyFill="1" applyBorder="1" applyAlignment="1" applyProtection="1">
      <alignment horizontal="center" vertical="center" wrapText="1"/>
      <protection hidden="1"/>
    </xf>
    <xf numFmtId="194" fontId="1" fillId="2" borderId="12" xfId="0" applyNumberFormat="1" applyFont="1" applyFill="1" applyBorder="1" applyAlignment="1" applyProtection="1">
      <alignment horizontal="center" vertical="center" wrapText="1"/>
      <protection hidden="1"/>
    </xf>
    <xf numFmtId="14" fontId="3" fillId="2" borderId="10" xfId="0" applyNumberFormat="1" applyFont="1" applyFill="1" applyBorder="1" applyAlignment="1" applyProtection="1">
      <alignment horizontal="center" wrapText="1"/>
      <protection hidden="1"/>
    </xf>
    <xf numFmtId="0" fontId="0" fillId="0" borderId="12" xfId="0" applyBorder="1" applyAlignment="1">
      <alignment horizontal="center" wrapText="1"/>
    </xf>
    <xf numFmtId="193" fontId="3" fillId="2" borderId="10" xfId="0" applyNumberFormat="1" applyFont="1" applyFill="1" applyBorder="1" applyAlignment="1" applyProtection="1">
      <alignment horizontal="center" wrapText="1"/>
      <protection hidden="1"/>
    </xf>
    <xf numFmtId="193" fontId="0" fillId="0" borderId="12" xfId="0" applyNumberFormat="1" applyBorder="1" applyAlignment="1">
      <alignment horizontal="center" wrapText="1"/>
    </xf>
    <xf numFmtId="3" fontId="3" fillId="21" borderId="1" xfId="0" applyNumberFormat="1" applyFont="1" applyFill="1" applyBorder="1" applyAlignment="1" applyProtection="1">
      <alignment wrapText="1"/>
      <protection locked="0"/>
    </xf>
    <xf numFmtId="168" fontId="260" fillId="20" borderId="40" xfId="0" applyNumberFormat="1" applyFont="1" applyFill="1" applyBorder="1" applyAlignment="1" applyProtection="1">
      <alignment horizontal="center" wrapText="1"/>
      <protection hidden="1"/>
    </xf>
    <xf numFmtId="168" fontId="260" fillId="20" borderId="55" xfId="0" applyNumberFormat="1" applyFont="1" applyFill="1" applyBorder="1" applyAlignment="1" applyProtection="1">
      <alignment horizontal="center" wrapText="1"/>
      <protection hidden="1"/>
    </xf>
    <xf numFmtId="3" fontId="3" fillId="32" borderId="159" xfId="0" applyNumberFormat="1" applyFont="1" applyFill="1" applyBorder="1" applyAlignment="1" applyProtection="1">
      <alignment wrapText="1"/>
      <protection hidden="1"/>
    </xf>
    <xf numFmtId="3" fontId="3" fillId="32" borderId="148" xfId="0" applyNumberFormat="1" applyFont="1" applyFill="1" applyBorder="1" applyAlignment="1" applyProtection="1">
      <alignment wrapText="1"/>
      <protection hidden="1"/>
    </xf>
    <xf numFmtId="179" fontId="259" fillId="20" borderId="40" xfId="0" applyNumberFormat="1" applyFont="1" applyFill="1" applyBorder="1" applyAlignment="1" applyProtection="1">
      <alignment horizontal="center" vertical="center" wrapText="1"/>
      <protection locked="0"/>
    </xf>
    <xf numFmtId="179" fontId="259" fillId="20" borderId="55" xfId="0" applyNumberFormat="1" applyFont="1" applyFill="1" applyBorder="1" applyAlignment="1" applyProtection="1">
      <alignment horizontal="center" vertical="center" wrapText="1"/>
      <protection locked="0"/>
    </xf>
    <xf numFmtId="182" fontId="259" fillId="20" borderId="40" xfId="0" applyNumberFormat="1" applyFont="1" applyFill="1" applyBorder="1" applyAlignment="1" applyProtection="1">
      <alignment horizontal="center" vertical="center" wrapText="1"/>
      <protection locked="0"/>
    </xf>
    <xf numFmtId="182" fontId="259" fillId="20" borderId="55" xfId="0" applyNumberFormat="1" applyFont="1" applyFill="1" applyBorder="1" applyAlignment="1" applyProtection="1">
      <alignment horizontal="center" vertical="center" wrapText="1"/>
      <protection locked="0"/>
    </xf>
    <xf numFmtId="179" fontId="259" fillId="20" borderId="31" xfId="0" applyNumberFormat="1" applyFont="1" applyFill="1" applyBorder="1" applyAlignment="1" applyProtection="1">
      <alignment horizontal="center" vertical="center" wrapText="1"/>
      <protection locked="0"/>
    </xf>
    <xf numFmtId="179" fontId="259" fillId="20" borderId="9" xfId="0" applyNumberFormat="1" applyFont="1" applyFill="1" applyBorder="1" applyAlignment="1" applyProtection="1">
      <alignment horizontal="center" vertical="center" wrapText="1"/>
      <protection locked="0"/>
    </xf>
    <xf numFmtId="179" fontId="259" fillId="20" borderId="26" xfId="0" applyNumberFormat="1" applyFont="1" applyFill="1" applyBorder="1" applyAlignment="1" applyProtection="1">
      <alignment horizontal="center" vertical="center" wrapText="1"/>
      <protection locked="0"/>
    </xf>
    <xf numFmtId="3" fontId="3" fillId="32" borderId="40" xfId="0" applyNumberFormat="1" applyFont="1" applyFill="1" applyBorder="1" applyAlignment="1" applyProtection="1">
      <alignment vertical="center" wrapText="1"/>
      <protection hidden="1"/>
    </xf>
    <xf numFmtId="3" fontId="3" fillId="32" borderId="26" xfId="0" applyNumberFormat="1" applyFont="1" applyFill="1" applyBorder="1" applyAlignment="1" applyProtection="1">
      <alignment vertical="center" wrapText="1"/>
      <protection hidden="1"/>
    </xf>
    <xf numFmtId="0" fontId="1" fillId="40" borderId="68" xfId="0" applyFont="1" applyFill="1" applyBorder="1" applyAlignment="1">
      <alignment horizontal="center" wrapText="1"/>
    </xf>
    <xf numFmtId="168" fontId="260" fillId="20" borderId="26" xfId="0" applyNumberFormat="1" applyFont="1" applyFill="1" applyBorder="1" applyAlignment="1" applyProtection="1">
      <alignment horizontal="center" wrapText="1"/>
      <protection hidden="1"/>
    </xf>
    <xf numFmtId="3" fontId="8" fillId="20" borderId="10" xfId="0" applyNumberFormat="1" applyFont="1" applyFill="1" applyBorder="1" applyAlignment="1" applyProtection="1">
      <alignment horizontal="center"/>
      <protection locked="0"/>
    </xf>
    <xf numFmtId="0" fontId="8" fillId="20" borderId="12" xfId="0" applyFont="1" applyFill="1" applyBorder="1" applyAlignment="1">
      <alignment horizontal="center"/>
    </xf>
    <xf numFmtId="0" fontId="1" fillId="2" borderId="31" xfId="0" applyFont="1" applyFill="1" applyBorder="1" applyAlignment="1" applyProtection="1">
      <alignment horizontal="center" wrapText="1"/>
      <protection hidden="1"/>
    </xf>
    <xf numFmtId="0" fontId="0" fillId="0" borderId="15" xfId="0" applyBorder="1" applyAlignment="1">
      <alignment horizontal="center" wrapText="1"/>
    </xf>
    <xf numFmtId="0" fontId="3" fillId="2" borderId="15" xfId="0" applyFont="1" applyFill="1" applyBorder="1" applyAlignment="1" applyProtection="1">
      <alignment horizontal="center" wrapText="1"/>
      <protection hidden="1"/>
    </xf>
    <xf numFmtId="168" fontId="174" fillId="2" borderId="1" xfId="0" applyNumberFormat="1" applyFont="1" applyFill="1" applyBorder="1" applyAlignment="1" applyProtection="1">
      <alignment horizontal="center" vertical="center" wrapText="1"/>
      <protection hidden="1"/>
    </xf>
    <xf numFmtId="168" fontId="174" fillId="2" borderId="12" xfId="0" applyNumberFormat="1" applyFont="1" applyFill="1" applyBorder="1" applyAlignment="1" applyProtection="1">
      <alignment horizontal="center" vertical="center" wrapText="1"/>
      <protection hidden="1"/>
    </xf>
    <xf numFmtId="193" fontId="5" fillId="2" borderId="119" xfId="0" applyNumberFormat="1" applyFont="1" applyFill="1" applyBorder="1" applyAlignment="1" applyProtection="1">
      <alignment horizontal="center" vertical="center" wrapText="1"/>
      <protection hidden="1"/>
    </xf>
    <xf numFmtId="193" fontId="5" fillId="2" borderId="97" xfId="0" applyNumberFormat="1" applyFont="1" applyFill="1" applyBorder="1" applyAlignment="1" applyProtection="1">
      <alignment horizontal="center" vertical="center" wrapText="1"/>
      <protection hidden="1"/>
    </xf>
    <xf numFmtId="168" fontId="5" fillId="2" borderId="150" xfId="0" applyNumberFormat="1" applyFont="1" applyFill="1" applyBorder="1" applyAlignment="1" applyProtection="1">
      <alignment horizontal="center" vertical="center" wrapText="1"/>
      <protection hidden="1"/>
    </xf>
    <xf numFmtId="168" fontId="5" fillId="2" borderId="151" xfId="0" applyNumberFormat="1" applyFont="1" applyFill="1" applyBorder="1" applyAlignment="1" applyProtection="1">
      <alignment horizontal="center" vertical="center" wrapText="1"/>
      <protection hidden="1"/>
    </xf>
    <xf numFmtId="0" fontId="3" fillId="32" borderId="26" xfId="0" applyFont="1" applyFill="1" applyBorder="1" applyAlignment="1" applyProtection="1">
      <alignment horizontal="center" vertical="center" wrapText="1"/>
      <protection hidden="1"/>
    </xf>
    <xf numFmtId="193" fontId="174" fillId="2" borderId="9" xfId="0" applyNumberFormat="1" applyFont="1" applyFill="1" applyBorder="1" applyAlignment="1" applyProtection="1">
      <alignment horizontal="center" vertical="center" wrapText="1"/>
      <protection hidden="1"/>
    </xf>
    <xf numFmtId="193" fontId="174" fillId="2" borderId="15" xfId="0" applyNumberFormat="1" applyFont="1" applyFill="1" applyBorder="1" applyAlignment="1" applyProtection="1">
      <alignment horizontal="center" vertical="center" wrapText="1"/>
      <protection hidden="1"/>
    </xf>
    <xf numFmtId="3" fontId="174" fillId="2" borderId="25" xfId="0" applyNumberFormat="1" applyFont="1" applyFill="1" applyBorder="1" applyAlignment="1" applyProtection="1">
      <alignment horizontal="center" vertical="center" wrapText="1"/>
      <protection hidden="1"/>
    </xf>
    <xf numFmtId="3" fontId="3" fillId="32" borderId="40" xfId="0" applyNumberFormat="1" applyFont="1" applyFill="1" applyBorder="1" applyAlignment="1" applyProtection="1">
      <alignment wrapText="1"/>
      <protection hidden="1"/>
    </xf>
    <xf numFmtId="3" fontId="3" fillId="32" borderId="26" xfId="0" applyNumberFormat="1" applyFont="1" applyFill="1" applyBorder="1" applyAlignment="1" applyProtection="1">
      <alignment wrapText="1"/>
      <protection hidden="1"/>
    </xf>
    <xf numFmtId="0" fontId="1" fillId="2" borderId="40" xfId="0" applyFont="1" applyFill="1" applyBorder="1" applyAlignment="1" applyProtection="1">
      <alignment horizontal="center" vertical="center" wrapText="1"/>
      <protection hidden="1"/>
    </xf>
    <xf numFmtId="0" fontId="1" fillId="2" borderId="26" xfId="0" applyFont="1" applyFill="1" applyBorder="1" applyAlignment="1" applyProtection="1">
      <alignment horizontal="center" vertical="center" wrapText="1"/>
      <protection hidden="1"/>
    </xf>
    <xf numFmtId="0" fontId="1" fillId="2" borderId="55" xfId="0" applyFont="1" applyFill="1" applyBorder="1" applyAlignment="1" applyProtection="1">
      <alignment horizontal="center" vertical="center" wrapText="1"/>
      <protection hidden="1"/>
    </xf>
    <xf numFmtId="0" fontId="3" fillId="2" borderId="31" xfId="0" applyFont="1" applyFill="1" applyBorder="1" applyAlignment="1" applyProtection="1">
      <alignment horizontal="center" wrapText="1"/>
      <protection hidden="1"/>
    </xf>
    <xf numFmtId="1" fontId="3" fillId="2" borderId="10" xfId="0" applyNumberFormat="1" applyFont="1" applyFill="1" applyBorder="1" applyAlignment="1" applyProtection="1">
      <alignment horizontal="center" vertical="center" wrapText="1"/>
      <protection hidden="1"/>
    </xf>
    <xf numFmtId="1" fontId="3" fillId="0" borderId="12" xfId="0" applyNumberFormat="1" applyFont="1" applyBorder="1" applyAlignment="1">
      <alignment horizontal="center" vertical="center" wrapText="1"/>
    </xf>
    <xf numFmtId="194" fontId="1" fillId="2" borderId="3" xfId="0" applyNumberFormat="1" applyFont="1" applyFill="1" applyBorder="1" applyAlignment="1" applyProtection="1">
      <alignment horizontal="center" vertical="center" wrapText="1"/>
      <protection hidden="1"/>
    </xf>
    <xf numFmtId="194" fontId="1" fillId="2" borderId="25" xfId="0" applyNumberFormat="1" applyFont="1" applyFill="1" applyBorder="1" applyAlignment="1" applyProtection="1">
      <alignment horizontal="center" vertical="center" wrapText="1"/>
      <protection hidden="1"/>
    </xf>
    <xf numFmtId="193" fontId="3" fillId="2" borderId="40" xfId="0" applyNumberFormat="1" applyFont="1" applyFill="1" applyBorder="1" applyAlignment="1" applyProtection="1">
      <alignment horizontal="center" vertical="center" wrapText="1"/>
      <protection hidden="1"/>
    </xf>
    <xf numFmtId="193" fontId="3" fillId="2" borderId="55" xfId="0" applyNumberFormat="1" applyFont="1" applyFill="1" applyBorder="1" applyAlignment="1" applyProtection="1">
      <alignment horizontal="center" vertical="center" wrapText="1"/>
      <protection hidden="1"/>
    </xf>
    <xf numFmtId="0" fontId="8" fillId="2" borderId="31" xfId="0" applyFont="1" applyFill="1" applyBorder="1" applyAlignment="1" applyProtection="1">
      <alignment horizontal="left" vertical="center" wrapText="1"/>
      <protection hidden="1"/>
    </xf>
    <xf numFmtId="0" fontId="0" fillId="0" borderId="15" xfId="0" applyBorder="1" applyAlignment="1">
      <alignment horizontal="left" vertical="center" wrapText="1"/>
    </xf>
    <xf numFmtId="0" fontId="5" fillId="20" borderId="0" xfId="0" applyFont="1" applyFill="1" applyBorder="1" applyAlignment="1" applyProtection="1">
      <alignment horizontal="left" vertical="center" wrapText="1"/>
      <protection hidden="1"/>
    </xf>
    <xf numFmtId="0" fontId="5" fillId="0" borderId="0" xfId="0" applyFont="1" applyBorder="1" applyAlignment="1">
      <alignment horizontal="left" vertical="center" wrapText="1"/>
    </xf>
    <xf numFmtId="0" fontId="5" fillId="0" borderId="25" xfId="0" applyFont="1" applyBorder="1" applyAlignment="1">
      <alignment horizontal="left" vertical="center" wrapText="1"/>
    </xf>
    <xf numFmtId="14" fontId="3" fillId="10" borderId="40" xfId="0" applyNumberFormat="1" applyFont="1" applyFill="1" applyBorder="1" applyAlignment="1" applyProtection="1">
      <alignment horizontal="center" vertical="center" wrapText="1"/>
      <protection hidden="1"/>
    </xf>
    <xf numFmtId="0" fontId="3" fillId="10" borderId="55" xfId="0" applyFont="1" applyFill="1" applyBorder="1" applyAlignment="1" applyProtection="1">
      <alignment horizontal="center" vertical="center" wrapText="1"/>
      <protection hidden="1"/>
    </xf>
    <xf numFmtId="0" fontId="8" fillId="2" borderId="15" xfId="0" applyFont="1" applyFill="1" applyBorder="1" applyAlignment="1" applyProtection="1">
      <alignment horizontal="left" vertical="center" wrapText="1"/>
      <protection hidden="1"/>
    </xf>
    <xf numFmtId="193" fontId="174" fillId="2" borderId="31" xfId="0" applyNumberFormat="1" applyFont="1" applyFill="1" applyBorder="1" applyAlignment="1" applyProtection="1">
      <alignment horizontal="center" vertical="center" wrapText="1"/>
      <protection hidden="1"/>
    </xf>
    <xf numFmtId="193" fontId="5" fillId="2" borderId="108" xfId="0" applyNumberFormat="1" applyFont="1" applyFill="1" applyBorder="1" applyAlignment="1" applyProtection="1">
      <alignment horizontal="center" vertical="center" wrapText="1"/>
      <protection hidden="1"/>
    </xf>
    <xf numFmtId="193" fontId="5" fillId="2" borderId="106" xfId="0" applyNumberFormat="1" applyFont="1" applyFill="1" applyBorder="1" applyAlignment="1" applyProtection="1">
      <alignment horizontal="center" vertical="center" wrapText="1"/>
      <protection hidden="1"/>
    </xf>
    <xf numFmtId="171" fontId="259" fillId="20" borderId="40" xfId="0" applyNumberFormat="1" applyFont="1" applyFill="1" applyBorder="1" applyAlignment="1" applyProtection="1">
      <alignment horizontal="center" vertical="center" wrapText="1"/>
      <protection locked="0"/>
    </xf>
    <xf numFmtId="171" fontId="259" fillId="20" borderId="55" xfId="0" applyNumberFormat="1" applyFont="1" applyFill="1" applyBorder="1" applyAlignment="1" applyProtection="1">
      <alignment horizontal="center" vertical="center" wrapText="1"/>
      <protection locked="0"/>
    </xf>
    <xf numFmtId="3" fontId="3" fillId="32" borderId="10" xfId="0" applyNumberFormat="1" applyFont="1" applyFill="1" applyBorder="1" applyAlignment="1" applyProtection="1">
      <alignment vertical="center" wrapText="1"/>
      <protection hidden="1"/>
    </xf>
    <xf numFmtId="3" fontId="3" fillId="32" borderId="12" xfId="0" applyNumberFormat="1" applyFont="1" applyFill="1" applyBorder="1" applyAlignment="1" applyProtection="1">
      <alignment vertical="center" wrapText="1"/>
      <protection hidden="1"/>
    </xf>
    <xf numFmtId="3" fontId="3" fillId="32" borderId="72" xfId="0" applyNumberFormat="1" applyFont="1" applyFill="1" applyBorder="1" applyAlignment="1" applyProtection="1">
      <alignment wrapText="1"/>
      <protection hidden="1"/>
    </xf>
    <xf numFmtId="3" fontId="3" fillId="32" borderId="5" xfId="0" applyNumberFormat="1" applyFont="1" applyFill="1" applyBorder="1" applyAlignment="1" applyProtection="1">
      <alignment wrapText="1"/>
      <protection hidden="1"/>
    </xf>
    <xf numFmtId="0" fontId="110" fillId="2" borderId="0" xfId="0" applyFont="1" applyFill="1" applyBorder="1" applyAlignment="1" applyProtection="1">
      <alignment horizontal="center" vertical="center" wrapText="1"/>
      <protection hidden="1"/>
    </xf>
    <xf numFmtId="0" fontId="110" fillId="0" borderId="21" xfId="0" applyFont="1" applyBorder="1" applyAlignment="1">
      <alignment horizontal="center" vertical="center" wrapText="1"/>
    </xf>
    <xf numFmtId="0" fontId="110" fillId="0" borderId="0" xfId="0" applyFont="1" applyAlignment="1">
      <alignment horizontal="center" vertical="center" wrapText="1"/>
    </xf>
    <xf numFmtId="0" fontId="3" fillId="2" borderId="10" xfId="0" applyNumberFormat="1" applyFont="1" applyFill="1" applyBorder="1" applyAlignment="1" applyProtection="1">
      <alignment horizontal="center" wrapText="1"/>
      <protection hidden="1"/>
    </xf>
    <xf numFmtId="0" fontId="3" fillId="2" borderId="12" xfId="0" applyNumberFormat="1" applyFont="1" applyFill="1" applyBorder="1" applyAlignment="1" applyProtection="1">
      <alignment horizontal="center" wrapText="1"/>
      <protection hidden="1"/>
    </xf>
    <xf numFmtId="3" fontId="3" fillId="21" borderId="3" xfId="0" applyNumberFormat="1" applyFont="1" applyFill="1" applyBorder="1" applyAlignment="1" applyProtection="1">
      <alignment wrapText="1"/>
      <protection locked="0"/>
    </xf>
    <xf numFmtId="3" fontId="3" fillId="21" borderId="0" xfId="0" applyNumberFormat="1" applyFont="1" applyFill="1" applyBorder="1" applyAlignment="1" applyProtection="1">
      <alignment wrapText="1"/>
      <protection locked="0"/>
    </xf>
    <xf numFmtId="192" fontId="161" fillId="20" borderId="3" xfId="0" applyNumberFormat="1" applyFont="1" applyFill="1" applyBorder="1" applyAlignment="1" applyProtection="1">
      <alignment horizontal="center"/>
      <protection locked="0"/>
    </xf>
    <xf numFmtId="192" fontId="161" fillId="0" borderId="0" xfId="0" applyNumberFormat="1" applyFont="1" applyAlignment="1">
      <alignment horizontal="center"/>
    </xf>
    <xf numFmtId="3" fontId="161" fillId="20" borderId="3" xfId="0" applyNumberFormat="1" applyFont="1" applyFill="1" applyBorder="1" applyAlignment="1" applyProtection="1">
      <alignment horizontal="center" vertical="center"/>
      <protection locked="0"/>
    </xf>
    <xf numFmtId="0" fontId="161" fillId="0" borderId="0" xfId="0" applyFont="1" applyAlignment="1">
      <alignment horizontal="center" vertical="center"/>
    </xf>
    <xf numFmtId="192" fontId="0" fillId="2" borderId="0" xfId="0" applyNumberFormat="1" applyFill="1" applyAlignment="1" applyProtection="1">
      <alignment horizontal="left"/>
      <protection hidden="1"/>
    </xf>
    <xf numFmtId="190" fontId="174" fillId="2" borderId="31" xfId="0" applyNumberFormat="1" applyFont="1" applyFill="1" applyBorder="1" applyAlignment="1" applyProtection="1">
      <alignment horizontal="center"/>
      <protection hidden="1"/>
    </xf>
    <xf numFmtId="190" fontId="174" fillId="0" borderId="15" xfId="0" applyNumberFormat="1" applyFont="1" applyBorder="1" applyAlignment="1">
      <alignment horizontal="center"/>
    </xf>
    <xf numFmtId="0" fontId="161" fillId="20" borderId="0" xfId="0" applyFont="1" applyFill="1" applyBorder="1" applyAlignment="1" applyProtection="1">
      <alignment horizontal="center" vertical="center"/>
      <protection locked="0"/>
    </xf>
    <xf numFmtId="190" fontId="174" fillId="20" borderId="3" xfId="0" applyNumberFormat="1" applyFont="1" applyFill="1" applyBorder="1" applyAlignment="1" applyProtection="1">
      <alignment horizontal="center" vertical="center"/>
      <protection locked="0"/>
    </xf>
    <xf numFmtId="190" fontId="174" fillId="20" borderId="0" xfId="0" applyNumberFormat="1" applyFont="1" applyFill="1" applyBorder="1" applyAlignment="1" applyProtection="1">
      <alignment horizontal="center" vertical="center"/>
      <protection locked="0"/>
    </xf>
    <xf numFmtId="0" fontId="3" fillId="2" borderId="0" xfId="0" applyFont="1" applyFill="1" applyBorder="1" applyAlignment="1" applyProtection="1">
      <alignment horizontal="right" vertical="center" wrapText="1"/>
      <protection hidden="1"/>
    </xf>
    <xf numFmtId="0" fontId="0" fillId="0" borderId="0" xfId="0" applyAlignment="1">
      <alignment horizontal="right" vertical="center" wrapText="1"/>
    </xf>
    <xf numFmtId="0" fontId="5" fillId="2" borderId="31" xfId="0" applyFont="1" applyFill="1" applyBorder="1" applyAlignment="1" applyProtection="1">
      <alignment horizontal="center" vertical="center"/>
      <protection hidden="1"/>
    </xf>
    <xf numFmtId="0" fontId="5" fillId="0" borderId="9" xfId="0" applyFont="1" applyBorder="1" applyAlignment="1">
      <alignment horizontal="center" vertical="center"/>
    </xf>
    <xf numFmtId="0" fontId="5" fillId="0" borderId="15" xfId="0" applyFont="1" applyBorder="1" applyAlignment="1">
      <alignment horizontal="center" vertical="center"/>
    </xf>
    <xf numFmtId="0" fontId="5" fillId="0" borderId="10" xfId="0" applyFont="1" applyBorder="1" applyAlignment="1">
      <alignment horizontal="center" vertical="center"/>
    </xf>
    <xf numFmtId="0" fontId="21" fillId="2" borderId="6" xfId="0" applyFont="1" applyFill="1" applyBorder="1" applyAlignment="1" applyProtection="1">
      <alignment horizontal="center" vertical="center" wrapText="1"/>
      <protection hidden="1"/>
    </xf>
    <xf numFmtId="0" fontId="21" fillId="2" borderId="0" xfId="0" applyFont="1" applyFill="1" applyBorder="1" applyAlignment="1" applyProtection="1">
      <alignment horizontal="center" vertical="center" wrapText="1"/>
      <protection hidden="1"/>
    </xf>
    <xf numFmtId="0" fontId="21" fillId="2" borderId="21" xfId="0" applyFont="1" applyFill="1" applyBorder="1" applyAlignment="1" applyProtection="1">
      <alignment horizontal="center" vertical="center" wrapText="1"/>
      <protection hidden="1"/>
    </xf>
    <xf numFmtId="0" fontId="11" fillId="2" borderId="0" xfId="0" applyFont="1" applyFill="1" applyBorder="1" applyAlignment="1" applyProtection="1">
      <alignment horizontal="center"/>
      <protection hidden="1"/>
    </xf>
    <xf numFmtId="0" fontId="11" fillId="2" borderId="5" xfId="0" applyFont="1" applyFill="1" applyBorder="1" applyAlignment="1" applyProtection="1">
      <alignment horizontal="center"/>
      <protection hidden="1"/>
    </xf>
    <xf numFmtId="0" fontId="5" fillId="2" borderId="59" xfId="0" applyFont="1" applyFill="1" applyBorder="1" applyAlignment="1" applyProtection="1">
      <alignment horizontal="left" indent="1"/>
      <protection hidden="1"/>
    </xf>
    <xf numFmtId="0" fontId="5" fillId="2" borderId="8" xfId="0" applyFont="1" applyFill="1" applyBorder="1" applyAlignment="1" applyProtection="1">
      <alignment horizontal="left" indent="1"/>
      <protection hidden="1"/>
    </xf>
    <xf numFmtId="0" fontId="51" fillId="2" borderId="9" xfId="0" applyFont="1" applyFill="1" applyBorder="1" applyAlignment="1" applyProtection="1">
      <alignment horizontal="center" vertical="center"/>
      <protection hidden="1"/>
    </xf>
    <xf numFmtId="0" fontId="3" fillId="2" borderId="31" xfId="0" applyFont="1" applyFill="1" applyBorder="1" applyAlignment="1" applyProtection="1">
      <alignment horizontal="left" vertical="center"/>
      <protection hidden="1"/>
    </xf>
    <xf numFmtId="0" fontId="3" fillId="2" borderId="9" xfId="0" applyFont="1" applyFill="1" applyBorder="1" applyAlignment="1" applyProtection="1">
      <alignment horizontal="left" vertical="center"/>
      <protection hidden="1"/>
    </xf>
    <xf numFmtId="0" fontId="3" fillId="2" borderId="15" xfId="0" applyFont="1" applyFill="1" applyBorder="1" applyAlignment="1" applyProtection="1">
      <alignment horizontal="left" vertical="center"/>
      <protection hidden="1"/>
    </xf>
    <xf numFmtId="0" fontId="3" fillId="2" borderId="10" xfId="0" applyFont="1" applyFill="1" applyBorder="1" applyAlignment="1" applyProtection="1">
      <alignment horizontal="left" vertical="center"/>
      <protection hidden="1"/>
    </xf>
    <xf numFmtId="0" fontId="3" fillId="2" borderId="1" xfId="0" applyFont="1" applyFill="1" applyBorder="1" applyAlignment="1" applyProtection="1">
      <alignment horizontal="left" vertical="center"/>
      <protection hidden="1"/>
    </xf>
    <xf numFmtId="0" fontId="3" fillId="2" borderId="12" xfId="0" applyFont="1" applyFill="1" applyBorder="1" applyAlignment="1" applyProtection="1">
      <alignment horizontal="left" vertical="center"/>
      <protection hidden="1"/>
    </xf>
    <xf numFmtId="0" fontId="0" fillId="2" borderId="6" xfId="0" applyFill="1" applyBorder="1" applyAlignment="1" applyProtection="1">
      <alignment horizontal="center" wrapText="1"/>
      <protection hidden="1"/>
    </xf>
    <xf numFmtId="0" fontId="3" fillId="2" borderId="22" xfId="0" applyFont="1" applyFill="1" applyBorder="1" applyAlignment="1" applyProtection="1">
      <alignment horizontal="center" wrapText="1"/>
      <protection hidden="1"/>
    </xf>
    <xf numFmtId="0" fontId="0" fillId="0" borderId="5" xfId="0" applyBorder="1" applyAlignment="1">
      <alignment wrapText="1"/>
    </xf>
    <xf numFmtId="0" fontId="8" fillId="2" borderId="5" xfId="0" applyFont="1" applyFill="1" applyBorder="1" applyAlignment="1" applyProtection="1">
      <alignment horizontal="left" vertical="top" wrapText="1"/>
      <protection hidden="1"/>
    </xf>
    <xf numFmtId="0" fontId="0" fillId="0" borderId="23" xfId="0" applyBorder="1" applyAlignment="1">
      <alignment wrapText="1"/>
    </xf>
    <xf numFmtId="0" fontId="4" fillId="2" borderId="3" xfId="0" applyFont="1" applyFill="1" applyBorder="1" applyAlignment="1" applyProtection="1">
      <alignment horizontal="center" vertical="center"/>
      <protection hidden="1"/>
    </xf>
    <xf numFmtId="0" fontId="0" fillId="0" borderId="25" xfId="0" applyBorder="1" applyAlignment="1">
      <alignment horizontal="center" vertical="center"/>
    </xf>
    <xf numFmtId="0" fontId="16" fillId="20" borderId="9" xfId="0" applyFont="1" applyFill="1" applyBorder="1" applyAlignment="1" applyProtection="1">
      <alignment horizontal="left" vertical="center" wrapText="1"/>
      <protection hidden="1"/>
    </xf>
    <xf numFmtId="0" fontId="0" fillId="0" borderId="9" xfId="0" applyBorder="1" applyAlignment="1">
      <alignment horizontal="left" vertical="center" wrapText="1"/>
    </xf>
    <xf numFmtId="0" fontId="0" fillId="0" borderId="25" xfId="0" applyBorder="1" applyAlignment="1">
      <alignment horizontal="left" vertical="center" wrapText="1"/>
    </xf>
    <xf numFmtId="3" fontId="3" fillId="32" borderId="55" xfId="0" applyNumberFormat="1" applyFont="1" applyFill="1" applyBorder="1" applyAlignment="1" applyProtection="1">
      <alignment wrapText="1"/>
      <protection hidden="1"/>
    </xf>
    <xf numFmtId="3" fontId="3" fillId="32" borderId="3" xfId="0" applyNumberFormat="1" applyFont="1" applyFill="1" applyBorder="1" applyAlignment="1" applyProtection="1">
      <alignment wrapText="1"/>
      <protection hidden="1"/>
    </xf>
    <xf numFmtId="3" fontId="3" fillId="32" borderId="25" xfId="0" applyNumberFormat="1" applyFont="1" applyFill="1" applyBorder="1" applyAlignment="1" applyProtection="1">
      <alignment wrapText="1"/>
      <protection hidden="1"/>
    </xf>
    <xf numFmtId="184" fontId="259" fillId="20" borderId="40" xfId="0" applyNumberFormat="1" applyFont="1" applyFill="1" applyBorder="1" applyAlignment="1" applyProtection="1">
      <alignment horizontal="center" wrapText="1"/>
      <protection locked="0"/>
    </xf>
    <xf numFmtId="184" fontId="259" fillId="20" borderId="55" xfId="0" applyNumberFormat="1" applyFont="1" applyFill="1" applyBorder="1" applyAlignment="1" applyProtection="1">
      <alignment horizontal="center" wrapText="1"/>
      <protection locked="0"/>
    </xf>
    <xf numFmtId="0" fontId="3" fillId="2" borderId="0" xfId="0" applyFont="1" applyFill="1" applyAlignment="1" applyProtection="1">
      <alignment horizontal="center" vertical="top"/>
      <protection hidden="1"/>
    </xf>
    <xf numFmtId="0" fontId="0" fillId="0" borderId="0" xfId="0" applyAlignment="1">
      <alignment vertical="top"/>
    </xf>
    <xf numFmtId="0" fontId="163" fillId="2" borderId="0" xfId="0" applyFont="1" applyFill="1" applyBorder="1" applyAlignment="1" applyProtection="1">
      <protection hidden="1"/>
    </xf>
    <xf numFmtId="0" fontId="163" fillId="0" borderId="0" xfId="0" applyFont="1" applyAlignment="1"/>
    <xf numFmtId="0" fontId="163" fillId="0" borderId="25" xfId="0" applyFont="1" applyBorder="1" applyAlignment="1"/>
    <xf numFmtId="0" fontId="163" fillId="2" borderId="0" xfId="0" applyFont="1" applyFill="1" applyBorder="1" applyAlignment="1" applyProtection="1">
      <alignment horizontal="center"/>
      <protection hidden="1"/>
    </xf>
    <xf numFmtId="0" fontId="163" fillId="0" borderId="0" xfId="0" applyFont="1" applyAlignment="1">
      <alignment horizontal="center"/>
    </xf>
    <xf numFmtId="0" fontId="163" fillId="0" borderId="25" xfId="0" applyFont="1" applyBorder="1" applyAlignment="1">
      <alignment horizontal="center"/>
    </xf>
    <xf numFmtId="0" fontId="163" fillId="2" borderId="0" xfId="0" applyFont="1" applyFill="1" applyBorder="1" applyAlignment="1" applyProtection="1">
      <alignment vertical="center"/>
      <protection hidden="1"/>
    </xf>
    <xf numFmtId="0" fontId="163" fillId="0" borderId="0" xfId="0" applyFont="1" applyAlignment="1">
      <alignment vertical="center"/>
    </xf>
    <xf numFmtId="0" fontId="163" fillId="0" borderId="25" xfId="0" applyFont="1" applyBorder="1" applyAlignment="1">
      <alignment vertical="center"/>
    </xf>
    <xf numFmtId="3" fontId="161" fillId="2" borderId="31" xfId="0" applyNumberFormat="1" applyFont="1" applyFill="1" applyBorder="1" applyAlignment="1" applyProtection="1">
      <protection hidden="1"/>
    </xf>
    <xf numFmtId="3" fontId="161" fillId="0" borderId="15" xfId="0" applyNumberFormat="1" applyFont="1" applyBorder="1" applyAlignment="1"/>
    <xf numFmtId="1" fontId="259" fillId="20" borderId="10" xfId="0" applyNumberFormat="1" applyFont="1" applyFill="1" applyBorder="1" applyAlignment="1" applyProtection="1">
      <alignment horizontal="center" wrapText="1"/>
      <protection locked="0"/>
    </xf>
    <xf numFmtId="1" fontId="259" fillId="20" borderId="12" xfId="0" applyNumberFormat="1" applyFont="1" applyFill="1" applyBorder="1" applyAlignment="1" applyProtection="1">
      <alignment horizontal="center" wrapText="1"/>
      <protection locked="0"/>
    </xf>
    <xf numFmtId="168" fontId="260" fillId="20" borderId="10" xfId="0" applyNumberFormat="1" applyFont="1" applyFill="1" applyBorder="1" applyAlignment="1" applyProtection="1">
      <alignment horizontal="center" wrapText="1"/>
      <protection hidden="1"/>
    </xf>
    <xf numFmtId="168" fontId="260" fillId="20" borderId="12" xfId="0" applyNumberFormat="1" applyFont="1" applyFill="1" applyBorder="1" applyAlignment="1" applyProtection="1">
      <alignment horizontal="center" wrapText="1"/>
      <protection hidden="1"/>
    </xf>
    <xf numFmtId="184" fontId="259" fillId="20" borderId="10" xfId="0" applyNumberFormat="1" applyFont="1" applyFill="1" applyBorder="1" applyAlignment="1" applyProtection="1">
      <alignment horizontal="center" wrapText="1"/>
      <protection locked="0"/>
    </xf>
    <xf numFmtId="184" fontId="259" fillId="20" borderId="12" xfId="0" applyNumberFormat="1" applyFont="1" applyFill="1" applyBorder="1" applyAlignment="1" applyProtection="1">
      <alignment horizontal="center" wrapText="1"/>
      <protection locked="0"/>
    </xf>
    <xf numFmtId="9" fontId="259" fillId="20" borderId="40" xfId="0" applyNumberFormat="1" applyFont="1" applyFill="1" applyBorder="1" applyAlignment="1" applyProtection="1">
      <alignment horizontal="center" vertical="center" wrapText="1"/>
      <protection locked="0"/>
    </xf>
    <xf numFmtId="9" fontId="259" fillId="20" borderId="55" xfId="0" applyNumberFormat="1" applyFont="1" applyFill="1" applyBorder="1" applyAlignment="1" applyProtection="1">
      <alignment horizontal="center" vertical="center" wrapText="1"/>
      <protection locked="0"/>
    </xf>
    <xf numFmtId="0" fontId="78" fillId="0" borderId="65" xfId="2" applyBorder="1" applyAlignment="1" applyProtection="1">
      <alignment horizontal="center" wrapText="1"/>
    </xf>
    <xf numFmtId="0" fontId="78" fillId="0" borderId="66" xfId="2" applyBorder="1" applyAlignment="1" applyProtection="1">
      <alignment horizontal="center" wrapText="1"/>
    </xf>
    <xf numFmtId="0" fontId="78" fillId="0" borderId="65" xfId="2" applyBorder="1" applyAlignment="1" applyProtection="1">
      <alignment horizontal="center" vertical="center" wrapText="1"/>
    </xf>
    <xf numFmtId="0" fontId="78" fillId="0" borderId="66" xfId="2" applyBorder="1" applyAlignment="1" applyProtection="1">
      <alignment horizontal="center" vertical="center" wrapText="1"/>
    </xf>
    <xf numFmtId="0" fontId="5" fillId="20" borderId="9" xfId="0" applyFont="1" applyFill="1" applyBorder="1" applyAlignment="1" applyProtection="1">
      <alignment horizontal="left" vertical="center" wrapText="1"/>
      <protection hidden="1"/>
    </xf>
    <xf numFmtId="0" fontId="5" fillId="0" borderId="9" xfId="0" applyFont="1" applyBorder="1" applyAlignment="1">
      <alignment horizontal="left" vertical="center" wrapText="1"/>
    </xf>
    <xf numFmtId="0" fontId="5" fillId="0" borderId="15" xfId="0" applyFont="1" applyBorder="1" applyAlignment="1">
      <alignment horizontal="left" vertical="center" wrapText="1"/>
    </xf>
    <xf numFmtId="0" fontId="5" fillId="0" borderId="1" xfId="0" applyFont="1" applyBorder="1" applyAlignment="1">
      <alignment horizontal="left" vertical="center" wrapText="1"/>
    </xf>
    <xf numFmtId="0" fontId="5" fillId="0" borderId="12" xfId="0" applyFont="1" applyBorder="1" applyAlignment="1">
      <alignment horizontal="left" vertical="center" wrapText="1"/>
    </xf>
    <xf numFmtId="0" fontId="6" fillId="2" borderId="9" xfId="0" applyFont="1" applyFill="1" applyBorder="1" applyAlignment="1" applyProtection="1">
      <alignment horizontal="center" vertical="top" wrapText="1"/>
      <protection hidden="1"/>
    </xf>
    <xf numFmtId="0" fontId="3" fillId="0" borderId="1" xfId="0" applyFont="1" applyBorder="1" applyAlignment="1">
      <alignment horizontal="center" vertical="top" wrapText="1"/>
    </xf>
    <xf numFmtId="0" fontId="3" fillId="0" borderId="0" xfId="0" applyFont="1" applyAlignment="1">
      <alignment horizontal="center" vertical="top" wrapText="1"/>
    </xf>
    <xf numFmtId="0" fontId="3" fillId="2" borderId="31" xfId="0" applyFont="1" applyFill="1" applyBorder="1" applyAlignment="1" applyProtection="1">
      <alignment horizontal="left" vertical="center" wrapText="1" indent="1"/>
      <protection hidden="1"/>
    </xf>
    <xf numFmtId="0" fontId="3" fillId="0" borderId="9" xfId="0" applyFont="1" applyBorder="1" applyAlignment="1">
      <alignment horizontal="left" vertical="center" wrapText="1" indent="1"/>
    </xf>
    <xf numFmtId="0" fontId="3" fillId="0" borderId="15" xfId="0" applyFont="1" applyBorder="1" applyAlignment="1">
      <alignment horizontal="left" vertical="center" wrapText="1" indent="1"/>
    </xf>
    <xf numFmtId="0" fontId="3" fillId="0" borderId="3" xfId="0" applyFont="1" applyBorder="1" applyAlignment="1">
      <alignment horizontal="left" vertical="center" wrapText="1" indent="1"/>
    </xf>
    <xf numFmtId="0" fontId="3" fillId="0" borderId="0" xfId="0" applyFont="1" applyBorder="1" applyAlignment="1">
      <alignment horizontal="left" vertical="center" wrapText="1" indent="1"/>
    </xf>
    <xf numFmtId="0" fontId="3" fillId="0" borderId="25" xfId="0" applyFont="1" applyBorder="1" applyAlignment="1">
      <alignment horizontal="left" vertical="center" wrapText="1" indent="1"/>
    </xf>
    <xf numFmtId="0" fontId="3" fillId="0" borderId="10" xfId="0" applyFont="1" applyBorder="1" applyAlignment="1">
      <alignment horizontal="left" vertical="center" wrapText="1" indent="1"/>
    </xf>
    <xf numFmtId="0" fontId="3" fillId="0" borderId="1" xfId="0" applyFont="1" applyBorder="1" applyAlignment="1">
      <alignment horizontal="left" vertical="center" wrapText="1" indent="1"/>
    </xf>
    <xf numFmtId="0" fontId="3" fillId="0" borderId="12" xfId="0" applyFont="1" applyBorder="1" applyAlignment="1">
      <alignment horizontal="left" vertical="center" wrapText="1" indent="1"/>
    </xf>
    <xf numFmtId="0" fontId="5" fillId="2" borderId="31" xfId="0" applyFont="1" applyFill="1" applyBorder="1" applyAlignment="1" applyProtection="1">
      <alignment horizontal="left" vertical="center" wrapText="1" indent="1"/>
      <protection hidden="1"/>
    </xf>
    <xf numFmtId="0" fontId="5" fillId="0" borderId="9" xfId="0" applyFont="1" applyBorder="1" applyAlignment="1">
      <alignment horizontal="left" vertical="center" wrapText="1" indent="1"/>
    </xf>
    <xf numFmtId="0" fontId="5" fillId="0" borderId="15"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25" xfId="0" applyFont="1" applyBorder="1" applyAlignment="1">
      <alignment horizontal="left" vertical="center" wrapText="1" indent="1"/>
    </xf>
    <xf numFmtId="0" fontId="4" fillId="2" borderId="3" xfId="0" applyFont="1" applyFill="1" applyBorder="1" applyAlignment="1" applyProtection="1">
      <alignment horizontal="center" wrapText="1"/>
      <protection hidden="1"/>
    </xf>
    <xf numFmtId="0" fontId="0" fillId="0" borderId="0" xfId="0"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3" fillId="2" borderId="31" xfId="0" applyFont="1" applyFill="1" applyBorder="1" applyAlignment="1" applyProtection="1">
      <alignment horizontal="left" vertical="center" wrapText="1"/>
      <protection hidden="1"/>
    </xf>
    <xf numFmtId="0" fontId="3" fillId="2" borderId="9" xfId="0" applyFont="1" applyFill="1" applyBorder="1" applyAlignment="1" applyProtection="1">
      <alignment horizontal="left" vertical="center" wrapText="1"/>
      <protection hidden="1"/>
    </xf>
    <xf numFmtId="0" fontId="3" fillId="2" borderId="15" xfId="0" applyFont="1" applyFill="1" applyBorder="1" applyAlignment="1" applyProtection="1">
      <alignment horizontal="left" vertical="center" wrapText="1"/>
      <protection hidden="1"/>
    </xf>
    <xf numFmtId="0" fontId="3" fillId="2" borderId="3" xfId="0" applyFont="1" applyFill="1" applyBorder="1" applyAlignment="1" applyProtection="1">
      <alignment horizontal="left" vertical="center" wrapText="1"/>
      <protection hidden="1"/>
    </xf>
    <xf numFmtId="0" fontId="3" fillId="2" borderId="0" xfId="0" applyFont="1" applyFill="1" applyBorder="1" applyAlignment="1" applyProtection="1">
      <alignment horizontal="left" vertical="center" wrapText="1"/>
      <protection hidden="1"/>
    </xf>
    <xf numFmtId="0" fontId="3" fillId="2" borderId="25" xfId="0" applyFont="1" applyFill="1" applyBorder="1" applyAlignment="1" applyProtection="1">
      <alignment horizontal="left" vertical="center" wrapText="1"/>
      <protection hidden="1"/>
    </xf>
    <xf numFmtId="0" fontId="3" fillId="2" borderId="10" xfId="0" applyFont="1" applyFill="1" applyBorder="1" applyAlignment="1" applyProtection="1">
      <alignment horizontal="left" vertical="center" wrapText="1"/>
      <protection hidden="1"/>
    </xf>
    <xf numFmtId="0" fontId="3" fillId="2" borderId="1" xfId="0" applyFont="1" applyFill="1" applyBorder="1" applyAlignment="1" applyProtection="1">
      <alignment horizontal="left" vertical="center" wrapText="1"/>
      <protection hidden="1"/>
    </xf>
    <xf numFmtId="0" fontId="3" fillId="2" borderId="12" xfId="0" applyFont="1" applyFill="1" applyBorder="1" applyAlignment="1" applyProtection="1">
      <alignment horizontal="left" vertical="center" wrapText="1"/>
      <protection hidden="1"/>
    </xf>
    <xf numFmtId="0" fontId="3" fillId="2" borderId="40" xfId="0" applyFont="1" applyFill="1" applyBorder="1" applyAlignment="1" applyProtection="1">
      <alignment horizontal="center" vertical="center" wrapText="1"/>
      <protection hidden="1"/>
    </xf>
    <xf numFmtId="0" fontId="3" fillId="2" borderId="26" xfId="0" applyFont="1" applyFill="1" applyBorder="1" applyAlignment="1" applyProtection="1">
      <alignment horizontal="center" vertical="center" wrapText="1"/>
      <protection hidden="1"/>
    </xf>
    <xf numFmtId="0" fontId="3" fillId="2" borderId="55" xfId="0" applyFont="1" applyFill="1" applyBorder="1" applyAlignment="1" applyProtection="1">
      <alignment horizontal="center" vertical="center" wrapText="1"/>
      <protection hidden="1"/>
    </xf>
    <xf numFmtId="0" fontId="6" fillId="2" borderId="0" xfId="0" applyFont="1" applyFill="1" applyBorder="1" applyAlignment="1" applyProtection="1">
      <alignment horizontal="left" vertical="top" wrapText="1"/>
      <protection hidden="1"/>
    </xf>
    <xf numFmtId="0" fontId="0" fillId="0" borderId="0" xfId="0" applyAlignment="1">
      <alignment horizontal="left" vertical="top" wrapText="1"/>
    </xf>
    <xf numFmtId="0" fontId="6" fillId="2" borderId="0" xfId="0" applyFont="1" applyFill="1" applyBorder="1" applyAlignment="1" applyProtection="1">
      <alignment horizontal="right" vertical="top" wrapText="1"/>
      <protection hidden="1"/>
    </xf>
    <xf numFmtId="0" fontId="6" fillId="0" borderId="0" xfId="0" applyFont="1" applyAlignment="1">
      <alignment horizontal="right" vertical="top" wrapText="1"/>
    </xf>
    <xf numFmtId="0" fontId="6" fillId="2" borderId="0" xfId="0" applyFont="1" applyFill="1" applyBorder="1" applyAlignment="1" applyProtection="1">
      <alignment vertical="top" wrapText="1"/>
      <protection hidden="1"/>
    </xf>
    <xf numFmtId="0" fontId="6" fillId="0" borderId="0" xfId="0" applyFont="1" applyAlignment="1">
      <alignment vertical="top" wrapText="1"/>
    </xf>
    <xf numFmtId="0" fontId="3" fillId="0" borderId="0" xfId="0" applyFont="1" applyAlignment="1">
      <alignment horizontal="left" vertical="center" wrapText="1" indent="1"/>
    </xf>
    <xf numFmtId="0" fontId="261" fillId="2" borderId="0" xfId="0" applyFont="1" applyFill="1" applyAlignment="1" applyProtection="1">
      <alignment horizontal="right" vertical="center" wrapText="1"/>
      <protection hidden="1"/>
    </xf>
    <xf numFmtId="0" fontId="261" fillId="0" borderId="0" xfId="0" applyFont="1" applyAlignment="1">
      <alignment horizontal="right" vertical="center" wrapText="1"/>
    </xf>
    <xf numFmtId="0" fontId="163" fillId="2" borderId="31" xfId="0" applyFont="1" applyFill="1" applyBorder="1" applyAlignment="1" applyProtection="1">
      <protection hidden="1"/>
    </xf>
    <xf numFmtId="0" fontId="163" fillId="0" borderId="9" xfId="0" applyFont="1" applyBorder="1" applyAlignment="1"/>
    <xf numFmtId="3" fontId="3" fillId="32" borderId="10" xfId="0" applyNumberFormat="1" applyFont="1" applyFill="1" applyBorder="1" applyAlignment="1" applyProtection="1">
      <alignment horizontal="right" vertical="center"/>
      <protection hidden="1"/>
    </xf>
    <xf numFmtId="3" fontId="3" fillId="32" borderId="1" xfId="0" applyNumberFormat="1" applyFont="1" applyFill="1" applyBorder="1" applyAlignment="1" applyProtection="1">
      <alignment horizontal="right" vertical="center"/>
      <protection hidden="1"/>
    </xf>
    <xf numFmtId="0" fontId="163" fillId="2" borderId="148" xfId="0" applyFont="1" applyFill="1" applyBorder="1" applyAlignment="1" applyProtection="1">
      <protection hidden="1"/>
    </xf>
    <xf numFmtId="0" fontId="163" fillId="0" borderId="148" xfId="0" applyFont="1" applyBorder="1" applyAlignment="1"/>
    <xf numFmtId="3" fontId="0" fillId="32" borderId="26" xfId="0" applyNumberFormat="1" applyFill="1" applyBorder="1" applyAlignment="1" applyProtection="1">
      <alignment vertical="center"/>
      <protection hidden="1"/>
    </xf>
    <xf numFmtId="190" fontId="174" fillId="0" borderId="9" xfId="0" applyNumberFormat="1" applyFont="1" applyBorder="1" applyAlignment="1">
      <alignment horizontal="center"/>
    </xf>
    <xf numFmtId="1" fontId="259" fillId="20" borderId="40" xfId="0" applyNumberFormat="1" applyFont="1" applyFill="1" applyBorder="1" applyAlignment="1" applyProtection="1">
      <alignment horizontal="center" wrapText="1"/>
      <protection locked="0"/>
    </xf>
    <xf numFmtId="1" fontId="259" fillId="20" borderId="26" xfId="0" applyNumberFormat="1" applyFont="1" applyFill="1" applyBorder="1" applyAlignment="1" applyProtection="1">
      <alignment horizontal="center" wrapText="1"/>
      <protection locked="0"/>
    </xf>
    <xf numFmtId="3" fontId="3" fillId="32" borderId="0" xfId="0" applyNumberFormat="1" applyFont="1" applyFill="1" applyBorder="1" applyAlignment="1" applyProtection="1">
      <alignment wrapText="1"/>
      <protection hidden="1"/>
    </xf>
    <xf numFmtId="9" fontId="259" fillId="20" borderId="31" xfId="0" applyNumberFormat="1" applyFont="1" applyFill="1" applyBorder="1" applyAlignment="1" applyProtection="1">
      <alignment horizontal="center" vertical="center" wrapText="1"/>
      <protection locked="0"/>
    </xf>
    <xf numFmtId="9" fontId="259" fillId="20" borderId="9" xfId="0" applyNumberFormat="1" applyFont="1" applyFill="1" applyBorder="1" applyAlignment="1" applyProtection="1">
      <alignment horizontal="center" vertical="center" wrapText="1"/>
      <protection locked="0"/>
    </xf>
    <xf numFmtId="0" fontId="3" fillId="20" borderId="31" xfId="0" applyFont="1" applyFill="1" applyBorder="1" applyAlignment="1">
      <alignment horizontal="left" vertical="top" wrapText="1"/>
    </xf>
    <xf numFmtId="0" fontId="0" fillId="0" borderId="9" xfId="0" applyBorder="1" applyAlignment="1">
      <alignment horizontal="left" wrapText="1"/>
    </xf>
    <xf numFmtId="0" fontId="0" fillId="0" borderId="1" xfId="0" applyBorder="1" applyAlignment="1">
      <alignment horizontal="left" wrapText="1"/>
    </xf>
    <xf numFmtId="0" fontId="1" fillId="0" borderId="31" xfId="0" applyFont="1" applyBorder="1" applyAlignment="1">
      <alignment horizontal="left" vertical="center" wrapText="1"/>
    </xf>
    <xf numFmtId="0" fontId="1" fillId="0" borderId="9" xfId="0" applyFont="1" applyBorder="1" applyAlignment="1">
      <alignment horizontal="left" vertical="center" wrapText="1"/>
    </xf>
    <xf numFmtId="0" fontId="0" fillId="0" borderId="9" xfId="0" applyBorder="1" applyAlignment="1">
      <alignment vertical="center" wrapText="1"/>
    </xf>
    <xf numFmtId="0" fontId="1" fillId="0" borderId="149" xfId="0" applyFont="1" applyBorder="1" applyAlignment="1">
      <alignment horizontal="left" vertical="center" wrapText="1"/>
    </xf>
    <xf numFmtId="0" fontId="1" fillId="0" borderId="98" xfId="0" applyFont="1" applyBorder="1" applyAlignment="1">
      <alignment horizontal="left" vertical="center" wrapText="1"/>
    </xf>
    <xf numFmtId="0" fontId="0" fillId="0" borderId="98" xfId="0" applyBorder="1" applyAlignment="1">
      <alignment vertical="center" wrapText="1"/>
    </xf>
    <xf numFmtId="0" fontId="0" fillId="0" borderId="102" xfId="0" applyBorder="1" applyAlignment="1">
      <alignment vertical="center" wrapText="1"/>
    </xf>
    <xf numFmtId="0" fontId="3" fillId="20" borderId="157" xfId="0" applyFont="1" applyFill="1" applyBorder="1" applyAlignment="1">
      <alignment horizontal="left" wrapText="1"/>
    </xf>
    <xf numFmtId="0" fontId="0" fillId="0" borderId="125" xfId="0" applyBorder="1" applyAlignment="1">
      <alignment horizontal="left" wrapText="1"/>
    </xf>
    <xf numFmtId="0" fontId="0" fillId="0" borderId="125" xfId="0" applyBorder="1" applyAlignment="1">
      <alignment wrapText="1"/>
    </xf>
    <xf numFmtId="0" fontId="0" fillId="0" borderId="126" xfId="0" applyBorder="1" applyAlignment="1">
      <alignment wrapText="1"/>
    </xf>
    <xf numFmtId="0" fontId="0" fillId="0" borderId="0" xfId="0" applyBorder="1" applyAlignment="1">
      <alignment horizontal="left" wrapText="1"/>
    </xf>
    <xf numFmtId="0" fontId="0" fillId="20" borderId="0" xfId="0" applyFill="1" applyBorder="1" applyAlignment="1">
      <alignment wrapText="1"/>
    </xf>
    <xf numFmtId="0" fontId="10" fillId="20" borderId="40" xfId="0" applyFont="1" applyFill="1" applyBorder="1" applyAlignment="1">
      <alignment horizontal="left" wrapText="1"/>
    </xf>
    <xf numFmtId="0" fontId="0" fillId="20" borderId="26" xfId="0" applyFill="1" applyBorder="1" applyAlignment="1">
      <alignment wrapText="1"/>
    </xf>
    <xf numFmtId="0" fontId="0" fillId="20" borderId="55" xfId="0" applyFill="1" applyBorder="1" applyAlignment="1">
      <alignment wrapText="1"/>
    </xf>
    <xf numFmtId="0" fontId="3" fillId="20" borderId="3" xfId="0" applyFont="1" applyFill="1" applyBorder="1" applyAlignment="1" applyProtection="1">
      <alignment horizontal="left" wrapText="1" indent="1"/>
      <protection hidden="1"/>
    </xf>
    <xf numFmtId="0" fontId="0" fillId="20" borderId="0" xfId="0" applyFill="1" applyAlignment="1" applyProtection="1">
      <alignment horizontal="left" wrapText="1" indent="1"/>
      <protection hidden="1"/>
    </xf>
    <xf numFmtId="0" fontId="0" fillId="20" borderId="0" xfId="0" applyFill="1" applyBorder="1" applyAlignment="1" applyProtection="1">
      <alignment horizontal="left" wrapText="1" indent="1"/>
      <protection hidden="1"/>
    </xf>
    <xf numFmtId="0" fontId="3" fillId="20" borderId="3" xfId="0" applyFont="1" applyFill="1" applyBorder="1" applyAlignment="1" applyProtection="1">
      <alignment horizontal="left" vertical="top" wrapText="1" indent="1"/>
      <protection hidden="1"/>
    </xf>
    <xf numFmtId="0" fontId="0" fillId="20" borderId="0" xfId="0" applyFill="1" applyAlignment="1" applyProtection="1">
      <alignment horizontal="left" vertical="top" wrapText="1" indent="1"/>
      <protection hidden="1"/>
    </xf>
    <xf numFmtId="0" fontId="0" fillId="20" borderId="0" xfId="0" applyFill="1" applyBorder="1" applyAlignment="1" applyProtection="1">
      <alignment horizontal="left" vertical="top" wrapText="1" indent="1"/>
      <protection hidden="1"/>
    </xf>
    <xf numFmtId="0" fontId="0" fillId="20" borderId="10" xfId="0" applyFill="1" applyBorder="1" applyAlignment="1" applyProtection="1">
      <alignment horizontal="left" vertical="top" wrapText="1" indent="1"/>
      <protection hidden="1"/>
    </xf>
    <xf numFmtId="0" fontId="0" fillId="20" borderId="1" xfId="0" applyFill="1" applyBorder="1" applyAlignment="1" applyProtection="1">
      <alignment horizontal="left" vertical="top" wrapText="1" indent="1"/>
      <protection hidden="1"/>
    </xf>
    <xf numFmtId="0" fontId="3" fillId="20" borderId="0" xfId="0" applyFont="1" applyFill="1" applyBorder="1" applyAlignment="1">
      <alignment wrapText="1"/>
    </xf>
    <xf numFmtId="0" fontId="3" fillId="20" borderId="1" xfId="0" applyFont="1" applyFill="1" applyBorder="1" applyAlignment="1">
      <alignment wrapText="1"/>
    </xf>
    <xf numFmtId="0" fontId="8" fillId="20" borderId="31" xfId="0" applyFont="1" applyFill="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0" fontId="0" fillId="0" borderId="3" xfId="0" applyBorder="1" applyAlignment="1">
      <alignment vertical="top" wrapText="1"/>
    </xf>
    <xf numFmtId="0" fontId="0" fillId="0" borderId="25" xfId="0"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0" fontId="0" fillId="0" borderId="12" xfId="0" applyBorder="1" applyAlignment="1">
      <alignment vertical="top" wrapText="1"/>
    </xf>
    <xf numFmtId="0" fontId="1" fillId="20" borderId="149" xfId="0" applyFont="1" applyFill="1" applyBorder="1" applyAlignment="1" applyProtection="1">
      <alignment horizontal="left" wrapText="1"/>
      <protection hidden="1"/>
    </xf>
    <xf numFmtId="0" fontId="0" fillId="20" borderId="98" xfId="0" applyFill="1" applyBorder="1" applyAlignment="1">
      <alignment horizontal="left" wrapText="1"/>
    </xf>
    <xf numFmtId="0" fontId="0" fillId="20" borderId="98" xfId="0" applyFill="1" applyBorder="1" applyAlignment="1">
      <alignment wrapText="1"/>
    </xf>
    <xf numFmtId="0" fontId="0" fillId="20" borderId="102" xfId="0" applyFill="1" applyBorder="1" applyAlignment="1">
      <alignment wrapText="1"/>
    </xf>
    <xf numFmtId="0" fontId="0" fillId="20" borderId="31" xfId="0" applyFill="1" applyBorder="1" applyAlignment="1">
      <alignment wrapText="1"/>
    </xf>
    <xf numFmtId="0" fontId="0" fillId="20" borderId="9" xfId="0" applyFill="1" applyBorder="1" applyAlignment="1">
      <alignment wrapText="1"/>
    </xf>
    <xf numFmtId="0" fontId="0" fillId="20" borderId="15" xfId="0" applyFill="1" applyBorder="1" applyAlignment="1">
      <alignment wrapText="1"/>
    </xf>
    <xf numFmtId="0" fontId="0" fillId="20" borderId="157" xfId="0" applyFill="1" applyBorder="1" applyAlignment="1">
      <alignment horizontal="left" wrapText="1"/>
    </xf>
    <xf numFmtId="0" fontId="1" fillId="20" borderId="0" xfId="0" applyFont="1" applyFill="1" applyBorder="1" applyAlignment="1" applyProtection="1">
      <alignment horizontal="center" wrapText="1"/>
      <protection hidden="1"/>
    </xf>
    <xf numFmtId="0" fontId="21" fillId="20" borderId="31" xfId="0" applyFont="1" applyFill="1" applyBorder="1" applyAlignment="1">
      <alignment horizontal="left" vertical="center" wrapText="1" indent="1"/>
    </xf>
    <xf numFmtId="0" fontId="0" fillId="0" borderId="9" xfId="0" applyBorder="1" applyAlignment="1">
      <alignment horizontal="left" vertical="center" wrapText="1" indent="1"/>
    </xf>
    <xf numFmtId="0" fontId="0" fillId="0" borderId="15" xfId="0" applyBorder="1" applyAlignment="1">
      <alignment horizontal="left" vertical="center" wrapText="1" indent="1"/>
    </xf>
    <xf numFmtId="0" fontId="0" fillId="0" borderId="3" xfId="0" applyBorder="1" applyAlignment="1">
      <alignment horizontal="left" vertical="center" wrapText="1" indent="1"/>
    </xf>
    <xf numFmtId="0" fontId="0" fillId="0" borderId="0" xfId="0" applyAlignment="1">
      <alignment horizontal="left" vertical="center" wrapText="1" indent="1"/>
    </xf>
    <xf numFmtId="0" fontId="0" fillId="0" borderId="25" xfId="0" applyBorder="1" applyAlignment="1">
      <alignment horizontal="left" vertical="center" wrapText="1" indent="1"/>
    </xf>
    <xf numFmtId="0" fontId="0" fillId="0" borderId="72" xfId="0" applyBorder="1" applyAlignment="1">
      <alignment horizontal="left" vertical="center" wrapText="1" indent="1"/>
    </xf>
    <xf numFmtId="0" fontId="0" fillId="0" borderId="5" xfId="0" applyBorder="1" applyAlignment="1">
      <alignment horizontal="left" vertical="center" wrapText="1" indent="1"/>
    </xf>
    <xf numFmtId="0" fontId="0" fillId="0" borderId="73" xfId="0" applyBorder="1" applyAlignment="1">
      <alignment horizontal="left" vertical="center" wrapText="1" indent="1"/>
    </xf>
    <xf numFmtId="0" fontId="6" fillId="20" borderId="0" xfId="0" applyFont="1" applyFill="1" applyAlignment="1">
      <alignment horizontal="center" wrapText="1"/>
    </xf>
    <xf numFmtId="0" fontId="6" fillId="20" borderId="0" xfId="0" applyFont="1" applyFill="1" applyBorder="1" applyAlignment="1">
      <alignment horizontal="center" wrapText="1"/>
    </xf>
    <xf numFmtId="3" fontId="0" fillId="21" borderId="62" xfId="0" applyNumberFormat="1" applyFill="1" applyBorder="1" applyAlignment="1" applyProtection="1">
      <alignment wrapText="1"/>
      <protection locked="0"/>
    </xf>
    <xf numFmtId="0" fontId="0" fillId="21" borderId="78" xfId="0" applyFill="1" applyBorder="1" applyAlignment="1" applyProtection="1">
      <alignment wrapText="1"/>
      <protection locked="0"/>
    </xf>
    <xf numFmtId="0" fontId="0" fillId="21" borderId="63" xfId="0" applyFill="1" applyBorder="1" applyAlignment="1" applyProtection="1">
      <alignment wrapText="1"/>
      <protection locked="0"/>
    </xf>
    <xf numFmtId="3" fontId="0" fillId="21" borderId="24" xfId="0" applyNumberFormat="1" applyFill="1" applyBorder="1" applyAlignment="1" applyProtection="1">
      <alignment wrapText="1"/>
      <protection locked="0"/>
    </xf>
    <xf numFmtId="0" fontId="0" fillId="21" borderId="8" xfId="0" applyFill="1" applyBorder="1" applyAlignment="1" applyProtection="1">
      <alignment wrapText="1"/>
      <protection locked="0"/>
    </xf>
    <xf numFmtId="0" fontId="0" fillId="21" borderId="20" xfId="0" applyFill="1" applyBorder="1" applyAlignment="1" applyProtection="1">
      <alignment wrapText="1"/>
      <protection locked="0"/>
    </xf>
    <xf numFmtId="0" fontId="0" fillId="21" borderId="22" xfId="0" applyFill="1" applyBorder="1" applyAlignment="1" applyProtection="1">
      <alignment wrapText="1"/>
      <protection locked="0"/>
    </xf>
    <xf numFmtId="0" fontId="0" fillId="21" borderId="5" xfId="0" applyFill="1" applyBorder="1" applyAlignment="1" applyProtection="1">
      <alignment wrapText="1"/>
      <protection locked="0"/>
    </xf>
    <xf numFmtId="0" fontId="0" fillId="21" borderId="23" xfId="0" applyFill="1" applyBorder="1" applyAlignment="1" applyProtection="1">
      <alignment wrapText="1"/>
      <protection locked="0"/>
    </xf>
    <xf numFmtId="0" fontId="161" fillId="20" borderId="0" xfId="0" applyFont="1" applyFill="1" applyAlignment="1"/>
    <xf numFmtId="0" fontId="16" fillId="20" borderId="0" xfId="0" quotePrefix="1" applyFont="1" applyFill="1" applyBorder="1" applyAlignment="1">
      <alignment horizontal="right" vertical="center"/>
    </xf>
    <xf numFmtId="0" fontId="6" fillId="20" borderId="0" xfId="0" applyFont="1" applyFill="1" applyBorder="1" applyAlignment="1">
      <alignment horizontal="center"/>
    </xf>
    <xf numFmtId="0" fontId="6" fillId="20" borderId="0" xfId="0" applyFont="1" applyFill="1" applyAlignment="1">
      <alignment horizontal="center"/>
    </xf>
    <xf numFmtId="0" fontId="161" fillId="20" borderId="0" xfId="0" applyFont="1" applyFill="1" applyAlignment="1">
      <alignment wrapText="1"/>
    </xf>
    <xf numFmtId="0" fontId="161" fillId="0" borderId="0" xfId="0" applyFont="1" applyAlignment="1">
      <alignment wrapText="1"/>
    </xf>
    <xf numFmtId="0" fontId="0" fillId="0" borderId="0" xfId="0" applyAlignment="1">
      <alignment horizontal="left" wrapText="1" indent="1"/>
    </xf>
    <xf numFmtId="0" fontId="0" fillId="0" borderId="25" xfId="0" applyBorder="1" applyAlignment="1">
      <alignment horizontal="left" wrapText="1" indent="1"/>
    </xf>
    <xf numFmtId="0" fontId="3" fillId="20" borderId="3" xfId="0" applyFont="1" applyFill="1" applyBorder="1" applyAlignment="1" applyProtection="1">
      <alignment horizontal="left" vertical="center" wrapText="1" indent="1"/>
      <protection hidden="1"/>
    </xf>
    <xf numFmtId="0" fontId="0" fillId="20" borderId="0" xfId="0" applyFill="1" applyAlignment="1" applyProtection="1">
      <alignment horizontal="left" vertical="center" wrapText="1" indent="1"/>
      <protection hidden="1"/>
    </xf>
    <xf numFmtId="0" fontId="0" fillId="20" borderId="0" xfId="0" applyFill="1" applyBorder="1" applyAlignment="1" applyProtection="1">
      <alignment horizontal="left" vertical="center" wrapText="1" indent="1"/>
      <protection hidden="1"/>
    </xf>
    <xf numFmtId="0" fontId="0" fillId="20" borderId="3" xfId="0" applyFill="1" applyBorder="1" applyAlignment="1" applyProtection="1">
      <alignment horizontal="left" wrapText="1" indent="1"/>
      <protection hidden="1"/>
    </xf>
    <xf numFmtId="0" fontId="0" fillId="20" borderId="3" xfId="0" applyFill="1" applyBorder="1" applyAlignment="1" applyProtection="1">
      <alignment horizontal="left" vertical="center" wrapText="1" indent="1"/>
      <protection hidden="1"/>
    </xf>
    <xf numFmtId="3" fontId="0" fillId="21" borderId="62" xfId="0" applyNumberFormat="1" applyFill="1" applyBorder="1" applyAlignment="1" applyProtection="1">
      <alignment vertical="center" wrapText="1"/>
      <protection locked="0"/>
    </xf>
    <xf numFmtId="0" fontId="6" fillId="20" borderId="0" xfId="0" applyFont="1" applyFill="1" applyBorder="1" applyAlignment="1">
      <alignment horizontal="center" vertical="center" wrapText="1"/>
    </xf>
    <xf numFmtId="0" fontId="3" fillId="20" borderId="31" xfId="0" applyFont="1" applyFill="1" applyBorder="1" applyAlignment="1">
      <alignment vertical="top" wrapText="1"/>
    </xf>
    <xf numFmtId="0" fontId="101" fillId="3" borderId="6" xfId="0" applyFont="1" applyFill="1" applyBorder="1" applyAlignment="1" applyProtection="1">
      <alignment horizontal="center" vertical="center"/>
      <protection hidden="1"/>
    </xf>
    <xf numFmtId="0" fontId="48" fillId="3" borderId="6" xfId="0" applyFont="1" applyFill="1" applyBorder="1" applyAlignment="1" applyProtection="1">
      <alignment horizontal="center" vertical="center"/>
      <protection hidden="1"/>
    </xf>
    <xf numFmtId="0" fontId="65" fillId="3" borderId="22" xfId="0" applyFont="1" applyFill="1" applyBorder="1" applyAlignment="1" applyProtection="1">
      <alignment horizontal="center" vertical="center"/>
      <protection hidden="1"/>
    </xf>
    <xf numFmtId="0" fontId="5" fillId="0" borderId="5" xfId="0" applyFont="1" applyBorder="1" applyAlignment="1"/>
    <xf numFmtId="0" fontId="0" fillId="20" borderId="0" xfId="0" applyFill="1" applyAlignment="1"/>
    <xf numFmtId="0" fontId="0" fillId="20" borderId="21" xfId="0" applyFill="1" applyBorder="1" applyAlignment="1"/>
    <xf numFmtId="0" fontId="0" fillId="20" borderId="5" xfId="0" applyFill="1" applyBorder="1" applyAlignment="1"/>
    <xf numFmtId="0" fontId="0" fillId="20" borderId="23" xfId="0" applyFill="1" applyBorder="1" applyAlignment="1"/>
    <xf numFmtId="0" fontId="67" fillId="3" borderId="0" xfId="0" applyFont="1" applyFill="1" applyBorder="1" applyAlignment="1" applyProtection="1">
      <alignment horizontal="right"/>
      <protection hidden="1"/>
    </xf>
    <xf numFmtId="0" fontId="8" fillId="25" borderId="9" xfId="0" applyFont="1" applyFill="1" applyBorder="1" applyAlignment="1" applyProtection="1">
      <alignment horizontal="center" vertical="center" wrapText="1"/>
      <protection locked="0"/>
    </xf>
    <xf numFmtId="0" fontId="3" fillId="21" borderId="9" xfId="0" applyFont="1" applyFill="1" applyBorder="1" applyAlignment="1" applyProtection="1">
      <alignment horizontal="center" vertical="center" wrapText="1"/>
      <protection locked="0"/>
    </xf>
    <xf numFmtId="0" fontId="3" fillId="21" borderId="15" xfId="0" applyFont="1" applyFill="1" applyBorder="1" applyAlignment="1" applyProtection="1">
      <alignment horizontal="center" vertical="center" wrapText="1"/>
      <protection locked="0"/>
    </xf>
    <xf numFmtId="0" fontId="3" fillId="21" borderId="1" xfId="0" applyFont="1" applyFill="1" applyBorder="1" applyAlignment="1" applyProtection="1">
      <alignment horizontal="center" vertical="center" wrapText="1"/>
      <protection locked="0"/>
    </xf>
    <xf numFmtId="0" fontId="3" fillId="21" borderId="12" xfId="0" applyFont="1" applyFill="1" applyBorder="1" applyAlignment="1" applyProtection="1">
      <alignment horizontal="center" vertical="center" wrapText="1"/>
      <protection locked="0"/>
    </xf>
    <xf numFmtId="0" fontId="8" fillId="25" borderId="108" xfId="0" applyFont="1" applyFill="1" applyBorder="1" applyAlignment="1" applyProtection="1">
      <alignment horizontal="left"/>
      <protection locked="0"/>
    </xf>
    <xf numFmtId="0" fontId="8" fillId="25" borderId="105" xfId="0" applyFont="1" applyFill="1" applyBorder="1" applyAlignment="1" applyProtection="1">
      <alignment horizontal="left"/>
      <protection locked="0"/>
    </xf>
    <xf numFmtId="0" fontId="3" fillId="21" borderId="105" xfId="0" applyFont="1" applyFill="1" applyBorder="1" applyAlignment="1" applyProtection="1">
      <alignment horizontal="left"/>
      <protection locked="0"/>
    </xf>
    <xf numFmtId="0" fontId="3" fillId="21" borderId="106" xfId="0" applyFont="1" applyFill="1" applyBorder="1" applyAlignment="1" applyProtection="1">
      <alignment horizontal="left"/>
      <protection locked="0"/>
    </xf>
    <xf numFmtId="49" fontId="3" fillId="25" borderId="31" xfId="0" applyNumberFormat="1" applyFont="1" applyFill="1" applyBorder="1" applyAlignment="1" applyProtection="1">
      <alignment horizontal="center" vertical="center" wrapText="1"/>
      <protection locked="0"/>
    </xf>
    <xf numFmtId="49" fontId="3" fillId="21" borderId="9" xfId="0" applyNumberFormat="1" applyFont="1" applyFill="1" applyBorder="1" applyAlignment="1" applyProtection="1">
      <alignment horizontal="center" vertical="center" wrapText="1"/>
      <protection locked="0"/>
    </xf>
    <xf numFmtId="49" fontId="3" fillId="21" borderId="15" xfId="0" applyNumberFormat="1" applyFont="1" applyFill="1" applyBorder="1" applyAlignment="1" applyProtection="1">
      <alignment horizontal="center" vertical="center" wrapText="1"/>
      <protection locked="0"/>
    </xf>
    <xf numFmtId="49" fontId="3" fillId="21" borderId="10" xfId="0" applyNumberFormat="1" applyFont="1" applyFill="1" applyBorder="1" applyAlignment="1" applyProtection="1">
      <alignment horizontal="center" vertical="center" wrapText="1"/>
      <protection locked="0"/>
    </xf>
    <xf numFmtId="49" fontId="3" fillId="21" borderId="1" xfId="0" applyNumberFormat="1" applyFont="1" applyFill="1" applyBorder="1" applyAlignment="1" applyProtection="1">
      <alignment horizontal="center" vertical="center" wrapText="1"/>
      <protection locked="0"/>
    </xf>
    <xf numFmtId="49" fontId="3" fillId="21" borderId="12" xfId="0" applyNumberFormat="1" applyFont="1" applyFill="1" applyBorder="1" applyAlignment="1" applyProtection="1">
      <alignment horizontal="center" vertical="center" wrapText="1"/>
      <protection locked="0"/>
    </xf>
    <xf numFmtId="0" fontId="16" fillId="25" borderId="26" xfId="0" applyFont="1" applyFill="1" applyBorder="1" applyAlignment="1" applyProtection="1">
      <alignment horizontal="center" vertical="center"/>
      <protection locked="0"/>
    </xf>
    <xf numFmtId="0" fontId="16" fillId="21" borderId="26" xfId="0" applyFont="1" applyFill="1" applyBorder="1" applyAlignment="1" applyProtection="1">
      <alignment horizontal="center" vertical="center"/>
      <protection locked="0"/>
    </xf>
    <xf numFmtId="0" fontId="16" fillId="21" borderId="55" xfId="0" applyFont="1" applyFill="1" applyBorder="1" applyAlignment="1" applyProtection="1">
      <alignment horizontal="center" vertical="center"/>
      <protection locked="0"/>
    </xf>
    <xf numFmtId="166" fontId="1" fillId="25" borderId="40" xfId="0" applyNumberFormat="1" applyFont="1" applyFill="1" applyBorder="1" applyAlignment="1" applyProtection="1">
      <alignment horizontal="center" vertical="center"/>
      <protection locked="0"/>
    </xf>
    <xf numFmtId="166" fontId="1" fillId="21" borderId="26" xfId="0" applyNumberFormat="1" applyFont="1" applyFill="1" applyBorder="1" applyAlignment="1" applyProtection="1">
      <alignment horizontal="center" vertical="center"/>
      <protection locked="0"/>
    </xf>
    <xf numFmtId="166" fontId="1" fillId="21" borderId="55" xfId="0" applyNumberFormat="1" applyFont="1" applyFill="1" applyBorder="1" applyAlignment="1" applyProtection="1">
      <alignment horizontal="center" vertical="center"/>
      <protection locked="0"/>
    </xf>
    <xf numFmtId="3" fontId="3" fillId="25" borderId="31" xfId="0" applyNumberFormat="1" applyFont="1" applyFill="1" applyBorder="1" applyAlignment="1" applyProtection="1">
      <alignment horizontal="center" wrapText="1"/>
      <protection locked="0"/>
    </xf>
    <xf numFmtId="3" fontId="3" fillId="21" borderId="10" xfId="0" applyNumberFormat="1" applyFont="1" applyFill="1" applyBorder="1" applyAlignment="1" applyProtection="1">
      <alignment horizontal="center" wrapText="1"/>
      <protection locked="0"/>
    </xf>
    <xf numFmtId="0" fontId="218" fillId="31" borderId="5" xfId="0" quotePrefix="1" applyFont="1" applyFill="1" applyBorder="1" applyAlignment="1" applyProtection="1">
      <protection hidden="1"/>
    </xf>
    <xf numFmtId="0" fontId="0" fillId="32" borderId="73" xfId="0" applyFill="1" applyBorder="1" applyAlignment="1" applyProtection="1">
      <protection hidden="1"/>
    </xf>
    <xf numFmtId="0" fontId="86" fillId="19" borderId="0" xfId="0" applyFont="1" applyFill="1" applyBorder="1" applyAlignment="1" applyProtection="1">
      <alignment horizontal="center" vertical="center"/>
      <protection hidden="1"/>
    </xf>
    <xf numFmtId="0" fontId="0" fillId="20" borderId="0" xfId="0" applyFill="1" applyBorder="1" applyAlignment="1">
      <alignment horizontal="center" vertical="center"/>
    </xf>
    <xf numFmtId="0" fontId="0" fillId="20" borderId="21" xfId="0" applyFill="1" applyBorder="1" applyAlignment="1">
      <alignment horizontal="center" vertical="center"/>
    </xf>
    <xf numFmtId="0" fontId="150" fillId="3" borderId="88" xfId="0" applyFont="1" applyFill="1" applyBorder="1" applyAlignment="1" applyProtection="1">
      <alignment horizontal="center"/>
      <protection hidden="1"/>
    </xf>
    <xf numFmtId="0" fontId="201" fillId="0" borderId="6" xfId="0" applyFont="1" applyBorder="1" applyAlignment="1">
      <alignment horizontal="center"/>
    </xf>
    <xf numFmtId="0" fontId="5" fillId="3" borderId="0" xfId="0" applyFont="1" applyFill="1" applyBorder="1" applyAlignment="1" applyProtection="1">
      <alignment horizontal="center" vertical="center"/>
      <protection hidden="1"/>
    </xf>
    <xf numFmtId="0" fontId="222" fillId="14" borderId="64" xfId="5" applyFill="1" applyBorder="1" applyAlignment="1" applyProtection="1">
      <alignment horizontal="center"/>
    </xf>
    <xf numFmtId="0" fontId="222" fillId="14" borderId="65" xfId="5" applyFill="1" applyBorder="1" applyAlignment="1" applyProtection="1">
      <alignment horizontal="center"/>
    </xf>
    <xf numFmtId="0" fontId="222" fillId="14" borderId="66" xfId="5" applyFill="1" applyBorder="1" applyAlignment="1" applyProtection="1">
      <alignment horizontal="center"/>
    </xf>
    <xf numFmtId="0" fontId="5" fillId="3" borderId="26" xfId="0" applyFont="1" applyFill="1" applyBorder="1" applyAlignment="1" applyProtection="1">
      <alignment horizontal="center"/>
      <protection locked="0"/>
    </xf>
    <xf numFmtId="0" fontId="5" fillId="0" borderId="26" xfId="0" applyFont="1" applyBorder="1" applyAlignment="1" applyProtection="1">
      <alignment horizontal="center"/>
      <protection locked="0"/>
    </xf>
    <xf numFmtId="0" fontId="5" fillId="0" borderId="55" xfId="0" applyFont="1" applyBorder="1" applyAlignment="1" applyProtection="1">
      <alignment horizontal="center"/>
      <protection locked="0"/>
    </xf>
    <xf numFmtId="0" fontId="5" fillId="3" borderId="40" xfId="0" applyFont="1" applyFill="1" applyBorder="1" applyAlignment="1" applyProtection="1">
      <alignment horizontal="center"/>
      <protection locked="0"/>
    </xf>
    <xf numFmtId="166" fontId="5" fillId="3" borderId="40" xfId="0" applyNumberFormat="1" applyFont="1" applyFill="1" applyBorder="1" applyAlignment="1" applyProtection="1">
      <alignment horizontal="center"/>
      <protection locked="0"/>
    </xf>
    <xf numFmtId="166" fontId="5" fillId="0" borderId="26" xfId="0" applyNumberFormat="1" applyFont="1" applyBorder="1" applyAlignment="1" applyProtection="1">
      <alignment horizontal="center"/>
      <protection locked="0"/>
    </xf>
    <xf numFmtId="166" fontId="5" fillId="0" borderId="55" xfId="0" applyNumberFormat="1" applyFont="1" applyBorder="1" applyAlignment="1" applyProtection="1">
      <alignment horizontal="center"/>
      <protection locked="0"/>
    </xf>
    <xf numFmtId="0" fontId="8" fillId="3" borderId="9" xfId="0" applyFont="1" applyFill="1" applyBorder="1" applyAlignment="1" applyProtection="1">
      <alignment horizontal="left" wrapText="1"/>
      <protection locked="0"/>
    </xf>
    <xf numFmtId="0" fontId="0" fillId="0" borderId="9" xfId="0" applyBorder="1" applyAlignment="1" applyProtection="1">
      <alignment horizontal="left" wrapText="1"/>
      <protection locked="0"/>
    </xf>
    <xf numFmtId="0" fontId="0" fillId="0" borderId="15"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12" xfId="0" applyBorder="1" applyAlignment="1" applyProtection="1">
      <alignment horizontal="left" wrapText="1"/>
      <protection locked="0"/>
    </xf>
    <xf numFmtId="0" fontId="8" fillId="3" borderId="108" xfId="0" applyFont="1" applyFill="1" applyBorder="1" applyAlignment="1" applyProtection="1">
      <alignment horizontal="left"/>
      <protection locked="0"/>
    </xf>
    <xf numFmtId="0" fontId="8" fillId="3" borderId="105" xfId="0" applyFont="1" applyFill="1" applyBorder="1" applyAlignment="1" applyProtection="1">
      <alignment horizontal="left"/>
      <protection locked="0"/>
    </xf>
    <xf numFmtId="0" fontId="0" fillId="0" borderId="105" xfId="0" applyBorder="1" applyAlignment="1" applyProtection="1">
      <alignment horizontal="left"/>
      <protection locked="0"/>
    </xf>
    <xf numFmtId="0" fontId="0" fillId="0" borderId="106" xfId="0" applyBorder="1" applyAlignment="1" applyProtection="1">
      <alignment horizontal="left"/>
      <protection locked="0"/>
    </xf>
    <xf numFmtId="49" fontId="3" fillId="3" borderId="31" xfId="0" applyNumberFormat="1" applyFont="1" applyFill="1" applyBorder="1" applyAlignment="1" applyProtection="1">
      <alignment horizontal="center" vertical="center" wrapText="1"/>
      <protection locked="0"/>
    </xf>
    <xf numFmtId="49" fontId="3" fillId="0" borderId="9" xfId="0" applyNumberFormat="1" applyFont="1" applyBorder="1" applyAlignment="1" applyProtection="1">
      <alignment horizontal="center" vertical="center" wrapText="1"/>
      <protection locked="0"/>
    </xf>
    <xf numFmtId="49" fontId="3" fillId="0" borderId="15" xfId="0" applyNumberFormat="1" applyFont="1" applyBorder="1" applyAlignment="1" applyProtection="1">
      <alignment horizontal="center" vertical="center" wrapText="1"/>
      <protection locked="0"/>
    </xf>
    <xf numFmtId="49" fontId="3" fillId="0" borderId="10"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center" vertical="center" wrapText="1"/>
      <protection locked="0"/>
    </xf>
    <xf numFmtId="49" fontId="3" fillId="0" borderId="12" xfId="0" applyNumberFormat="1" applyFont="1" applyBorder="1" applyAlignment="1" applyProtection="1">
      <alignment horizontal="center" vertical="center" wrapText="1"/>
      <protection locked="0"/>
    </xf>
    <xf numFmtId="0" fontId="8" fillId="3" borderId="110" xfId="0" applyFont="1" applyFill="1" applyBorder="1" applyAlignment="1" applyProtection="1">
      <alignment horizontal="left"/>
      <protection locked="0"/>
    </xf>
    <xf numFmtId="0" fontId="8" fillId="3" borderId="100" xfId="0" applyFont="1" applyFill="1" applyBorder="1" applyAlignment="1" applyProtection="1">
      <alignment horizontal="left"/>
      <protection locked="0"/>
    </xf>
    <xf numFmtId="0" fontId="0" fillId="0" borderId="100" xfId="0" applyBorder="1" applyAlignment="1" applyProtection="1">
      <alignment horizontal="left"/>
      <protection locked="0"/>
    </xf>
    <xf numFmtId="0" fontId="0" fillId="0" borderId="101" xfId="0" applyBorder="1" applyAlignment="1" applyProtection="1">
      <alignment horizontal="left"/>
      <protection locked="0"/>
    </xf>
    <xf numFmtId="0" fontId="10" fillId="2" borderId="24" xfId="0" applyFont="1" applyFill="1" applyBorder="1" applyAlignment="1" applyProtection="1">
      <alignment horizontal="center"/>
    </xf>
    <xf numFmtId="0" fontId="10" fillId="2" borderId="8" xfId="0" applyFont="1" applyFill="1" applyBorder="1" applyAlignment="1" applyProtection="1">
      <alignment horizontal="center"/>
    </xf>
    <xf numFmtId="0" fontId="0" fillId="0" borderId="20" xfId="0" applyBorder="1" applyAlignment="1">
      <alignment horizontal="center"/>
    </xf>
    <xf numFmtId="0" fontId="221" fillId="3" borderId="38" xfId="0" applyFont="1" applyFill="1" applyBorder="1" applyAlignment="1" applyProtection="1">
      <alignment horizontal="center" vertical="center"/>
      <protection hidden="1"/>
    </xf>
    <xf numFmtId="0" fontId="221" fillId="3" borderId="39" xfId="0" applyFont="1" applyFill="1" applyBorder="1" applyAlignment="1" applyProtection="1">
      <alignment horizontal="center" vertical="center"/>
      <protection hidden="1"/>
    </xf>
    <xf numFmtId="0" fontId="21" fillId="3" borderId="22" xfId="0" applyFont="1" applyFill="1" applyBorder="1" applyAlignment="1" applyProtection="1">
      <alignment horizontal="center" vertical="top"/>
      <protection hidden="1"/>
    </xf>
    <xf numFmtId="0" fontId="21" fillId="3" borderId="5" xfId="0" applyFont="1" applyFill="1" applyBorder="1" applyAlignment="1" applyProtection="1">
      <alignment horizontal="center" vertical="top"/>
      <protection hidden="1"/>
    </xf>
    <xf numFmtId="0" fontId="86" fillId="3" borderId="8" xfId="0" applyFont="1" applyFill="1" applyBorder="1" applyAlignment="1" applyProtection="1">
      <alignment horizontal="left" vertical="center"/>
      <protection hidden="1"/>
    </xf>
    <xf numFmtId="0" fontId="185" fillId="0" borderId="8" xfId="0" applyFont="1" applyBorder="1" applyAlignment="1"/>
    <xf numFmtId="0" fontId="185" fillId="0" borderId="5" xfId="0" applyFont="1" applyBorder="1" applyAlignment="1"/>
    <xf numFmtId="166" fontId="1" fillId="31" borderId="72" xfId="0" applyNumberFormat="1" applyFont="1" applyFill="1" applyBorder="1" applyAlignment="1" applyProtection="1">
      <alignment horizontal="center"/>
      <protection hidden="1"/>
    </xf>
    <xf numFmtId="166" fontId="1" fillId="31" borderId="5" xfId="0" applyNumberFormat="1" applyFont="1" applyFill="1" applyBorder="1" applyAlignment="1" applyProtection="1">
      <alignment horizontal="center"/>
      <protection hidden="1"/>
    </xf>
    <xf numFmtId="0" fontId="8" fillId="25" borderId="110" xfId="0" applyFont="1" applyFill="1" applyBorder="1" applyAlignment="1" applyProtection="1">
      <alignment horizontal="left"/>
      <protection locked="0"/>
    </xf>
    <xf numFmtId="0" fontId="8" fillId="25" borderId="100" xfId="0" applyFont="1" applyFill="1" applyBorder="1" applyAlignment="1" applyProtection="1">
      <alignment horizontal="left"/>
      <protection locked="0"/>
    </xf>
    <xf numFmtId="0" fontId="3" fillId="21" borderId="100" xfId="0" applyFont="1" applyFill="1" applyBorder="1" applyAlignment="1" applyProtection="1">
      <alignment horizontal="left"/>
      <protection locked="0"/>
    </xf>
    <xf numFmtId="0" fontId="3" fillId="21" borderId="101" xfId="0" applyFont="1" applyFill="1" applyBorder="1" applyAlignment="1" applyProtection="1">
      <alignment horizontal="left"/>
      <protection locked="0"/>
    </xf>
    <xf numFmtId="0" fontId="1" fillId="3" borderId="113" xfId="0" applyFont="1" applyFill="1" applyBorder="1" applyAlignment="1" applyProtection="1">
      <alignment horizontal="center"/>
      <protection hidden="1"/>
    </xf>
    <xf numFmtId="0" fontId="0" fillId="0" borderId="79" xfId="0" applyBorder="1" applyAlignment="1">
      <alignment horizontal="center"/>
    </xf>
    <xf numFmtId="0" fontId="5" fillId="3" borderId="74" xfId="0" applyFont="1" applyFill="1" applyBorder="1" applyAlignment="1" applyProtection="1">
      <alignment horizontal="center"/>
      <protection hidden="1"/>
    </xf>
    <xf numFmtId="0" fontId="0" fillId="0" borderId="17" xfId="0" applyBorder="1" applyAlignment="1"/>
    <xf numFmtId="0" fontId="0" fillId="0" borderId="33" xfId="0" applyBorder="1" applyAlignment="1"/>
    <xf numFmtId="0" fontId="0" fillId="0" borderId="113" xfId="0" applyBorder="1" applyAlignment="1"/>
    <xf numFmtId="0" fontId="0" fillId="0" borderId="79" xfId="0" applyBorder="1" applyAlignment="1"/>
    <xf numFmtId="0" fontId="8" fillId="3" borderId="31" xfId="0" applyFont="1" applyFill="1" applyBorder="1" applyAlignment="1" applyProtection="1">
      <alignment horizontal="center" vertical="center" wrapText="1"/>
      <protection hidden="1"/>
    </xf>
    <xf numFmtId="0" fontId="0" fillId="0" borderId="9" xfId="0" applyBorder="1" applyAlignment="1">
      <alignment vertical="center"/>
    </xf>
    <xf numFmtId="0" fontId="0" fillId="0" borderId="15" xfId="0" applyBorder="1" applyAlignment="1">
      <alignment vertical="center"/>
    </xf>
    <xf numFmtId="0" fontId="0" fillId="0" borderId="3" xfId="0" applyBorder="1" applyAlignment="1">
      <alignment vertical="center"/>
    </xf>
    <xf numFmtId="0" fontId="0" fillId="0" borderId="25" xfId="0" applyBorder="1" applyAlignment="1">
      <alignment vertical="center"/>
    </xf>
    <xf numFmtId="0" fontId="0" fillId="0" borderId="10" xfId="0" applyBorder="1" applyAlignment="1">
      <alignment vertical="center"/>
    </xf>
    <xf numFmtId="0" fontId="0" fillId="0" borderId="1" xfId="0" applyBorder="1" applyAlignment="1">
      <alignment vertical="center"/>
    </xf>
    <xf numFmtId="0" fontId="0" fillId="0" borderId="12" xfId="0" applyBorder="1" applyAlignment="1">
      <alignment vertical="center"/>
    </xf>
    <xf numFmtId="0" fontId="183" fillId="36" borderId="26" xfId="0" applyFont="1" applyFill="1" applyBorder="1" applyAlignment="1" applyProtection="1">
      <alignment horizontal="center" vertical="center"/>
      <protection hidden="1"/>
    </xf>
    <xf numFmtId="0" fontId="6" fillId="20" borderId="22" xfId="0" applyFont="1" applyFill="1" applyBorder="1" applyAlignment="1" applyProtection="1">
      <alignment horizontal="center"/>
      <protection hidden="1"/>
    </xf>
    <xf numFmtId="0" fontId="6" fillId="0" borderId="5" xfId="0" applyFont="1" applyBorder="1" applyAlignment="1" applyProtection="1">
      <alignment horizontal="center"/>
      <protection hidden="1"/>
    </xf>
    <xf numFmtId="0" fontId="6" fillId="0" borderId="23" xfId="0" applyFont="1" applyBorder="1" applyAlignment="1" applyProtection="1">
      <alignment horizontal="center"/>
      <protection hidden="1"/>
    </xf>
    <xf numFmtId="0" fontId="10" fillId="25" borderId="1" xfId="0" quotePrefix="1" applyFont="1" applyFill="1" applyBorder="1" applyAlignment="1" applyProtection="1">
      <alignment vertical="center"/>
      <protection locked="0"/>
    </xf>
    <xf numFmtId="0" fontId="3" fillId="21" borderId="1" xfId="0" applyFont="1" applyFill="1" applyBorder="1" applyAlignment="1" applyProtection="1">
      <alignment vertical="center"/>
      <protection locked="0"/>
    </xf>
    <xf numFmtId="0" fontId="3" fillId="21" borderId="12" xfId="0" applyFont="1" applyFill="1" applyBorder="1" applyAlignment="1" applyProtection="1">
      <alignment vertical="center"/>
      <protection locked="0"/>
    </xf>
    <xf numFmtId="0" fontId="10" fillId="25" borderId="10" xfId="0" quotePrefix="1" applyFont="1" applyFill="1" applyBorder="1" applyAlignment="1" applyProtection="1">
      <alignment vertical="center"/>
      <protection locked="0"/>
    </xf>
    <xf numFmtId="0" fontId="1" fillId="25" borderId="96" xfId="0" quotePrefix="1" applyFont="1" applyFill="1" applyBorder="1" applyAlignment="1" applyProtection="1">
      <alignment vertical="center"/>
      <protection locked="0"/>
    </xf>
    <xf numFmtId="0" fontId="3" fillId="21" borderId="96" xfId="0" applyFont="1" applyFill="1" applyBorder="1" applyAlignment="1" applyProtection="1">
      <alignment vertical="center"/>
      <protection locked="0"/>
    </xf>
    <xf numFmtId="0" fontId="3" fillId="21" borderId="9" xfId="0" applyFont="1" applyFill="1" applyBorder="1" applyAlignment="1" applyProtection="1">
      <alignment vertical="center"/>
      <protection locked="0"/>
    </xf>
    <xf numFmtId="0" fontId="3" fillId="0" borderId="9" xfId="0" applyFont="1" applyBorder="1" applyAlignment="1"/>
    <xf numFmtId="0" fontId="1" fillId="25" borderId="135" xfId="0" quotePrefix="1" applyFont="1" applyFill="1" applyBorder="1" applyAlignment="1" applyProtection="1">
      <alignment vertical="center"/>
      <protection locked="0"/>
    </xf>
    <xf numFmtId="0" fontId="3" fillId="0" borderId="135" xfId="0" applyFont="1" applyBorder="1" applyAlignment="1">
      <alignment vertical="center"/>
    </xf>
    <xf numFmtId="0" fontId="1" fillId="20" borderId="10" xfId="0" applyFont="1" applyFill="1" applyBorder="1" applyAlignment="1" applyProtection="1">
      <alignment horizontal="center"/>
      <protection hidden="1"/>
    </xf>
    <xf numFmtId="3" fontId="1" fillId="21" borderId="1" xfId="0" applyNumberFormat="1" applyFont="1" applyFill="1" applyBorder="1" applyAlignment="1" applyProtection="1">
      <alignment horizontal="right" indent="1"/>
      <protection locked="0"/>
    </xf>
    <xf numFmtId="0" fontId="1" fillId="20" borderId="31" xfId="0" applyFont="1" applyFill="1" applyBorder="1" applyAlignment="1" applyProtection="1">
      <alignment horizontal="center"/>
      <protection hidden="1"/>
    </xf>
    <xf numFmtId="0" fontId="1" fillId="20" borderId="15" xfId="0" applyFont="1" applyFill="1" applyBorder="1" applyAlignment="1" applyProtection="1">
      <alignment horizontal="center"/>
      <protection hidden="1"/>
    </xf>
    <xf numFmtId="0" fontId="1" fillId="20" borderId="9" xfId="0" applyFont="1" applyFill="1" applyBorder="1" applyAlignment="1" applyProtection="1">
      <alignment horizontal="center"/>
      <protection hidden="1"/>
    </xf>
    <xf numFmtId="186" fontId="1" fillId="25" borderId="26" xfId="0" quotePrefix="1" applyNumberFormat="1" applyFont="1" applyFill="1" applyBorder="1" applyAlignment="1" applyProtection="1">
      <alignment horizontal="left" vertical="center" indent="1"/>
      <protection locked="0"/>
    </xf>
    <xf numFmtId="0" fontId="0" fillId="0" borderId="26" xfId="0" applyBorder="1" applyAlignment="1">
      <alignment horizontal="left" vertical="center" indent="1"/>
    </xf>
    <xf numFmtId="0" fontId="0" fillId="0" borderId="55" xfId="0" applyBorder="1" applyAlignment="1">
      <alignment horizontal="left" vertical="center" indent="1"/>
    </xf>
    <xf numFmtId="186" fontId="1" fillId="25" borderId="40" xfId="0" quotePrefix="1" applyNumberFormat="1" applyFont="1" applyFill="1" applyBorder="1" applyAlignment="1" applyProtection="1">
      <alignment horizontal="center" vertical="center"/>
      <protection locked="0"/>
    </xf>
    <xf numFmtId="186" fontId="3" fillId="0" borderId="26" xfId="0" applyNumberFormat="1" applyFont="1" applyBorder="1" applyAlignment="1">
      <alignment horizontal="center" vertical="center"/>
    </xf>
    <xf numFmtId="186" fontId="1" fillId="25" borderId="96" xfId="0" quotePrefix="1" applyNumberFormat="1" applyFont="1" applyFill="1" applyBorder="1" applyAlignment="1" applyProtection="1">
      <alignment horizontal="center" vertical="center"/>
      <protection locked="0"/>
    </xf>
    <xf numFmtId="186" fontId="3" fillId="0" borderId="96" xfId="0" applyNumberFormat="1" applyFont="1" applyBorder="1" applyAlignment="1">
      <alignment horizontal="center" vertical="center"/>
    </xf>
    <xf numFmtId="0" fontId="0" fillId="0" borderId="96" xfId="0" applyBorder="1" applyAlignment="1">
      <alignment horizontal="center" vertical="center"/>
    </xf>
    <xf numFmtId="0" fontId="1" fillId="0" borderId="135" xfId="0" applyFont="1" applyBorder="1" applyAlignment="1">
      <alignment vertical="center"/>
    </xf>
    <xf numFmtId="0" fontId="3" fillId="20" borderId="5" xfId="0" applyFont="1" applyFill="1" applyBorder="1" applyAlignment="1" applyProtection="1">
      <alignment horizontal="right"/>
      <protection hidden="1"/>
    </xf>
    <xf numFmtId="0" fontId="0" fillId="0" borderId="5" xfId="0" applyBorder="1" applyAlignment="1" applyProtection="1">
      <alignment horizontal="right"/>
      <protection hidden="1"/>
    </xf>
    <xf numFmtId="0" fontId="10" fillId="33" borderId="0" xfId="0" quotePrefix="1" applyFont="1" applyFill="1" applyBorder="1" applyAlignment="1" applyProtection="1">
      <alignment vertical="center"/>
      <protection hidden="1"/>
    </xf>
    <xf numFmtId="0" fontId="0" fillId="30" borderId="0" xfId="0" applyFill="1" applyBorder="1" applyAlignment="1" applyProtection="1">
      <alignment vertical="center"/>
      <protection hidden="1"/>
    </xf>
    <xf numFmtId="0" fontId="0" fillId="0" borderId="1" xfId="0" applyBorder="1" applyAlignment="1" applyProtection="1">
      <alignment vertical="center"/>
      <protection hidden="1"/>
    </xf>
    <xf numFmtId="166" fontId="10" fillId="33" borderId="3" xfId="0" quotePrefix="1" applyNumberFormat="1" applyFont="1" applyFill="1" applyBorder="1" applyAlignment="1" applyProtection="1">
      <alignment horizontal="center" vertical="center"/>
      <protection hidden="1"/>
    </xf>
    <xf numFmtId="0" fontId="0" fillId="0" borderId="0" xfId="0" applyBorder="1" applyAlignment="1">
      <alignment horizontal="center" vertical="center"/>
    </xf>
    <xf numFmtId="0" fontId="110" fillId="20" borderId="0" xfId="0" quotePrefix="1" applyFont="1" applyFill="1" applyBorder="1" applyAlignment="1" applyProtection="1">
      <protection hidden="1"/>
    </xf>
    <xf numFmtId="0" fontId="0" fillId="0" borderId="0" xfId="0" applyBorder="1" applyAlignment="1" applyProtection="1">
      <protection hidden="1"/>
    </xf>
    <xf numFmtId="0" fontId="102" fillId="20" borderId="6" xfId="0" applyFont="1"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6" xfId="0" applyBorder="1" applyAlignment="1" applyProtection="1">
      <alignment horizontal="center"/>
      <protection hidden="1"/>
    </xf>
    <xf numFmtId="0" fontId="3" fillId="20" borderId="27" xfId="0" applyFont="1" applyFill="1" applyBorder="1" applyAlignment="1" applyProtection="1">
      <alignment horizontal="center"/>
      <protection hidden="1"/>
    </xf>
    <xf numFmtId="0" fontId="0" fillId="0" borderId="1" xfId="0" applyBorder="1" applyAlignment="1" applyProtection="1">
      <alignment horizontal="center"/>
      <protection hidden="1"/>
    </xf>
    <xf numFmtId="0" fontId="0" fillId="20" borderId="0" xfId="0" applyFill="1" applyBorder="1" applyAlignment="1" applyProtection="1">
      <alignment horizontal="right"/>
      <protection hidden="1"/>
    </xf>
    <xf numFmtId="0" fontId="0" fillId="0" borderId="0" xfId="0" applyBorder="1" applyAlignment="1" applyProtection="1">
      <alignment horizontal="right"/>
      <protection hidden="1"/>
    </xf>
    <xf numFmtId="0" fontId="229" fillId="20" borderId="88" xfId="0" applyFont="1" applyFill="1" applyBorder="1" applyAlignment="1" applyProtection="1">
      <alignment horizontal="center" vertical="center"/>
      <protection hidden="1"/>
    </xf>
    <xf numFmtId="0" fontId="230" fillId="0" borderId="9" xfId="0" applyFont="1" applyBorder="1" applyAlignment="1" applyProtection="1">
      <alignment horizontal="center" vertical="center"/>
      <protection hidden="1"/>
    </xf>
    <xf numFmtId="0" fontId="230" fillId="0" borderId="6" xfId="0" applyFont="1" applyBorder="1" applyAlignment="1" applyProtection="1">
      <alignment horizontal="center" vertical="center"/>
      <protection hidden="1"/>
    </xf>
    <xf numFmtId="0" fontId="230" fillId="0" borderId="0" xfId="0" applyFont="1" applyBorder="1" applyAlignment="1" applyProtection="1">
      <alignment horizontal="center" vertical="center"/>
      <protection hidden="1"/>
    </xf>
    <xf numFmtId="0" fontId="1" fillId="20" borderId="6" xfId="0" applyFont="1" applyFill="1" applyBorder="1" applyAlignment="1" applyProtection="1">
      <alignment horizontal="center" vertical="top"/>
      <protection hidden="1"/>
    </xf>
    <xf numFmtId="0" fontId="1" fillId="0" borderId="0" xfId="0" applyFont="1" applyBorder="1" applyAlignment="1" applyProtection="1">
      <alignment horizontal="center" vertical="top"/>
      <protection hidden="1"/>
    </xf>
    <xf numFmtId="0" fontId="1" fillId="0" borderId="21" xfId="0" applyFont="1" applyBorder="1" applyAlignment="1" applyProtection="1">
      <alignment horizontal="center" vertical="top"/>
      <protection hidden="1"/>
    </xf>
    <xf numFmtId="0" fontId="3" fillId="20" borderId="0" xfId="0" applyFont="1" applyFill="1" applyBorder="1" applyAlignment="1" applyProtection="1">
      <protection hidden="1"/>
    </xf>
    <xf numFmtId="0" fontId="10" fillId="20" borderId="0" xfId="0" applyFont="1" applyFill="1" applyBorder="1" applyAlignment="1" applyProtection="1">
      <alignment horizontal="left"/>
      <protection hidden="1"/>
    </xf>
    <xf numFmtId="0" fontId="14" fillId="0" borderId="5" xfId="0" applyFont="1" applyBorder="1" applyAlignment="1" applyProtection="1">
      <alignment horizontal="left"/>
      <protection hidden="1"/>
    </xf>
    <xf numFmtId="0" fontId="1" fillId="0" borderId="96" xfId="0" applyFont="1" applyBorder="1" applyAlignment="1">
      <alignment vertical="center"/>
    </xf>
    <xf numFmtId="0" fontId="1" fillId="25" borderId="98" xfId="0" quotePrefix="1" applyFont="1" applyFill="1" applyBorder="1" applyAlignment="1" applyProtection="1">
      <alignment vertical="center"/>
      <protection locked="0"/>
    </xf>
    <xf numFmtId="0" fontId="1" fillId="0" borderId="98" xfId="0" applyFont="1" applyBorder="1" applyAlignment="1">
      <alignment vertical="center"/>
    </xf>
    <xf numFmtId="186" fontId="1" fillId="25" borderId="26" xfId="0" quotePrefix="1" applyNumberFormat="1" applyFont="1" applyFill="1" applyBorder="1" applyAlignment="1" applyProtection="1">
      <alignment horizontal="center" vertical="center"/>
      <protection locked="0"/>
    </xf>
    <xf numFmtId="186" fontId="3" fillId="0" borderId="55" xfId="0" applyNumberFormat="1" applyFont="1" applyBorder="1" applyAlignment="1">
      <alignment horizontal="center" vertical="center"/>
    </xf>
    <xf numFmtId="0" fontId="1" fillId="31" borderId="40" xfId="0" quotePrefix="1" applyFont="1" applyFill="1" applyBorder="1" applyAlignment="1" applyProtection="1">
      <alignment horizontal="center" vertical="center"/>
      <protection hidden="1"/>
    </xf>
    <xf numFmtId="0" fontId="3" fillId="32" borderId="26" xfId="0" applyFont="1" applyFill="1" applyBorder="1" applyAlignment="1" applyProtection="1">
      <alignment horizontal="center" vertical="center"/>
      <protection hidden="1"/>
    </xf>
    <xf numFmtId="0" fontId="3" fillId="32" borderId="55" xfId="0" applyFont="1" applyFill="1" applyBorder="1" applyAlignment="1" applyProtection="1">
      <alignment horizontal="center" vertical="center"/>
      <protection hidden="1"/>
    </xf>
    <xf numFmtId="3" fontId="1" fillId="25" borderId="40" xfId="0" quotePrefix="1" applyNumberFormat="1" applyFont="1" applyFill="1" applyBorder="1" applyAlignment="1" applyProtection="1">
      <alignment horizontal="right" vertical="center" indent="1"/>
      <protection locked="0"/>
    </xf>
    <xf numFmtId="3" fontId="3" fillId="0" borderId="26" xfId="0" applyNumberFormat="1" applyFont="1" applyBorder="1" applyAlignment="1">
      <alignment horizontal="right" vertical="center" indent="1"/>
    </xf>
    <xf numFmtId="3" fontId="3" fillId="0" borderId="71" xfId="0" applyNumberFormat="1" applyFont="1" applyBorder="1" applyAlignment="1">
      <alignment horizontal="right" vertical="center" indent="1"/>
    </xf>
    <xf numFmtId="186" fontId="1" fillId="25" borderId="50" xfId="0" quotePrefix="1" applyNumberFormat="1" applyFont="1" applyFill="1" applyBorder="1" applyAlignment="1" applyProtection="1">
      <alignment horizontal="center" vertical="center"/>
      <protection locked="0"/>
    </xf>
    <xf numFmtId="186" fontId="3" fillId="0" borderId="50" xfId="0" applyNumberFormat="1" applyFont="1" applyBorder="1" applyAlignment="1">
      <alignment horizontal="center" vertical="center"/>
    </xf>
    <xf numFmtId="186" fontId="3" fillId="0" borderId="47" xfId="0" applyNumberFormat="1" applyFont="1" applyBorder="1" applyAlignment="1">
      <alignment horizontal="center" vertical="center"/>
    </xf>
    <xf numFmtId="0" fontId="0" fillId="0" borderId="26" xfId="0" applyBorder="1" applyAlignment="1">
      <alignment horizontal="right" vertical="center" indent="1"/>
    </xf>
    <xf numFmtId="0" fontId="8" fillId="20" borderId="26" xfId="0" applyFont="1" applyFill="1" applyBorder="1" applyAlignment="1" applyProtection="1">
      <alignment horizontal="center" vertical="center" wrapText="1"/>
      <protection hidden="1"/>
    </xf>
    <xf numFmtId="0" fontId="8" fillId="0" borderId="26" xfId="0" applyFont="1" applyBorder="1" applyAlignment="1">
      <alignment horizontal="center" vertical="center" wrapText="1"/>
    </xf>
    <xf numFmtId="0" fontId="8" fillId="0" borderId="55" xfId="0" applyFont="1" applyBorder="1" applyAlignment="1">
      <alignment horizontal="center" vertical="center" wrapText="1"/>
    </xf>
    <xf numFmtId="0" fontId="8" fillId="20" borderId="40" xfId="0" applyFont="1" applyFill="1" applyBorder="1" applyAlignment="1" applyProtection="1">
      <alignment horizontal="center" vertical="center" wrapText="1"/>
      <protection hidden="1"/>
    </xf>
    <xf numFmtId="0" fontId="8" fillId="0" borderId="71" xfId="0" applyFont="1" applyBorder="1" applyAlignment="1">
      <alignment horizontal="center" vertical="center" wrapText="1"/>
    </xf>
    <xf numFmtId="0" fontId="11" fillId="20" borderId="26" xfId="0" applyFont="1" applyFill="1" applyBorder="1" applyAlignment="1" applyProtection="1">
      <alignment horizontal="center" vertical="center" wrapText="1"/>
      <protection hidden="1"/>
    </xf>
    <xf numFmtId="0" fontId="11" fillId="0" borderId="26" xfId="0" applyFont="1" applyBorder="1" applyAlignment="1">
      <alignment horizontal="center" vertical="center" wrapText="1"/>
    </xf>
    <xf numFmtId="0" fontId="11" fillId="0" borderId="55" xfId="0" applyFont="1" applyBorder="1" applyAlignment="1">
      <alignment horizontal="center" vertical="center" wrapText="1"/>
    </xf>
    <xf numFmtId="0" fontId="3" fillId="20" borderId="0" xfId="0" applyFont="1" applyFill="1" applyAlignment="1" applyProtection="1">
      <alignment vertical="center" wrapText="1"/>
      <protection hidden="1"/>
    </xf>
    <xf numFmtId="186" fontId="10" fillId="25" borderId="96" xfId="0" quotePrefix="1" applyNumberFormat="1" applyFont="1" applyFill="1" applyBorder="1" applyAlignment="1" applyProtection="1">
      <alignment horizontal="center" vertical="center"/>
      <protection locked="0"/>
    </xf>
    <xf numFmtId="186" fontId="0" fillId="0" borderId="96" xfId="0" applyNumberFormat="1" applyBorder="1" applyAlignment="1" applyProtection="1">
      <alignment horizontal="center" vertical="center"/>
      <protection locked="0"/>
    </xf>
    <xf numFmtId="0" fontId="0" fillId="0" borderId="96" xfId="0" applyBorder="1" applyAlignment="1" applyProtection="1">
      <alignment horizontal="center" vertical="center"/>
      <protection locked="0"/>
    </xf>
    <xf numFmtId="0" fontId="1" fillId="25" borderId="1" xfId="0" quotePrefix="1" applyFont="1" applyFill="1" applyBorder="1" applyAlignment="1" applyProtection="1">
      <alignment vertical="center"/>
      <protection locked="0"/>
    </xf>
    <xf numFmtId="0" fontId="1" fillId="0" borderId="1" xfId="0" applyFont="1" applyBorder="1" applyAlignment="1">
      <alignment vertical="center"/>
    </xf>
    <xf numFmtId="186" fontId="1" fillId="25" borderId="40" xfId="0" quotePrefix="1" applyNumberFormat="1" applyFont="1" applyFill="1" applyBorder="1" applyAlignment="1" applyProtection="1">
      <alignment horizontal="right" vertical="center"/>
      <protection locked="0"/>
    </xf>
    <xf numFmtId="0" fontId="0" fillId="0" borderId="26" xfId="0" applyBorder="1" applyAlignment="1">
      <alignment horizontal="right" vertical="center"/>
    </xf>
    <xf numFmtId="0" fontId="0" fillId="0" borderId="55" xfId="0" applyBorder="1" applyAlignment="1">
      <alignment horizontal="right" vertical="center"/>
    </xf>
    <xf numFmtId="0" fontId="8" fillId="0" borderId="40" xfId="0" applyFont="1" applyBorder="1" applyAlignment="1">
      <alignment horizontal="center" vertical="center" wrapText="1"/>
    </xf>
    <xf numFmtId="0" fontId="0" fillId="0" borderId="55" xfId="0" applyBorder="1" applyAlignment="1">
      <alignment horizontal="center" vertical="center" wrapText="1"/>
    </xf>
    <xf numFmtId="0" fontId="10" fillId="20" borderId="26" xfId="0" applyFont="1" applyFill="1" applyBorder="1" applyAlignment="1" applyProtection="1">
      <alignment horizontal="center" vertical="center" wrapText="1"/>
      <protection hidden="1"/>
    </xf>
    <xf numFmtId="0" fontId="10" fillId="0" borderId="26" xfId="0" applyFont="1" applyBorder="1" applyAlignment="1">
      <alignment horizontal="center" vertical="center" wrapText="1"/>
    </xf>
    <xf numFmtId="0" fontId="1" fillId="20" borderId="40" xfId="0" applyFont="1" applyFill="1" applyBorder="1" applyAlignment="1" applyProtection="1">
      <alignment horizontal="center" vertical="center" wrapText="1"/>
      <protection hidden="1"/>
    </xf>
    <xf numFmtId="0" fontId="0" fillId="0" borderId="15" xfId="0" applyBorder="1" applyAlignment="1">
      <alignment horizontal="center"/>
    </xf>
    <xf numFmtId="0" fontId="3" fillId="0" borderId="98" xfId="0" applyFont="1" applyBorder="1" applyAlignment="1">
      <alignment vertical="center"/>
    </xf>
    <xf numFmtId="3" fontId="1" fillId="21" borderId="9" xfId="0" applyNumberFormat="1" applyFont="1" applyFill="1" applyBorder="1" applyAlignment="1" applyProtection="1">
      <alignment horizontal="right" indent="1"/>
      <protection locked="0"/>
    </xf>
    <xf numFmtId="0" fontId="1" fillId="24" borderId="31" xfId="0" applyFont="1" applyFill="1" applyBorder="1" applyAlignment="1" applyProtection="1">
      <alignment horizontal="center"/>
      <protection hidden="1"/>
    </xf>
    <xf numFmtId="0" fontId="0" fillId="24" borderId="15" xfId="0" applyFill="1" applyBorder="1" applyAlignment="1">
      <alignment horizontal="center"/>
    </xf>
    <xf numFmtId="0" fontId="1" fillId="24" borderId="3" xfId="0" applyFont="1" applyFill="1" applyBorder="1" applyAlignment="1" applyProtection="1">
      <alignment horizontal="center"/>
      <protection hidden="1"/>
    </xf>
    <xf numFmtId="0" fontId="1" fillId="24" borderId="25" xfId="0" applyFont="1" applyFill="1" applyBorder="1" applyAlignment="1" applyProtection="1">
      <alignment horizontal="center"/>
      <protection hidden="1"/>
    </xf>
    <xf numFmtId="0" fontId="1" fillId="20" borderId="3" xfId="0" applyFont="1" applyFill="1" applyBorder="1" applyAlignment="1" applyProtection="1">
      <alignment horizontal="center"/>
      <protection hidden="1"/>
    </xf>
    <xf numFmtId="0" fontId="1" fillId="20" borderId="0" xfId="0" applyFont="1" applyFill="1" applyBorder="1" applyAlignment="1" applyProtection="1">
      <alignment horizontal="center"/>
      <protection hidden="1"/>
    </xf>
    <xf numFmtId="0" fontId="0" fillId="0" borderId="98" xfId="0" applyBorder="1" applyAlignment="1">
      <alignment vertical="center"/>
    </xf>
    <xf numFmtId="3" fontId="1" fillId="21" borderId="10" xfId="0" applyNumberFormat="1" applyFont="1" applyFill="1" applyBorder="1" applyAlignment="1" applyProtection="1">
      <alignment horizontal="right" indent="1"/>
      <protection locked="0"/>
    </xf>
    <xf numFmtId="3" fontId="1" fillId="21" borderId="12" xfId="0" applyNumberFormat="1" applyFont="1" applyFill="1" applyBorder="1" applyAlignment="1" applyProtection="1">
      <alignment horizontal="right" indent="1"/>
      <protection locked="0"/>
    </xf>
    <xf numFmtId="3" fontId="1" fillId="32" borderId="1" xfId="0" applyNumberFormat="1" applyFont="1" applyFill="1" applyBorder="1" applyAlignment="1" applyProtection="1">
      <alignment horizontal="right" indent="1"/>
    </xf>
    <xf numFmtId="0" fontId="1" fillId="20" borderId="25" xfId="0" applyFont="1" applyFill="1" applyBorder="1" applyAlignment="1" applyProtection="1">
      <alignment horizontal="center"/>
      <protection hidden="1"/>
    </xf>
    <xf numFmtId="0" fontId="1" fillId="20" borderId="1" xfId="0" applyFont="1" applyFill="1" applyBorder="1" applyAlignment="1" applyProtection="1">
      <alignment horizontal="center"/>
      <protection hidden="1"/>
    </xf>
    <xf numFmtId="0" fontId="1" fillId="20" borderId="12" xfId="0" applyFont="1" applyFill="1" applyBorder="1" applyAlignment="1" applyProtection="1">
      <alignment horizontal="center"/>
      <protection hidden="1"/>
    </xf>
    <xf numFmtId="3" fontId="1" fillId="32" borderId="10" xfId="0" applyNumberFormat="1" applyFont="1" applyFill="1" applyBorder="1" applyAlignment="1" applyProtection="1">
      <alignment horizontal="center"/>
      <protection hidden="1"/>
    </xf>
    <xf numFmtId="0" fontId="0" fillId="32" borderId="1" xfId="0" applyFill="1" applyBorder="1" applyAlignment="1" applyProtection="1">
      <alignment horizontal="center"/>
      <protection hidden="1"/>
    </xf>
    <xf numFmtId="0" fontId="161" fillId="20" borderId="9" xfId="0" applyFont="1" applyFill="1" applyBorder="1" applyAlignment="1" applyProtection="1">
      <protection hidden="1"/>
    </xf>
    <xf numFmtId="177" fontId="1" fillId="32" borderId="1" xfId="0" applyNumberFormat="1" applyFont="1" applyFill="1" applyBorder="1" applyAlignment="1" applyProtection="1">
      <alignment horizontal="right" indent="1"/>
      <protection hidden="1"/>
    </xf>
    <xf numFmtId="0" fontId="0" fillId="32" borderId="1" xfId="0" applyFill="1" applyBorder="1" applyAlignment="1" applyProtection="1">
      <alignment horizontal="right" indent="1"/>
      <protection hidden="1"/>
    </xf>
    <xf numFmtId="0" fontId="1" fillId="28" borderId="31" xfId="0" applyFont="1" applyFill="1" applyBorder="1" applyAlignment="1" applyProtection="1">
      <alignment horizontal="center"/>
      <protection hidden="1"/>
    </xf>
    <xf numFmtId="0" fontId="1" fillId="28" borderId="15" xfId="0" applyFont="1" applyFill="1" applyBorder="1" applyAlignment="1" applyProtection="1">
      <alignment horizontal="center"/>
      <protection hidden="1"/>
    </xf>
    <xf numFmtId="168" fontId="24" fillId="32" borderId="1" xfId="0" applyNumberFormat="1" applyFont="1" applyFill="1" applyBorder="1" applyAlignment="1" applyProtection="1">
      <alignment horizontal="right" indent="1"/>
      <protection hidden="1"/>
    </xf>
    <xf numFmtId="0" fontId="174" fillId="20" borderId="0" xfId="0" applyFont="1" applyFill="1" applyBorder="1" applyAlignment="1" applyProtection="1">
      <alignment horizontal="center" vertical="center"/>
      <protection hidden="1"/>
    </xf>
    <xf numFmtId="0" fontId="186" fillId="20" borderId="3" xfId="0" applyFont="1" applyFill="1" applyBorder="1" applyAlignment="1" applyProtection="1">
      <alignment horizontal="center"/>
      <protection hidden="1"/>
    </xf>
    <xf numFmtId="0" fontId="186" fillId="20" borderId="0" xfId="0" applyFont="1" applyFill="1" applyBorder="1" applyAlignment="1" applyProtection="1">
      <alignment horizontal="center"/>
      <protection hidden="1"/>
    </xf>
    <xf numFmtId="0" fontId="186" fillId="0" borderId="0" xfId="0" applyFont="1" applyAlignment="1">
      <alignment horizontal="center"/>
    </xf>
    <xf numFmtId="0" fontId="10" fillId="20" borderId="9" xfId="0" applyFont="1" applyFill="1" applyBorder="1" applyAlignment="1" applyProtection="1">
      <alignment horizontal="left" vertical="center" wrapText="1"/>
      <protection hidden="1"/>
    </xf>
    <xf numFmtId="0" fontId="1" fillId="28" borderId="3" xfId="0" applyFont="1" applyFill="1" applyBorder="1" applyAlignment="1" applyProtection="1">
      <alignment horizontal="center"/>
      <protection hidden="1"/>
    </xf>
    <xf numFmtId="0" fontId="1" fillId="28" borderId="25" xfId="0" applyFont="1" applyFill="1" applyBorder="1" applyAlignment="1" applyProtection="1">
      <alignment horizontal="center"/>
      <protection hidden="1"/>
    </xf>
    <xf numFmtId="0" fontId="16" fillId="25" borderId="98" xfId="0" quotePrefix="1" applyFont="1" applyFill="1" applyBorder="1" applyAlignment="1" applyProtection="1">
      <alignment vertical="center"/>
      <protection locked="0"/>
    </xf>
    <xf numFmtId="0" fontId="1" fillId="0" borderId="0" xfId="0" applyFont="1" applyBorder="1" applyAlignment="1">
      <alignment vertical="center"/>
    </xf>
    <xf numFmtId="0" fontId="1" fillId="25" borderId="98" xfId="0" quotePrefix="1" applyFont="1" applyFill="1" applyBorder="1" applyAlignment="1" applyProtection="1">
      <alignment horizontal="center" vertical="center"/>
      <protection locked="0"/>
    </xf>
    <xf numFmtId="0" fontId="1" fillId="0" borderId="98" xfId="0" applyFont="1" applyBorder="1" applyAlignment="1">
      <alignment horizontal="center" vertical="center"/>
    </xf>
    <xf numFmtId="0" fontId="161" fillId="20" borderId="0" xfId="0" applyFont="1" applyFill="1" applyAlignment="1" applyProtection="1">
      <protection hidden="1"/>
    </xf>
    <xf numFmtId="0" fontId="78" fillId="14" borderId="64" xfId="2" applyFill="1" applyBorder="1" applyAlignment="1" applyProtection="1">
      <alignment horizontal="center"/>
      <protection hidden="1"/>
    </xf>
    <xf numFmtId="0" fontId="78" fillId="14" borderId="65" xfId="2" applyFill="1" applyBorder="1" applyAlignment="1" applyProtection="1">
      <alignment horizontal="center"/>
      <protection hidden="1"/>
    </xf>
    <xf numFmtId="0" fontId="78" fillId="14" borderId="66" xfId="2" applyFill="1" applyBorder="1" applyAlignment="1" applyProtection="1">
      <alignment horizontal="center"/>
      <protection hidden="1"/>
    </xf>
    <xf numFmtId="4" fontId="8" fillId="3" borderId="22" xfId="0" applyNumberFormat="1" applyFont="1" applyFill="1"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112" fillId="0" borderId="9" xfId="0" applyFont="1" applyBorder="1" applyAlignment="1" applyProtection="1">
      <alignment horizontal="center"/>
      <protection hidden="1"/>
    </xf>
    <xf numFmtId="0" fontId="112" fillId="0" borderId="6" xfId="0" applyFont="1" applyBorder="1" applyAlignment="1" applyProtection="1">
      <alignment horizontal="center"/>
      <protection hidden="1"/>
    </xf>
    <xf numFmtId="0" fontId="112" fillId="0" borderId="0" xfId="0" applyFont="1" applyAlignment="1" applyProtection="1">
      <alignment horizontal="center"/>
      <protection hidden="1"/>
    </xf>
    <xf numFmtId="0" fontId="13" fillId="3" borderId="26" xfId="0" applyFont="1" applyFill="1" applyBorder="1" applyAlignment="1" applyProtection="1">
      <protection hidden="1"/>
    </xf>
    <xf numFmtId="0" fontId="14" fillId="0" borderId="26" xfId="0" applyFont="1" applyBorder="1" applyAlignment="1" applyProtection="1">
      <protection hidden="1"/>
    </xf>
    <xf numFmtId="0" fontId="8" fillId="3" borderId="6" xfId="0" applyFont="1" applyFill="1" applyBorder="1" applyAlignment="1" applyProtection="1">
      <alignment horizontal="left"/>
      <protection hidden="1"/>
    </xf>
    <xf numFmtId="0" fontId="6" fillId="3" borderId="22" xfId="0" applyFont="1" applyFill="1" applyBorder="1" applyAlignment="1" applyProtection="1">
      <alignment horizontal="center" vertical="center"/>
      <protection hidden="1"/>
    </xf>
    <xf numFmtId="0" fontId="9" fillId="0" borderId="5" xfId="0" applyFont="1" applyBorder="1" applyAlignment="1" applyProtection="1">
      <alignment horizontal="center" vertical="center"/>
      <protection hidden="1"/>
    </xf>
    <xf numFmtId="0" fontId="9" fillId="0" borderId="23" xfId="0" applyFont="1" applyBorder="1" applyAlignment="1" applyProtection="1">
      <alignment horizontal="center" vertical="center"/>
      <protection hidden="1"/>
    </xf>
    <xf numFmtId="0" fontId="48" fillId="3" borderId="6" xfId="0" applyFont="1" applyFill="1" applyBorder="1" applyAlignment="1" applyProtection="1">
      <alignment horizontal="center" vertical="top"/>
      <protection hidden="1"/>
    </xf>
    <xf numFmtId="0" fontId="9" fillId="0" borderId="0" xfId="0" applyFont="1" applyAlignment="1" applyProtection="1">
      <alignment horizontal="center" vertical="top"/>
      <protection hidden="1"/>
    </xf>
    <xf numFmtId="0" fontId="9" fillId="0" borderId="21" xfId="0" applyFont="1" applyBorder="1" applyAlignment="1" applyProtection="1">
      <alignment horizontal="center" vertical="top"/>
      <protection hidden="1"/>
    </xf>
    <xf numFmtId="0" fontId="21" fillId="3" borderId="0" xfId="0" applyFont="1" applyFill="1" applyBorder="1" applyAlignment="1" applyProtection="1">
      <alignment horizontal="center"/>
      <protection hidden="1"/>
    </xf>
    <xf numFmtId="0" fontId="14" fillId="30" borderId="1" xfId="0" applyFont="1" applyFill="1" applyBorder="1" applyAlignment="1" applyProtection="1">
      <protection hidden="1"/>
    </xf>
    <xf numFmtId="0" fontId="13" fillId="3" borderId="26" xfId="0" applyFont="1" applyFill="1" applyBorder="1" applyAlignment="1" applyProtection="1">
      <alignment vertical="center"/>
      <protection hidden="1"/>
    </xf>
    <xf numFmtId="0" fontId="14" fillId="0" borderId="26" xfId="0" applyFont="1" applyBorder="1" applyAlignment="1" applyProtection="1">
      <alignment vertical="center"/>
      <protection hidden="1"/>
    </xf>
    <xf numFmtId="4" fontId="11" fillId="3" borderId="3" xfId="0" applyNumberFormat="1" applyFont="1" applyFill="1" applyBorder="1" applyAlignment="1" applyProtection="1">
      <alignment horizontal="center"/>
      <protection hidden="1"/>
    </xf>
    <xf numFmtId="0" fontId="8" fillId="3" borderId="0" xfId="0" applyFont="1" applyFill="1" applyBorder="1" applyAlignment="1" applyProtection="1">
      <alignment horizontal="left" vertical="center"/>
      <protection hidden="1"/>
    </xf>
    <xf numFmtId="0" fontId="0" fillId="0" borderId="0" xfId="0" applyBorder="1" applyAlignment="1" applyProtection="1">
      <alignment horizontal="left" vertical="center"/>
      <protection hidden="1"/>
    </xf>
    <xf numFmtId="0" fontId="0" fillId="0" borderId="21" xfId="0" applyBorder="1" applyAlignment="1">
      <alignment horizontal="left" vertical="center"/>
    </xf>
    <xf numFmtId="0" fontId="8" fillId="3" borderId="5" xfId="0" applyFont="1" applyFill="1"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23" xfId="0" applyBorder="1" applyAlignment="1">
      <alignment horizontal="left" vertical="center"/>
    </xf>
    <xf numFmtId="0" fontId="178" fillId="29" borderId="22" xfId="0" applyFont="1" applyFill="1" applyBorder="1" applyAlignment="1" applyProtection="1">
      <alignment horizontal="center"/>
      <protection hidden="1"/>
    </xf>
    <xf numFmtId="0" fontId="178" fillId="29" borderId="5" xfId="0" applyFont="1" applyFill="1" applyBorder="1" applyAlignment="1" applyProtection="1">
      <alignment horizontal="center"/>
      <protection hidden="1"/>
    </xf>
    <xf numFmtId="0" fontId="178" fillId="29" borderId="23" xfId="0" applyFont="1" applyFill="1" applyBorder="1" applyAlignment="1" applyProtection="1">
      <alignment horizontal="center"/>
      <protection hidden="1"/>
    </xf>
    <xf numFmtId="0" fontId="5" fillId="29" borderId="0" xfId="0" applyFont="1" applyFill="1" applyBorder="1" applyAlignment="1" applyProtection="1">
      <alignment vertical="center"/>
      <protection hidden="1"/>
    </xf>
    <xf numFmtId="0" fontId="0" fillId="29" borderId="0" xfId="0" applyFill="1" applyAlignment="1"/>
    <xf numFmtId="0" fontId="68" fillId="3" borderId="0" xfId="0" applyFont="1" applyFill="1" applyBorder="1" applyAlignment="1" applyProtection="1">
      <alignment horizontal="left" vertical="center"/>
      <protection hidden="1"/>
    </xf>
    <xf numFmtId="0" fontId="112" fillId="0" borderId="21" xfId="0" applyFont="1" applyBorder="1" applyAlignment="1">
      <alignment horizontal="left" vertical="center"/>
    </xf>
    <xf numFmtId="0" fontId="112" fillId="0" borderId="0" xfId="0" applyFont="1" applyAlignment="1">
      <alignment vertical="center"/>
    </xf>
    <xf numFmtId="0" fontId="112" fillId="0" borderId="21" xfId="0" applyFont="1" applyBorder="1" applyAlignment="1">
      <alignment vertical="center"/>
    </xf>
    <xf numFmtId="0" fontId="10" fillId="33" borderId="1" xfId="0" quotePrefix="1" applyFont="1" applyFill="1" applyBorder="1" applyAlignment="1" applyProtection="1">
      <protection hidden="1"/>
    </xf>
    <xf numFmtId="0" fontId="0" fillId="30" borderId="1" xfId="0" applyFill="1" applyBorder="1" applyAlignment="1" applyProtection="1">
      <protection hidden="1"/>
    </xf>
    <xf numFmtId="0" fontId="0" fillId="30" borderId="12" xfId="0" applyFill="1" applyBorder="1" applyAlignment="1" applyProtection="1">
      <protection hidden="1"/>
    </xf>
    <xf numFmtId="0" fontId="1" fillId="29" borderId="24" xfId="0" applyFont="1" applyFill="1" applyBorder="1" applyAlignment="1" applyProtection="1">
      <alignment horizontal="left" vertical="center" wrapText="1"/>
      <protection hidden="1"/>
    </xf>
    <xf numFmtId="0" fontId="0" fillId="29" borderId="8" xfId="0" applyFill="1" applyBorder="1" applyAlignment="1">
      <alignment horizontal="left" vertical="center" wrapText="1"/>
    </xf>
    <xf numFmtId="0" fontId="0" fillId="29" borderId="6" xfId="0" applyFill="1" applyBorder="1" applyAlignment="1">
      <alignment horizontal="left" vertical="center" wrapText="1"/>
    </xf>
    <xf numFmtId="0" fontId="0" fillId="29" borderId="0" xfId="0" applyFill="1" applyBorder="1" applyAlignment="1">
      <alignment horizontal="left" vertical="center" wrapText="1"/>
    </xf>
    <xf numFmtId="0" fontId="0" fillId="29" borderId="22" xfId="0" applyFill="1" applyBorder="1" applyAlignment="1">
      <alignment horizontal="left" vertical="center" wrapText="1"/>
    </xf>
    <xf numFmtId="0" fontId="0" fillId="29" borderId="5" xfId="0" applyFill="1" applyBorder="1" applyAlignment="1">
      <alignment horizontal="left" vertical="center" wrapText="1"/>
    </xf>
    <xf numFmtId="0" fontId="42" fillId="29" borderId="24" xfId="0" applyFont="1" applyFill="1" applyBorder="1" applyAlignment="1" applyProtection="1">
      <alignment horizontal="left"/>
      <protection hidden="1"/>
    </xf>
    <xf numFmtId="0" fontId="42" fillId="29" borderId="8" xfId="0" applyFont="1" applyFill="1" applyBorder="1" applyAlignment="1" applyProtection="1">
      <alignment horizontal="left"/>
      <protection hidden="1"/>
    </xf>
    <xf numFmtId="0" fontId="42" fillId="29" borderId="20" xfId="0" applyFont="1" applyFill="1" applyBorder="1" applyAlignment="1" applyProtection="1">
      <alignment horizontal="left"/>
      <protection hidden="1"/>
    </xf>
    <xf numFmtId="0" fontId="42" fillId="29" borderId="6" xfId="0" applyFont="1" applyFill="1" applyBorder="1" applyAlignment="1" applyProtection="1">
      <alignment horizontal="left"/>
      <protection hidden="1"/>
    </xf>
    <xf numFmtId="0" fontId="42" fillId="29" borderId="0" xfId="0" applyFont="1" applyFill="1" applyBorder="1" applyAlignment="1" applyProtection="1">
      <alignment horizontal="left"/>
      <protection hidden="1"/>
    </xf>
    <xf numFmtId="0" fontId="42" fillId="29" borderId="21" xfId="0" applyFont="1" applyFill="1" applyBorder="1" applyAlignment="1" applyProtection="1">
      <alignment horizontal="left"/>
      <protection hidden="1"/>
    </xf>
    <xf numFmtId="37" fontId="6" fillId="21" borderId="40" xfId="0" applyNumberFormat="1" applyFont="1" applyFill="1" applyBorder="1" applyAlignment="1" applyProtection="1">
      <alignment horizontal="center"/>
      <protection locked="0"/>
    </xf>
    <xf numFmtId="0" fontId="6" fillId="21" borderId="26" xfId="0" applyFont="1" applyFill="1" applyBorder="1" applyAlignment="1" applyProtection="1">
      <alignment horizontal="left" indent="1"/>
      <protection locked="0"/>
    </xf>
    <xf numFmtId="0" fontId="4" fillId="21" borderId="26" xfId="0" applyFont="1" applyFill="1" applyBorder="1" applyAlignment="1" applyProtection="1">
      <alignment horizontal="left" indent="1"/>
      <protection locked="0"/>
    </xf>
    <xf numFmtId="0" fontId="4" fillId="21" borderId="55" xfId="0" applyFont="1" applyFill="1" applyBorder="1" applyAlignment="1" applyProtection="1">
      <alignment horizontal="left" indent="1"/>
      <protection locked="0"/>
    </xf>
    <xf numFmtId="174" fontId="6" fillId="21" borderId="40" xfId="0" applyNumberFormat="1" applyFont="1" applyFill="1" applyBorder="1" applyAlignment="1" applyProtection="1">
      <alignment horizontal="center"/>
      <protection locked="0"/>
    </xf>
    <xf numFmtId="174" fontId="4" fillId="21" borderId="26" xfId="0" applyNumberFormat="1" applyFont="1" applyFill="1" applyBorder="1" applyAlignment="1" applyProtection="1">
      <alignment horizontal="center"/>
      <protection locked="0"/>
    </xf>
    <xf numFmtId="174" fontId="4" fillId="21" borderId="55" xfId="0" applyNumberFormat="1" applyFont="1" applyFill="1" applyBorder="1" applyAlignment="1" applyProtection="1">
      <alignment horizontal="center"/>
      <protection locked="0"/>
    </xf>
    <xf numFmtId="37" fontId="4" fillId="21" borderId="26" xfId="0" applyNumberFormat="1" applyFont="1" applyFill="1" applyBorder="1" applyAlignment="1" applyProtection="1">
      <alignment horizontal="right"/>
      <protection locked="0"/>
    </xf>
    <xf numFmtId="37" fontId="4" fillId="21" borderId="55" xfId="0" applyNumberFormat="1" applyFont="1" applyFill="1" applyBorder="1" applyAlignment="1" applyProtection="1">
      <alignment horizontal="right"/>
      <protection locked="0"/>
    </xf>
    <xf numFmtId="37" fontId="6" fillId="21" borderId="40" xfId="0" applyNumberFormat="1" applyFont="1" applyFill="1" applyBorder="1" applyAlignment="1" applyProtection="1">
      <alignment horizontal="right"/>
      <protection hidden="1"/>
    </xf>
    <xf numFmtId="37" fontId="4" fillId="21" borderId="26" xfId="0" applyNumberFormat="1" applyFont="1" applyFill="1" applyBorder="1" applyAlignment="1" applyProtection="1">
      <alignment horizontal="right"/>
      <protection hidden="1"/>
    </xf>
    <xf numFmtId="0" fontId="17" fillId="20" borderId="31" xfId="0" applyFont="1" applyFill="1" applyBorder="1" applyAlignment="1" applyProtection="1">
      <alignment horizontal="center" vertical="center" wrapText="1"/>
      <protection hidden="1"/>
    </xf>
    <xf numFmtId="0" fontId="17" fillId="0" borderId="15" xfId="0" applyFont="1" applyBorder="1" applyAlignment="1">
      <alignment horizontal="center" vertical="center"/>
    </xf>
    <xf numFmtId="0" fontId="17" fillId="0" borderId="12" xfId="0" applyFont="1" applyBorder="1" applyAlignment="1">
      <alignment horizontal="center" vertical="center"/>
    </xf>
    <xf numFmtId="0" fontId="8" fillId="20" borderId="31"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5" fillId="20" borderId="112" xfId="0" applyFont="1" applyFill="1" applyBorder="1" applyAlignment="1" applyProtection="1">
      <alignment horizontal="left" vertical="top" wrapText="1"/>
      <protection hidden="1"/>
    </xf>
    <xf numFmtId="0" fontId="5" fillId="0" borderId="112" xfId="0" applyFont="1" applyBorder="1" applyAlignment="1">
      <alignment wrapText="1"/>
    </xf>
    <xf numFmtId="0" fontId="5" fillId="0" borderId="14" xfId="0" applyFont="1" applyBorder="1" applyAlignment="1">
      <alignment wrapText="1"/>
    </xf>
    <xf numFmtId="0" fontId="16" fillId="2" borderId="9" xfId="0" applyFont="1" applyFill="1" applyBorder="1" applyAlignment="1" applyProtection="1">
      <protection hidden="1"/>
    </xf>
    <xf numFmtId="0" fontId="16" fillId="0" borderId="0" xfId="0" applyFont="1" applyAlignment="1"/>
    <xf numFmtId="0" fontId="16" fillId="0" borderId="1" xfId="0" applyFont="1" applyBorder="1" applyAlignment="1"/>
    <xf numFmtId="0" fontId="8" fillId="2" borderId="9" xfId="0" applyFont="1" applyFill="1" applyBorder="1" applyAlignment="1">
      <alignment horizontal="center"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xf numFmtId="0" fontId="8" fillId="2" borderId="25" xfId="0" applyFont="1" applyFill="1" applyBorder="1" applyAlignment="1">
      <alignment horizontal="center" vertical="center"/>
    </xf>
    <xf numFmtId="0" fontId="8" fillId="2" borderId="0" xfId="0" applyFont="1" applyFill="1" applyAlignment="1">
      <alignment horizontal="center" vertical="center"/>
    </xf>
    <xf numFmtId="0" fontId="8" fillId="2" borderId="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31" xfId="0" applyFont="1" applyFill="1" applyBorder="1" applyAlignment="1" applyProtection="1">
      <alignment horizontal="center" vertical="center" wrapText="1"/>
      <protection hidden="1"/>
    </xf>
    <xf numFmtId="0" fontId="8" fillId="0" borderId="9" xfId="0" applyFont="1" applyBorder="1" applyAlignment="1">
      <alignment horizontal="center" vertical="center"/>
    </xf>
    <xf numFmtId="0" fontId="8" fillId="0" borderId="15" xfId="0" applyFont="1" applyBorder="1" applyAlignment="1">
      <alignment horizontal="center" vertical="center"/>
    </xf>
    <xf numFmtId="0" fontId="8" fillId="2" borderId="3" xfId="0" applyFont="1" applyFill="1" applyBorder="1" applyAlignment="1" applyProtection="1">
      <alignment horizontal="center" vertical="center" wrapText="1"/>
      <protection hidden="1"/>
    </xf>
    <xf numFmtId="0" fontId="8" fillId="0" borderId="0" xfId="0" applyFont="1" applyBorder="1" applyAlignment="1">
      <alignment horizontal="center" vertical="center"/>
    </xf>
    <xf numFmtId="0" fontId="8" fillId="0" borderId="25" xfId="0" applyFont="1" applyBorder="1" applyAlignment="1">
      <alignment horizontal="center" vertical="center"/>
    </xf>
    <xf numFmtId="0" fontId="8" fillId="0" borderId="3" xfId="0" applyFont="1" applyBorder="1" applyAlignment="1">
      <alignment horizontal="center" vertical="center"/>
    </xf>
    <xf numFmtId="0" fontId="8" fillId="0" borderId="10"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33" fillId="11" borderId="9" xfId="0" applyFont="1" applyFill="1" applyBorder="1" applyAlignment="1" applyProtection="1">
      <alignment horizontal="center"/>
      <protection hidden="1"/>
    </xf>
    <xf numFmtId="0" fontId="10" fillId="21" borderId="5" xfId="0" applyFont="1" applyFill="1" applyBorder="1" applyAlignment="1" applyProtection="1">
      <alignment horizontal="left" indent="1"/>
      <protection hidden="1"/>
    </xf>
    <xf numFmtId="0" fontId="0" fillId="21" borderId="5" xfId="0" applyFill="1" applyBorder="1" applyAlignment="1">
      <alignment horizontal="left" indent="1"/>
    </xf>
    <xf numFmtId="0" fontId="0" fillId="21" borderId="73" xfId="0" applyFill="1" applyBorder="1" applyAlignment="1">
      <alignment horizontal="left" indent="1"/>
    </xf>
    <xf numFmtId="166" fontId="10" fillId="21" borderId="72" xfId="0" applyNumberFormat="1" applyFont="1" applyFill="1" applyBorder="1" applyAlignment="1" applyProtection="1">
      <alignment horizontal="center" vertical="center"/>
      <protection hidden="1"/>
    </xf>
    <xf numFmtId="0" fontId="0" fillId="21" borderId="5" xfId="0" applyFill="1" applyBorder="1" applyAlignment="1"/>
    <xf numFmtId="0" fontId="5" fillId="2" borderId="9" xfId="0" applyFont="1" applyFill="1" applyBorder="1" applyAlignment="1" applyProtection="1">
      <alignment vertical="top" wrapText="1"/>
      <protection hidden="1"/>
    </xf>
    <xf numFmtId="0" fontId="5" fillId="0" borderId="9" xfId="0" applyFont="1" applyBorder="1" applyAlignment="1">
      <alignment vertical="top" wrapText="1"/>
    </xf>
    <xf numFmtId="0" fontId="5" fillId="0" borderId="0" xfId="0" applyFont="1" applyAlignment="1">
      <alignment vertical="top" wrapText="1"/>
    </xf>
    <xf numFmtId="0" fontId="5" fillId="0" borderId="0" xfId="0" applyFont="1" applyBorder="1" applyAlignment="1">
      <alignment vertical="top" wrapText="1"/>
    </xf>
    <xf numFmtId="37" fontId="0" fillId="21" borderId="31" xfId="0" applyNumberFormat="1" applyFill="1" applyBorder="1" applyAlignment="1" applyProtection="1">
      <alignment horizontal="right"/>
      <protection hidden="1"/>
    </xf>
    <xf numFmtId="0" fontId="0" fillId="21" borderId="9" xfId="0" applyFill="1" applyBorder="1" applyAlignment="1">
      <alignment horizontal="right"/>
    </xf>
    <xf numFmtId="0" fontId="0" fillId="21" borderId="15" xfId="0" applyFill="1" applyBorder="1" applyAlignment="1">
      <alignment horizontal="right"/>
    </xf>
    <xf numFmtId="0" fontId="0" fillId="21" borderId="3" xfId="0" applyFill="1" applyBorder="1" applyAlignment="1">
      <alignment horizontal="right"/>
    </xf>
    <xf numFmtId="0" fontId="0" fillId="21" borderId="0" xfId="0" applyFill="1" applyBorder="1" applyAlignment="1">
      <alignment horizontal="right"/>
    </xf>
    <xf numFmtId="0" fontId="0" fillId="21" borderId="25" xfId="0" applyFill="1" applyBorder="1" applyAlignment="1">
      <alignment horizontal="right"/>
    </xf>
    <xf numFmtId="0" fontId="17" fillId="2" borderId="31" xfId="0"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17" fillId="0" borderId="0" xfId="0" applyFont="1" applyBorder="1" applyAlignment="1">
      <alignment horizontal="center" vertical="center"/>
    </xf>
    <xf numFmtId="0" fontId="17" fillId="0" borderId="25" xfId="0" applyFont="1" applyBorder="1" applyAlignment="1">
      <alignment horizontal="center" vertical="center"/>
    </xf>
    <xf numFmtId="0" fontId="0" fillId="21" borderId="9" xfId="0" applyFill="1" applyBorder="1" applyAlignment="1" applyProtection="1">
      <alignment horizontal="right"/>
      <protection hidden="1"/>
    </xf>
    <xf numFmtId="0" fontId="0" fillId="21" borderId="3" xfId="0" applyFill="1" applyBorder="1" applyAlignment="1" applyProtection="1">
      <alignment horizontal="right"/>
      <protection hidden="1"/>
    </xf>
    <xf numFmtId="0" fontId="0" fillId="21" borderId="0" xfId="0" applyFill="1" applyBorder="1" applyAlignment="1" applyProtection="1">
      <alignment horizontal="right"/>
      <protection hidden="1"/>
    </xf>
    <xf numFmtId="0" fontId="0" fillId="21" borderId="15" xfId="0" applyFill="1" applyBorder="1" applyAlignment="1" applyProtection="1">
      <alignment horizontal="right"/>
      <protection hidden="1"/>
    </xf>
    <xf numFmtId="0" fontId="0" fillId="21" borderId="25" xfId="0" applyFill="1" applyBorder="1" applyAlignment="1" applyProtection="1">
      <alignment horizontal="right"/>
      <protection hidden="1"/>
    </xf>
    <xf numFmtId="0" fontId="0" fillId="21" borderId="72" xfId="0" applyFill="1" applyBorder="1" applyAlignment="1" applyProtection="1">
      <alignment horizontal="right"/>
      <protection hidden="1"/>
    </xf>
    <xf numFmtId="0" fontId="0" fillId="21" borderId="5" xfId="0" applyFill="1" applyBorder="1" applyAlignment="1" applyProtection="1">
      <alignment horizontal="right"/>
      <protection hidden="1"/>
    </xf>
    <xf numFmtId="0" fontId="0" fillId="21" borderId="73" xfId="0" applyFill="1" applyBorder="1" applyAlignment="1" applyProtection="1">
      <alignment horizontal="right"/>
      <protection hidden="1"/>
    </xf>
    <xf numFmtId="0" fontId="10" fillId="0" borderId="9" xfId="0" applyFont="1" applyBorder="1" applyAlignment="1" applyProtection="1">
      <alignment horizontal="center" vertical="top"/>
      <protection hidden="1"/>
    </xf>
    <xf numFmtId="0" fontId="10" fillId="0" borderId="0" xfId="0" applyFont="1" applyBorder="1" applyAlignment="1">
      <alignment horizontal="center" vertical="top"/>
    </xf>
    <xf numFmtId="37" fontId="0" fillId="28" borderId="31" xfId="0" applyNumberFormat="1" applyFill="1" applyBorder="1" applyAlignment="1" applyProtection="1">
      <alignment horizontal="right"/>
      <protection hidden="1"/>
    </xf>
    <xf numFmtId="0" fontId="0" fillId="28" borderId="15" xfId="0" applyFill="1" applyBorder="1" applyAlignment="1" applyProtection="1">
      <alignment horizontal="right"/>
      <protection hidden="1"/>
    </xf>
    <xf numFmtId="0" fontId="0" fillId="28" borderId="3" xfId="0" applyFill="1" applyBorder="1" applyAlignment="1" applyProtection="1">
      <alignment horizontal="right"/>
      <protection hidden="1"/>
    </xf>
    <xf numFmtId="0" fontId="0" fillId="28" borderId="25" xfId="0" applyFill="1" applyBorder="1" applyAlignment="1" applyProtection="1">
      <alignment horizontal="right"/>
      <protection hidden="1"/>
    </xf>
    <xf numFmtId="0" fontId="0" fillId="28" borderId="10" xfId="0" applyFill="1" applyBorder="1" applyAlignment="1" applyProtection="1">
      <alignment horizontal="right"/>
      <protection hidden="1"/>
    </xf>
    <xf numFmtId="0" fontId="0" fillId="28" borderId="12" xfId="0" applyFill="1" applyBorder="1" applyAlignment="1" applyProtection="1">
      <alignment horizontal="right"/>
      <protection hidden="1"/>
    </xf>
    <xf numFmtId="0" fontId="0" fillId="21" borderId="10" xfId="0" applyFill="1" applyBorder="1" applyAlignment="1">
      <alignment horizontal="right"/>
    </xf>
    <xf numFmtId="0" fontId="0" fillId="21" borderId="12" xfId="0" applyFill="1" applyBorder="1" applyAlignment="1">
      <alignment horizontal="right"/>
    </xf>
    <xf numFmtId="0" fontId="53" fillId="20" borderId="31" xfId="0" applyFont="1" applyFill="1" applyBorder="1" applyAlignment="1" applyProtection="1">
      <alignment horizontal="center" vertical="center" wrapText="1"/>
      <protection hidden="1"/>
    </xf>
    <xf numFmtId="0" fontId="53" fillId="20" borderId="9" xfId="0" applyFont="1" applyFill="1" applyBorder="1" applyAlignment="1" applyProtection="1">
      <alignment horizontal="center" vertical="center" wrapText="1"/>
      <protection hidden="1"/>
    </xf>
    <xf numFmtId="0" fontId="53" fillId="20" borderId="15" xfId="0" applyFont="1" applyFill="1" applyBorder="1" applyAlignment="1" applyProtection="1">
      <alignment horizontal="center" vertical="center" wrapText="1"/>
      <protection hidden="1"/>
    </xf>
    <xf numFmtId="0" fontId="53" fillId="20" borderId="10" xfId="0" applyFont="1" applyFill="1" applyBorder="1" applyAlignment="1" applyProtection="1">
      <alignment horizontal="center" vertical="center" wrapText="1"/>
      <protection hidden="1"/>
    </xf>
    <xf numFmtId="0" fontId="53" fillId="20" borderId="1" xfId="0" applyFont="1" applyFill="1" applyBorder="1" applyAlignment="1" applyProtection="1">
      <alignment horizontal="center" vertical="center" wrapText="1"/>
      <protection hidden="1"/>
    </xf>
    <xf numFmtId="0" fontId="53" fillId="20" borderId="12" xfId="0" applyFont="1" applyFill="1" applyBorder="1" applyAlignment="1" applyProtection="1">
      <alignment horizontal="center" vertical="center" wrapText="1"/>
      <protection hidden="1"/>
    </xf>
    <xf numFmtId="0" fontId="16" fillId="0" borderId="9" xfId="0" applyFont="1" applyBorder="1" applyAlignment="1" applyProtection="1">
      <alignment horizontal="center" vertical="top"/>
      <protection hidden="1"/>
    </xf>
    <xf numFmtId="0" fontId="16" fillId="0" borderId="0" xfId="0" applyFont="1" applyBorder="1" applyAlignment="1">
      <alignment horizontal="center" vertical="top"/>
    </xf>
    <xf numFmtId="0" fontId="164" fillId="5" borderId="0" xfId="0" applyFont="1" applyFill="1" applyAlignment="1" applyProtection="1">
      <alignment horizontal="right"/>
      <protection hidden="1"/>
    </xf>
    <xf numFmtId="0" fontId="164" fillId="0" borderId="0" xfId="0" applyFont="1" applyAlignment="1">
      <alignment horizontal="right"/>
    </xf>
    <xf numFmtId="0" fontId="11" fillId="2" borderId="113" xfId="0" applyFont="1" applyFill="1" applyBorder="1" applyAlignment="1" applyProtection="1">
      <alignment horizontal="center" vertical="top"/>
      <protection hidden="1"/>
    </xf>
    <xf numFmtId="0" fontId="11" fillId="0" borderId="0" xfId="0" applyFont="1" applyBorder="1" applyAlignment="1" applyProtection="1">
      <alignment horizontal="center" vertical="top"/>
      <protection hidden="1"/>
    </xf>
    <xf numFmtId="0" fontId="11" fillId="0" borderId="79" xfId="0" applyFont="1" applyBorder="1" applyAlignment="1" applyProtection="1">
      <alignment horizontal="center" vertical="top"/>
      <protection hidden="1"/>
    </xf>
    <xf numFmtId="0" fontId="3" fillId="2" borderId="0" xfId="0" applyFont="1" applyFill="1" applyBorder="1" applyAlignment="1" applyProtection="1">
      <protection hidden="1"/>
    </xf>
    <xf numFmtId="0" fontId="8" fillId="2" borderId="114" xfId="0" applyFont="1" applyFill="1" applyBorder="1" applyAlignment="1" applyProtection="1">
      <alignment horizontal="center"/>
      <protection hidden="1"/>
    </xf>
    <xf numFmtId="0" fontId="86" fillId="2" borderId="0" xfId="0" applyFont="1" applyFill="1" applyBorder="1" applyAlignment="1" applyProtection="1">
      <alignment horizontal="center" vertical="center"/>
      <protection hidden="1"/>
    </xf>
    <xf numFmtId="0" fontId="0" fillId="0" borderId="0" xfId="0" applyAlignment="1" applyProtection="1">
      <protection hidden="1"/>
    </xf>
    <xf numFmtId="0" fontId="51" fillId="2" borderId="113" xfId="0" applyFont="1" applyFill="1" applyBorder="1" applyAlignment="1" applyProtection="1">
      <alignment horizontal="center"/>
      <protection hidden="1"/>
    </xf>
    <xf numFmtId="0" fontId="51" fillId="0" borderId="0" xfId="0" applyFont="1" applyBorder="1" applyAlignment="1" applyProtection="1">
      <alignment horizontal="center"/>
      <protection hidden="1"/>
    </xf>
    <xf numFmtId="0" fontId="51" fillId="0" borderId="79" xfId="0" applyFont="1" applyBorder="1" applyAlignment="1" applyProtection="1">
      <alignment horizontal="center"/>
      <protection hidden="1"/>
    </xf>
    <xf numFmtId="0" fontId="51" fillId="0" borderId="113" xfId="0" applyFont="1" applyBorder="1" applyAlignment="1" applyProtection="1">
      <alignment horizontal="center"/>
      <protection hidden="1"/>
    </xf>
    <xf numFmtId="0" fontId="0" fillId="0" borderId="113" xfId="0" applyBorder="1" applyAlignment="1">
      <alignment horizontal="center"/>
    </xf>
    <xf numFmtId="0" fontId="3" fillId="2" borderId="0" xfId="0" applyFont="1" applyFill="1" applyBorder="1" applyAlignment="1" applyProtection="1">
      <alignment horizontal="left" vertical="center" wrapText="1" indent="1"/>
      <protection hidden="1"/>
    </xf>
    <xf numFmtId="0" fontId="0" fillId="0" borderId="0" xfId="0" applyBorder="1" applyAlignment="1" applyProtection="1">
      <alignment horizontal="left" vertical="center" wrapText="1" indent="1"/>
      <protection hidden="1"/>
    </xf>
    <xf numFmtId="0" fontId="0" fillId="0" borderId="5" xfId="0" applyBorder="1" applyAlignment="1" applyProtection="1">
      <alignment horizontal="left" vertical="center" wrapText="1" indent="1"/>
      <protection hidden="1"/>
    </xf>
    <xf numFmtId="0" fontId="11" fillId="2" borderId="113" xfId="0" applyFont="1" applyFill="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11" fillId="0" borderId="79" xfId="0" applyFont="1" applyBorder="1" applyAlignment="1" applyProtection="1">
      <alignment horizontal="center" vertical="center"/>
      <protection hidden="1"/>
    </xf>
    <xf numFmtId="0" fontId="179" fillId="2" borderId="0" xfId="0" applyFont="1" applyFill="1" applyAlignment="1" applyProtection="1">
      <alignment horizontal="left"/>
      <protection hidden="1"/>
    </xf>
    <xf numFmtId="0" fontId="181" fillId="0" borderId="0" xfId="0" applyFont="1" applyAlignment="1" applyProtection="1">
      <alignment horizontal="left"/>
      <protection hidden="1"/>
    </xf>
    <xf numFmtId="0" fontId="8" fillId="0" borderId="13" xfId="0" applyFont="1" applyBorder="1" applyAlignment="1" applyProtection="1">
      <alignment horizontal="center" vertical="center" wrapText="1"/>
      <protection hidden="1"/>
    </xf>
    <xf numFmtId="0" fontId="8" fillId="0" borderId="13" xfId="0" applyFont="1" applyBorder="1" applyAlignment="1">
      <alignment horizontal="center" vertical="center" wrapText="1"/>
    </xf>
    <xf numFmtId="0" fontId="17" fillId="0" borderId="13" xfId="0" applyFont="1" applyBorder="1" applyAlignment="1" applyProtection="1">
      <alignment horizontal="center" vertical="center" wrapText="1"/>
      <protection hidden="1"/>
    </xf>
    <xf numFmtId="0" fontId="17" fillId="0" borderId="13" xfId="0" applyFont="1" applyBorder="1" applyAlignment="1">
      <alignment horizontal="center" vertical="center" wrapText="1"/>
    </xf>
    <xf numFmtId="0" fontId="8" fillId="20" borderId="16" xfId="0" applyFont="1" applyFill="1" applyBorder="1" applyAlignment="1" applyProtection="1">
      <alignment horizontal="center" vertical="center" wrapText="1"/>
      <protection hidden="1"/>
    </xf>
    <xf numFmtId="0" fontId="8" fillId="20" borderId="16" xfId="0" applyFont="1" applyFill="1" applyBorder="1" applyAlignment="1">
      <alignment horizontal="center" vertical="center" wrapText="1"/>
    </xf>
    <xf numFmtId="0" fontId="176" fillId="20" borderId="8" xfId="0" applyFont="1" applyFill="1" applyBorder="1" applyAlignment="1" applyProtection="1">
      <alignment horizontal="left" wrapText="1"/>
      <protection hidden="1"/>
    </xf>
    <xf numFmtId="0" fontId="176" fillId="20" borderId="8" xfId="0" applyFont="1" applyFill="1" applyBorder="1" applyAlignment="1">
      <alignment wrapText="1"/>
    </xf>
    <xf numFmtId="0" fontId="3" fillId="0" borderId="0" xfId="0" applyFont="1" applyAlignment="1">
      <alignment wrapText="1"/>
    </xf>
    <xf numFmtId="0" fontId="3" fillId="0" borderId="1" xfId="0" applyFont="1" applyBorder="1" applyAlignment="1">
      <alignment wrapText="1"/>
    </xf>
    <xf numFmtId="0" fontId="3" fillId="0" borderId="40" xfId="0" applyFont="1" applyBorder="1" applyAlignment="1" applyProtection="1">
      <alignment horizontal="center"/>
      <protection hidden="1"/>
    </xf>
    <xf numFmtId="0" fontId="0" fillId="0" borderId="55" xfId="0" applyBorder="1" applyAlignment="1">
      <alignment horizontal="center"/>
    </xf>
    <xf numFmtId="0" fontId="3" fillId="0" borderId="13" xfId="0" applyFont="1" applyBorder="1" applyAlignment="1" applyProtection="1">
      <alignment horizontal="center" textRotation="90" wrapText="1"/>
      <protection hidden="1"/>
    </xf>
    <xf numFmtId="0" fontId="3" fillId="0" borderId="13" xfId="0" applyFont="1" applyBorder="1" applyAlignment="1">
      <alignment horizontal="center" wrapText="1"/>
    </xf>
    <xf numFmtId="0" fontId="4" fillId="0" borderId="0" xfId="0" applyFont="1" applyAlignment="1" applyProtection="1">
      <alignment horizontal="center" vertical="center"/>
      <protection hidden="1"/>
    </xf>
    <xf numFmtId="0" fontId="4" fillId="0" borderId="0" xfId="0" applyFont="1" applyAlignment="1">
      <alignment horizontal="center" vertical="center"/>
    </xf>
    <xf numFmtId="0" fontId="0" fillId="21" borderId="10" xfId="0" applyFill="1" applyBorder="1" applyAlignment="1" applyProtection="1">
      <alignment horizontal="right"/>
      <protection hidden="1"/>
    </xf>
    <xf numFmtId="0" fontId="0" fillId="21" borderId="1" xfId="0" applyFill="1" applyBorder="1" applyAlignment="1" applyProtection="1">
      <alignment horizontal="right"/>
      <protection hidden="1"/>
    </xf>
    <xf numFmtId="0" fontId="0" fillId="21" borderId="12" xfId="0" applyFill="1" applyBorder="1" applyAlignment="1" applyProtection="1">
      <alignment horizontal="right"/>
      <protection hidden="1"/>
    </xf>
    <xf numFmtId="0" fontId="6" fillId="3" borderId="6" xfId="0" applyFont="1" applyFill="1" applyBorder="1" applyAlignment="1" applyProtection="1">
      <alignment horizontal="center" vertical="top"/>
      <protection hidden="1"/>
    </xf>
    <xf numFmtId="0" fontId="5" fillId="0" borderId="0" xfId="0" applyFont="1" applyAlignment="1" applyProtection="1">
      <alignment horizontal="center" vertical="top"/>
      <protection hidden="1"/>
    </xf>
    <xf numFmtId="0" fontId="5" fillId="0" borderId="21" xfId="0" applyFont="1" applyBorder="1" applyAlignment="1" applyProtection="1">
      <alignment horizontal="center" vertical="top"/>
      <protection hidden="1"/>
    </xf>
    <xf numFmtId="0" fontId="10" fillId="3" borderId="26" xfId="0" applyFont="1" applyFill="1" applyBorder="1" applyAlignment="1" applyProtection="1">
      <protection hidden="1"/>
    </xf>
    <xf numFmtId="0" fontId="10" fillId="3" borderId="26" xfId="0" applyFont="1" applyFill="1" applyBorder="1" applyAlignment="1" applyProtection="1">
      <alignment vertical="center"/>
      <protection hidden="1"/>
    </xf>
    <xf numFmtId="0" fontId="3" fillId="20" borderId="0" xfId="0" applyFont="1" applyFill="1" applyBorder="1" applyAlignment="1">
      <alignment horizontal="left" vertical="top" wrapText="1"/>
    </xf>
    <xf numFmtId="0" fontId="10" fillId="3" borderId="9" xfId="0" applyFont="1" applyFill="1" applyBorder="1" applyAlignment="1" applyProtection="1">
      <alignment horizontal="left" vertical="top"/>
      <protection hidden="1"/>
    </xf>
    <xf numFmtId="0" fontId="0" fillId="0" borderId="9" xfId="0" applyBorder="1" applyAlignment="1">
      <alignment horizontal="left" vertical="top"/>
    </xf>
    <xf numFmtId="0" fontId="0" fillId="0" borderId="15" xfId="0" applyBorder="1" applyAlignment="1">
      <alignment horizontal="left" vertical="top"/>
    </xf>
    <xf numFmtId="0" fontId="0" fillId="0" borderId="0" xfId="0" applyBorder="1" applyAlignment="1">
      <alignment horizontal="left" vertical="top"/>
    </xf>
    <xf numFmtId="0" fontId="0" fillId="0" borderId="25" xfId="0" applyBorder="1" applyAlignment="1">
      <alignment horizontal="left" vertical="top"/>
    </xf>
    <xf numFmtId="0" fontId="48" fillId="3" borderId="0" xfId="0" applyFont="1" applyFill="1" applyBorder="1" applyAlignment="1" applyProtection="1">
      <alignment horizontal="center" vertical="top"/>
      <protection hidden="1"/>
    </xf>
    <xf numFmtId="0" fontId="11" fillId="3" borderId="22" xfId="0" applyFont="1" applyFill="1" applyBorder="1" applyAlignment="1" applyProtection="1">
      <alignment horizontal="center" vertical="center"/>
      <protection hidden="1"/>
    </xf>
    <xf numFmtId="0" fontId="11" fillId="3" borderId="5" xfId="0" applyFont="1" applyFill="1" applyBorder="1" applyAlignment="1" applyProtection="1">
      <alignment horizontal="center" vertical="center"/>
      <protection hidden="1"/>
    </xf>
    <xf numFmtId="0" fontId="8" fillId="0" borderId="5" xfId="0" applyFont="1" applyBorder="1" applyAlignment="1" applyProtection="1">
      <alignment horizontal="center" vertical="center"/>
      <protection hidden="1"/>
    </xf>
    <xf numFmtId="0" fontId="8" fillId="0" borderId="23" xfId="0" applyFont="1" applyBorder="1" applyAlignment="1" applyProtection="1">
      <alignment horizontal="center" vertical="center"/>
      <protection hidden="1"/>
    </xf>
    <xf numFmtId="0" fontId="0" fillId="20" borderId="9" xfId="0" applyFill="1" applyBorder="1" applyAlignment="1" applyProtection="1">
      <alignment vertical="top"/>
      <protection hidden="1"/>
    </xf>
    <xf numFmtId="0" fontId="0" fillId="20" borderId="15" xfId="0" applyFill="1" applyBorder="1" applyAlignment="1" applyProtection="1">
      <alignment vertical="top"/>
      <protection hidden="1"/>
    </xf>
    <xf numFmtId="0" fontId="3" fillId="20" borderId="9" xfId="0" applyFont="1" applyFill="1" applyBorder="1" applyAlignment="1" applyProtection="1">
      <alignment vertical="top" wrapText="1"/>
      <protection hidden="1"/>
    </xf>
    <xf numFmtId="1" fontId="0" fillId="21" borderId="72" xfId="0" applyNumberFormat="1" applyFill="1" applyBorder="1" applyAlignment="1" applyProtection="1">
      <alignment horizontal="center"/>
      <protection locked="0"/>
    </xf>
    <xf numFmtId="1" fontId="0" fillId="21" borderId="5" xfId="0" applyNumberFormat="1" applyFill="1" applyBorder="1" applyAlignment="1" applyProtection="1">
      <alignment horizontal="center"/>
      <protection locked="0"/>
    </xf>
    <xf numFmtId="1" fontId="0" fillId="0" borderId="5" xfId="0" applyNumberFormat="1" applyBorder="1" applyAlignment="1" applyProtection="1">
      <alignment horizontal="center"/>
      <protection locked="0"/>
    </xf>
    <xf numFmtId="1" fontId="0" fillId="0" borderId="73" xfId="0" applyNumberFormat="1" applyBorder="1" applyAlignment="1" applyProtection="1">
      <alignment horizontal="center"/>
      <protection locked="0"/>
    </xf>
    <xf numFmtId="191" fontId="0" fillId="21" borderId="72" xfId="0" applyNumberFormat="1" applyFill="1" applyBorder="1" applyAlignment="1" applyProtection="1">
      <alignment horizontal="center"/>
      <protection locked="0"/>
    </xf>
    <xf numFmtId="191" fontId="0" fillId="21" borderId="5" xfId="0" applyNumberFormat="1" applyFill="1" applyBorder="1" applyAlignment="1" applyProtection="1">
      <alignment horizontal="center"/>
      <protection locked="0"/>
    </xf>
    <xf numFmtId="191" fontId="0" fillId="0" borderId="5" xfId="0" applyNumberFormat="1" applyBorder="1" applyAlignment="1" applyProtection="1">
      <alignment horizontal="center"/>
      <protection locked="0"/>
    </xf>
    <xf numFmtId="191" fontId="0" fillId="0" borderId="73" xfId="0" applyNumberFormat="1" applyBorder="1" applyAlignment="1" applyProtection="1">
      <alignment horizontal="center"/>
      <protection locked="0"/>
    </xf>
    <xf numFmtId="1" fontId="0" fillId="21" borderId="10" xfId="0" applyNumberFormat="1" applyFill="1" applyBorder="1" applyAlignment="1" applyProtection="1">
      <alignment horizontal="center"/>
      <protection locked="0"/>
    </xf>
    <xf numFmtId="1" fontId="0" fillId="21" borderId="1" xfId="0" applyNumberFormat="1" applyFill="1" applyBorder="1" applyAlignment="1" applyProtection="1">
      <alignment horizontal="center"/>
      <protection locked="0"/>
    </xf>
    <xf numFmtId="1" fontId="0" fillId="0" borderId="1" xfId="0" applyNumberFormat="1" applyBorder="1" applyAlignment="1" applyProtection="1">
      <alignment horizontal="center"/>
      <protection locked="0"/>
    </xf>
    <xf numFmtId="1" fontId="0" fillId="0" borderId="12" xfId="0" applyNumberFormat="1" applyBorder="1" applyAlignment="1" applyProtection="1">
      <alignment horizontal="center"/>
      <protection locked="0"/>
    </xf>
    <xf numFmtId="191" fontId="0" fillId="21" borderId="10" xfId="0" applyNumberFormat="1" applyFill="1" applyBorder="1" applyAlignment="1" applyProtection="1">
      <alignment horizontal="center"/>
      <protection locked="0"/>
    </xf>
    <xf numFmtId="191" fontId="0" fillId="21" borderId="1" xfId="0" applyNumberFormat="1" applyFill="1" applyBorder="1" applyAlignment="1" applyProtection="1">
      <alignment horizontal="center"/>
      <protection locked="0"/>
    </xf>
    <xf numFmtId="191" fontId="0" fillId="0" borderId="1" xfId="0" applyNumberFormat="1" applyBorder="1" applyAlignment="1" applyProtection="1">
      <alignment horizontal="center"/>
      <protection locked="0"/>
    </xf>
    <xf numFmtId="191" fontId="0" fillId="0" borderId="12" xfId="0" applyNumberFormat="1" applyBorder="1" applyAlignment="1" applyProtection="1">
      <alignment horizontal="center"/>
      <protection locked="0"/>
    </xf>
    <xf numFmtId="49" fontId="0" fillId="21" borderId="1" xfId="0" applyNumberFormat="1" applyFill="1" applyBorder="1" applyAlignment="1" applyProtection="1">
      <alignment horizontal="center"/>
      <protection locked="0"/>
    </xf>
    <xf numFmtId="49" fontId="0" fillId="0" borderId="1" xfId="0" applyNumberFormat="1" applyBorder="1" applyAlignment="1" applyProtection="1">
      <alignment horizontal="center"/>
      <protection locked="0"/>
    </xf>
    <xf numFmtId="49" fontId="0" fillId="0" borderId="12" xfId="0" applyNumberFormat="1" applyBorder="1" applyAlignment="1" applyProtection="1">
      <alignment horizontal="center"/>
      <protection locked="0"/>
    </xf>
    <xf numFmtId="166" fontId="16" fillId="21" borderId="10" xfId="0" applyNumberFormat="1" applyFont="1" applyFill="1" applyBorder="1" applyAlignment="1" applyProtection="1">
      <alignment horizontal="center"/>
      <protection locked="0"/>
    </xf>
    <xf numFmtId="166" fontId="16" fillId="21" borderId="1" xfId="0" applyNumberFormat="1" applyFont="1" applyFill="1" applyBorder="1" applyAlignment="1" applyProtection="1">
      <alignment horizontal="center"/>
      <protection locked="0"/>
    </xf>
    <xf numFmtId="166" fontId="16" fillId="0" borderId="1" xfId="0" applyNumberFormat="1" applyFont="1" applyBorder="1" applyAlignment="1" applyProtection="1">
      <alignment horizontal="center"/>
      <protection locked="0"/>
    </xf>
    <xf numFmtId="166" fontId="16" fillId="0" borderId="12" xfId="0" applyNumberFormat="1" applyFont="1" applyBorder="1" applyAlignment="1" applyProtection="1">
      <alignment horizontal="center"/>
      <protection locked="0"/>
    </xf>
    <xf numFmtId="191" fontId="3" fillId="21" borderId="10" xfId="0" applyNumberFormat="1" applyFont="1" applyFill="1" applyBorder="1" applyAlignment="1" applyProtection="1">
      <alignment horizontal="center"/>
      <protection locked="0"/>
    </xf>
    <xf numFmtId="0" fontId="1" fillId="0" borderId="9" xfId="0" applyFont="1" applyBorder="1" applyAlignment="1" applyProtection="1">
      <alignment horizontal="left" vertical="center" wrapText="1"/>
      <protection hidden="1"/>
    </xf>
    <xf numFmtId="0" fontId="1" fillId="0" borderId="9" xfId="0" applyFont="1" applyBorder="1" applyAlignment="1" applyProtection="1">
      <alignment horizontal="left" vertical="center"/>
      <protection hidden="1"/>
    </xf>
    <xf numFmtId="0" fontId="1" fillId="0" borderId="15" xfId="0" applyFont="1" applyBorder="1" applyAlignment="1" applyProtection="1">
      <alignment horizontal="left" vertical="center"/>
      <protection hidden="1"/>
    </xf>
    <xf numFmtId="0" fontId="1" fillId="0" borderId="0" xfId="0" applyFont="1" applyBorder="1" applyAlignment="1" applyProtection="1">
      <alignment horizontal="left" vertical="center"/>
      <protection hidden="1"/>
    </xf>
    <xf numFmtId="0" fontId="1" fillId="0" borderId="25" xfId="0" applyFont="1" applyBorder="1" applyAlignment="1" applyProtection="1">
      <alignment horizontal="left" vertical="center"/>
      <protection hidden="1"/>
    </xf>
    <xf numFmtId="0" fontId="1" fillId="0" borderId="1" xfId="0" applyFont="1"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1" fillId="28" borderId="31" xfId="0" applyFont="1" applyFill="1" applyBorder="1" applyAlignment="1" applyProtection="1">
      <alignment horizontal="center" vertical="center"/>
      <protection hidden="1"/>
    </xf>
    <xf numFmtId="0" fontId="1" fillId="28" borderId="9" xfId="0" applyFont="1" applyFill="1" applyBorder="1" applyAlignment="1" applyProtection="1">
      <alignment horizontal="center" vertical="center"/>
      <protection hidden="1"/>
    </xf>
    <xf numFmtId="0" fontId="1" fillId="28" borderId="15" xfId="0" applyFont="1" applyFill="1" applyBorder="1" applyAlignment="1" applyProtection="1">
      <alignment horizontal="center" vertical="center"/>
      <protection hidden="1"/>
    </xf>
    <xf numFmtId="0" fontId="1" fillId="28" borderId="3" xfId="0" applyFont="1" applyFill="1" applyBorder="1" applyAlignment="1" applyProtection="1">
      <alignment horizontal="center" vertical="center"/>
      <protection hidden="1"/>
    </xf>
    <xf numFmtId="0" fontId="1" fillId="28" borderId="0" xfId="0" applyFont="1" applyFill="1" applyBorder="1" applyAlignment="1" applyProtection="1">
      <alignment horizontal="center" vertical="center"/>
      <protection hidden="1"/>
    </xf>
    <xf numFmtId="0" fontId="1" fillId="28" borderId="25" xfId="0" applyFont="1" applyFill="1" applyBorder="1" applyAlignment="1" applyProtection="1">
      <alignment horizontal="center" vertical="center"/>
      <protection hidden="1"/>
    </xf>
    <xf numFmtId="0" fontId="1" fillId="28" borderId="31" xfId="0" applyFont="1" applyFill="1" applyBorder="1" applyAlignment="1" applyProtection="1">
      <alignment horizontal="center" vertical="center" wrapText="1"/>
      <protection hidden="1"/>
    </xf>
    <xf numFmtId="10" fontId="0" fillId="21" borderId="10" xfId="0" applyNumberFormat="1" applyFill="1" applyBorder="1" applyAlignment="1" applyProtection="1">
      <alignment horizontal="center"/>
      <protection locked="0"/>
    </xf>
    <xf numFmtId="10" fontId="0" fillId="21" borderId="1" xfId="0" applyNumberFormat="1" applyFill="1" applyBorder="1" applyAlignment="1" applyProtection="1">
      <alignment horizontal="center"/>
      <protection locked="0"/>
    </xf>
    <xf numFmtId="10" fontId="0" fillId="0" borderId="1" xfId="0" applyNumberFormat="1" applyBorder="1" applyAlignment="1" applyProtection="1">
      <alignment horizontal="center"/>
      <protection locked="0"/>
    </xf>
    <xf numFmtId="10" fontId="0" fillId="0" borderId="12" xfId="0" applyNumberFormat="1" applyBorder="1" applyAlignment="1" applyProtection="1">
      <alignment horizontal="center"/>
      <protection locked="0"/>
    </xf>
    <xf numFmtId="0" fontId="1" fillId="0" borderId="1" xfId="0" applyFont="1" applyBorder="1" applyAlignment="1" applyProtection="1">
      <alignment horizontal="right"/>
      <protection hidden="1"/>
    </xf>
    <xf numFmtId="0" fontId="1" fillId="0" borderId="28" xfId="0" applyFont="1" applyBorder="1" applyAlignment="1" applyProtection="1">
      <alignment horizontal="right"/>
      <protection hidden="1"/>
    </xf>
    <xf numFmtId="37" fontId="6" fillId="33" borderId="40" xfId="0" applyNumberFormat="1" applyFont="1" applyFill="1" applyBorder="1" applyAlignment="1" applyProtection="1">
      <alignment horizontal="right"/>
      <protection hidden="1"/>
    </xf>
    <xf numFmtId="0" fontId="1" fillId="0" borderId="26" xfId="0" applyFont="1" applyBorder="1" applyAlignment="1" applyProtection="1">
      <alignment horizontal="right"/>
      <protection hidden="1"/>
    </xf>
    <xf numFmtId="3" fontId="1" fillId="30" borderId="13" xfId="0" applyNumberFormat="1" applyFont="1" applyFill="1" applyBorder="1" applyAlignment="1" applyProtection="1">
      <protection hidden="1"/>
    </xf>
    <xf numFmtId="3" fontId="1" fillId="21" borderId="13" xfId="0" applyNumberFormat="1" applyFont="1" applyFill="1" applyBorder="1" applyAlignment="1" applyProtection="1">
      <alignment horizontal="right"/>
      <protection locked="0"/>
    </xf>
    <xf numFmtId="3" fontId="1" fillId="21" borderId="40" xfId="0" applyNumberFormat="1" applyFont="1" applyFill="1" applyBorder="1" applyAlignment="1" applyProtection="1">
      <alignment horizontal="right"/>
      <protection locked="0"/>
    </xf>
    <xf numFmtId="0" fontId="3" fillId="20" borderId="32" xfId="0" applyFont="1" applyFill="1" applyBorder="1" applyAlignment="1" applyProtection="1">
      <alignment horizontal="left"/>
      <protection hidden="1"/>
    </xf>
    <xf numFmtId="3" fontId="1" fillId="21" borderId="52" xfId="0" applyNumberFormat="1" applyFont="1" applyFill="1" applyBorder="1" applyAlignment="1" applyProtection="1">
      <protection locked="0"/>
    </xf>
    <xf numFmtId="3" fontId="1" fillId="21" borderId="53" xfId="0" applyNumberFormat="1" applyFont="1" applyFill="1" applyBorder="1" applyAlignment="1" applyProtection="1">
      <alignment horizontal="right" indent="1"/>
      <protection locked="0" hidden="1"/>
    </xf>
    <xf numFmtId="3" fontId="1" fillId="21" borderId="32" xfId="0" applyNumberFormat="1" applyFont="1" applyFill="1" applyBorder="1" applyAlignment="1" applyProtection="1">
      <alignment horizontal="right" indent="1"/>
      <protection locked="0" hidden="1"/>
    </xf>
    <xf numFmtId="3" fontId="1" fillId="21" borderId="77" xfId="0" applyNumberFormat="1" applyFont="1" applyFill="1" applyBorder="1" applyAlignment="1" applyProtection="1">
      <alignment horizontal="right" indent="1"/>
      <protection locked="0" hidden="1"/>
    </xf>
    <xf numFmtId="3" fontId="1" fillId="30" borderId="52" xfId="0" applyNumberFormat="1" applyFont="1" applyFill="1" applyBorder="1" applyAlignment="1" applyProtection="1">
      <protection hidden="1"/>
    </xf>
    <xf numFmtId="3" fontId="1" fillId="21" borderId="16" xfId="0" applyNumberFormat="1" applyFont="1" applyFill="1" applyBorder="1" applyAlignment="1" applyProtection="1">
      <alignment horizontal="right"/>
      <protection locked="0"/>
    </xf>
    <xf numFmtId="3" fontId="1" fillId="21" borderId="31" xfId="0" applyNumberFormat="1" applyFont="1" applyFill="1" applyBorder="1" applyAlignment="1" applyProtection="1">
      <alignment horizontal="right"/>
      <protection locked="0"/>
    </xf>
    <xf numFmtId="0" fontId="3" fillId="20" borderId="26" xfId="0" applyFont="1" applyFill="1" applyBorder="1" applyAlignment="1" applyProtection="1">
      <alignment horizontal="left"/>
      <protection hidden="1"/>
    </xf>
    <xf numFmtId="3" fontId="1" fillId="21" borderId="13" xfId="0" applyNumberFormat="1" applyFont="1" applyFill="1" applyBorder="1" applyAlignment="1" applyProtection="1">
      <protection locked="0"/>
    </xf>
    <xf numFmtId="3" fontId="1" fillId="21" borderId="40" xfId="0" applyNumberFormat="1" applyFont="1" applyFill="1" applyBorder="1" applyAlignment="1" applyProtection="1">
      <alignment horizontal="right" indent="1"/>
      <protection locked="0" hidden="1"/>
    </xf>
    <xf numFmtId="3" fontId="1" fillId="21" borderId="26" xfId="0" applyNumberFormat="1" applyFont="1" applyFill="1" applyBorder="1" applyAlignment="1" applyProtection="1">
      <alignment horizontal="right" indent="1"/>
      <protection locked="0" hidden="1"/>
    </xf>
    <xf numFmtId="3" fontId="1" fillId="21" borderId="55" xfId="0" applyNumberFormat="1" applyFont="1" applyFill="1" applyBorder="1" applyAlignment="1" applyProtection="1">
      <alignment horizontal="right" indent="1"/>
      <protection locked="0" hidden="1"/>
    </xf>
    <xf numFmtId="0" fontId="16" fillId="0" borderId="9" xfId="0" applyFont="1" applyBorder="1" applyAlignment="1" applyProtection="1">
      <alignment horizontal="center" vertical="center" wrapText="1"/>
      <protection hidden="1"/>
    </xf>
    <xf numFmtId="0" fontId="16" fillId="0" borderId="9" xfId="0" applyFont="1" applyBorder="1" applyAlignment="1" applyProtection="1">
      <alignment horizontal="center" vertical="center"/>
      <protection hidden="1"/>
    </xf>
    <xf numFmtId="0" fontId="16" fillId="0" borderId="0" xfId="0" applyFont="1" applyBorder="1" applyAlignment="1" applyProtection="1">
      <alignment horizontal="center" vertical="center"/>
      <protection hidden="1"/>
    </xf>
    <xf numFmtId="0" fontId="5" fillId="28" borderId="16" xfId="0" applyFont="1" applyFill="1" applyBorder="1" applyAlignment="1" applyProtection="1">
      <alignment horizontal="center" vertical="center" wrapText="1"/>
      <protection hidden="1"/>
    </xf>
    <xf numFmtId="0" fontId="5" fillId="28" borderId="16" xfId="0" applyFont="1" applyFill="1" applyBorder="1" applyAlignment="1" applyProtection="1">
      <alignment horizontal="center" vertical="center"/>
      <protection hidden="1"/>
    </xf>
    <xf numFmtId="0" fontId="5" fillId="28" borderId="7" xfId="0" applyFont="1" applyFill="1" applyBorder="1" applyAlignment="1" applyProtection="1">
      <alignment horizontal="center" vertical="center"/>
      <protection hidden="1"/>
    </xf>
    <xf numFmtId="0" fontId="5" fillId="28" borderId="31" xfId="0" applyFont="1" applyFill="1" applyBorder="1" applyAlignment="1" applyProtection="1">
      <alignment horizontal="center" vertical="center"/>
      <protection hidden="1"/>
    </xf>
    <xf numFmtId="0" fontId="5" fillId="28" borderId="3" xfId="0" applyFont="1" applyFill="1" applyBorder="1" applyAlignment="1" applyProtection="1">
      <alignment horizontal="center" vertical="center"/>
      <protection hidden="1"/>
    </xf>
    <xf numFmtId="0" fontId="3" fillId="20" borderId="26" xfId="0" applyFont="1" applyFill="1" applyBorder="1" applyAlignment="1" applyProtection="1">
      <alignment horizontal="right"/>
      <protection hidden="1"/>
    </xf>
    <xf numFmtId="0" fontId="3" fillId="0" borderId="31" xfId="0" applyFont="1" applyBorder="1" applyAlignment="1" applyProtection="1">
      <alignment vertical="center" wrapText="1"/>
      <protection hidden="1"/>
    </xf>
    <xf numFmtId="0" fontId="0" fillId="0" borderId="10" xfId="0" applyBorder="1" applyAlignment="1">
      <alignment wrapText="1"/>
    </xf>
    <xf numFmtId="0" fontId="42" fillId="20" borderId="31" xfId="0" applyFont="1" applyFill="1" applyBorder="1" applyAlignment="1" applyProtection="1">
      <alignment horizontal="left" vertical="center" wrapText="1" indent="1"/>
      <protection hidden="1"/>
    </xf>
    <xf numFmtId="0" fontId="0" fillId="0" borderId="0" xfId="0" applyBorder="1" applyAlignment="1">
      <alignment horizontal="left" vertical="center" wrapText="1" indent="1"/>
    </xf>
    <xf numFmtId="0" fontId="0" fillId="0" borderId="10" xfId="0" applyBorder="1" applyAlignment="1">
      <alignment horizontal="left" vertical="center" wrapText="1" indent="1"/>
    </xf>
    <xf numFmtId="0" fontId="0" fillId="0" borderId="1" xfId="0" applyBorder="1" applyAlignment="1">
      <alignment horizontal="left" vertical="center" wrapText="1" indent="1"/>
    </xf>
    <xf numFmtId="0" fontId="1" fillId="0" borderId="5" xfId="0" applyFont="1" applyBorder="1" applyAlignment="1" applyProtection="1">
      <alignment horizontal="right"/>
      <protection hidden="1"/>
    </xf>
    <xf numFmtId="37" fontId="6" fillId="33" borderId="5" xfId="0" applyNumberFormat="1" applyFont="1" applyFill="1" applyBorder="1" applyAlignment="1" applyProtection="1">
      <alignment horizontal="right"/>
      <protection hidden="1"/>
    </xf>
    <xf numFmtId="0" fontId="0" fillId="20" borderId="3" xfId="0" applyFill="1" applyBorder="1" applyAlignment="1" applyProtection="1">
      <protection hidden="1"/>
    </xf>
    <xf numFmtId="0" fontId="0" fillId="20" borderId="0" xfId="0" applyFill="1" applyBorder="1" applyAlignment="1" applyProtection="1">
      <protection hidden="1"/>
    </xf>
    <xf numFmtId="0" fontId="0" fillId="20" borderId="27" xfId="0" applyFill="1" applyBorder="1" applyAlignment="1" applyProtection="1">
      <alignment horizontal="center"/>
      <protection hidden="1"/>
    </xf>
    <xf numFmtId="0" fontId="161" fillId="20" borderId="31" xfId="0" applyFont="1" applyFill="1" applyBorder="1" applyAlignment="1" applyProtection="1">
      <alignment vertical="top" wrapText="1"/>
      <protection hidden="1"/>
    </xf>
    <xf numFmtId="0" fontId="0" fillId="0" borderId="0" xfId="0" applyAlignment="1">
      <alignment vertical="top" wrapText="1"/>
    </xf>
    <xf numFmtId="0" fontId="5" fillId="20" borderId="22" xfId="0" applyFont="1" applyFill="1" applyBorder="1" applyAlignment="1" applyProtection="1">
      <alignment horizontal="center"/>
      <protection hidden="1"/>
    </xf>
    <xf numFmtId="0" fontId="5" fillId="0" borderId="5"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0" fillId="20" borderId="6" xfId="0" applyFill="1" applyBorder="1" applyAlignment="1" applyProtection="1">
      <alignment horizontal="center" vertical="top"/>
      <protection hidden="1"/>
    </xf>
    <xf numFmtId="0" fontId="0" fillId="0" borderId="0" xfId="0" applyBorder="1" applyAlignment="1" applyProtection="1">
      <alignment horizontal="center" vertical="top"/>
      <protection hidden="1"/>
    </xf>
    <xf numFmtId="0" fontId="0" fillId="0" borderId="21" xfId="0" applyBorder="1" applyAlignment="1" applyProtection="1">
      <alignment horizontal="center" vertical="top"/>
      <protection hidden="1"/>
    </xf>
    <xf numFmtId="182" fontId="6" fillId="33" borderId="1" xfId="0" applyNumberFormat="1" applyFont="1" applyFill="1" applyBorder="1" applyAlignment="1" applyProtection="1">
      <alignment horizontal="right"/>
      <protection hidden="1"/>
    </xf>
    <xf numFmtId="182" fontId="1" fillId="0" borderId="1" xfId="0" applyNumberFormat="1" applyFont="1" applyBorder="1" applyAlignment="1" applyProtection="1">
      <alignment horizontal="right"/>
      <protection hidden="1"/>
    </xf>
    <xf numFmtId="0" fontId="1" fillId="30" borderId="1" xfId="0" applyFont="1" applyFill="1" applyBorder="1" applyAlignment="1" applyProtection="1">
      <alignment horizontal="right"/>
      <protection hidden="1"/>
    </xf>
    <xf numFmtId="0" fontId="5" fillId="20" borderId="9" xfId="0" applyFont="1" applyFill="1" applyBorder="1" applyAlignment="1" applyProtection="1">
      <alignment horizontal="center" vertical="center"/>
      <protection hidden="1"/>
    </xf>
    <xf numFmtId="0" fontId="5" fillId="0" borderId="0" xfId="0" applyFont="1" applyAlignment="1">
      <alignment horizontal="center" vertical="center"/>
    </xf>
    <xf numFmtId="0" fontId="181" fillId="0" borderId="0" xfId="0" applyFont="1" applyBorder="1" applyAlignment="1" applyProtection="1">
      <protection hidden="1"/>
    </xf>
    <xf numFmtId="0" fontId="213" fillId="0" borderId="133" xfId="0" applyFont="1"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vertical="center" wrapText="1"/>
    </xf>
    <xf numFmtId="0" fontId="0" fillId="0" borderId="134" xfId="0" applyBorder="1" applyAlignment="1">
      <alignment vertical="center" wrapText="1"/>
    </xf>
    <xf numFmtId="0" fontId="1" fillId="20" borderId="9" xfId="0" applyFont="1" applyFill="1" applyBorder="1" applyAlignment="1" applyProtection="1">
      <alignment horizontal="left" vertical="center" wrapText="1"/>
      <protection hidden="1"/>
    </xf>
    <xf numFmtId="0" fontId="0" fillId="0" borderId="5" xfId="0" applyBorder="1" applyAlignment="1">
      <alignment horizontal="left" vertical="center" wrapText="1"/>
    </xf>
    <xf numFmtId="0" fontId="0" fillId="0" borderId="73" xfId="0" applyBorder="1" applyAlignment="1">
      <alignment horizontal="left" vertical="center" wrapText="1"/>
    </xf>
    <xf numFmtId="0" fontId="16" fillId="20" borderId="9" xfId="0" quotePrefix="1" applyFont="1" applyFill="1" applyBorder="1" applyAlignment="1" applyProtection="1">
      <alignment horizontal="right" vertical="center" wrapText="1"/>
      <protection hidden="1"/>
    </xf>
    <xf numFmtId="0" fontId="0" fillId="0" borderId="5" xfId="0" applyBorder="1" applyAlignment="1">
      <alignment vertical="center" wrapText="1"/>
    </xf>
    <xf numFmtId="0" fontId="3" fillId="20" borderId="31" xfId="0" applyFont="1" applyFill="1" applyBorder="1" applyAlignment="1" applyProtection="1">
      <alignment horizontal="left" vertical="center" wrapText="1"/>
      <protection hidden="1"/>
    </xf>
    <xf numFmtId="0" fontId="0" fillId="20" borderId="9" xfId="0" applyFill="1" applyBorder="1" applyAlignment="1">
      <alignment horizontal="left" vertical="center" wrapText="1"/>
    </xf>
    <xf numFmtId="0" fontId="0" fillId="20" borderId="3" xfId="0" applyFill="1" applyBorder="1" applyAlignment="1">
      <alignment horizontal="left" vertical="center" wrapText="1"/>
    </xf>
    <xf numFmtId="0" fontId="0" fillId="20" borderId="0" xfId="0" applyFill="1" applyBorder="1" applyAlignment="1">
      <alignment horizontal="left" vertical="center" wrapText="1"/>
    </xf>
    <xf numFmtId="0" fontId="0" fillId="20" borderId="10" xfId="0" applyFill="1" applyBorder="1" applyAlignment="1">
      <alignment horizontal="left" vertical="center" wrapText="1"/>
    </xf>
    <xf numFmtId="0" fontId="0" fillId="20" borderId="1" xfId="0" applyFill="1"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161" fillId="20" borderId="3" xfId="0" applyFont="1" applyFill="1" applyBorder="1" applyAlignment="1" applyProtection="1">
      <protection hidden="1"/>
    </xf>
    <xf numFmtId="0" fontId="212" fillId="20" borderId="3" xfId="0" applyFont="1" applyFill="1" applyBorder="1" applyAlignment="1">
      <alignment horizontal="left" wrapText="1" indent="1"/>
    </xf>
    <xf numFmtId="0" fontId="3" fillId="0" borderId="0" xfId="0" applyFont="1" applyAlignment="1">
      <alignment horizontal="left" wrapText="1" indent="1"/>
    </xf>
    <xf numFmtId="0" fontId="3" fillId="0" borderId="25" xfId="0" applyFont="1" applyBorder="1" applyAlignment="1">
      <alignment horizontal="left" wrapText="1" indent="1"/>
    </xf>
    <xf numFmtId="0" fontId="212" fillId="20" borderId="10" xfId="0" applyFont="1" applyFill="1" applyBorder="1" applyAlignment="1">
      <alignment horizontal="left" vertical="top" wrapText="1" indent="1"/>
    </xf>
    <xf numFmtId="0" fontId="3" fillId="0" borderId="1" xfId="0" applyFont="1" applyBorder="1" applyAlignment="1">
      <alignment horizontal="left" vertical="top" wrapText="1" indent="1"/>
    </xf>
    <xf numFmtId="0" fontId="3" fillId="0" borderId="12" xfId="0" applyFont="1" applyBorder="1" applyAlignment="1">
      <alignment horizontal="left" vertical="top" wrapText="1" indent="1"/>
    </xf>
    <xf numFmtId="1" fontId="6" fillId="33" borderId="10" xfId="0" applyNumberFormat="1" applyFont="1" applyFill="1" applyBorder="1" applyAlignment="1" applyProtection="1">
      <alignment horizontal="right"/>
      <protection hidden="1"/>
    </xf>
    <xf numFmtId="3" fontId="1" fillId="21" borderId="40" xfId="0" applyNumberFormat="1" applyFont="1" applyFill="1" applyBorder="1" applyAlignment="1" applyProtection="1">
      <protection locked="0"/>
    </xf>
    <xf numFmtId="0" fontId="11" fillId="0" borderId="49" xfId="0" applyFont="1" applyBorder="1" applyAlignment="1" applyProtection="1">
      <alignment horizontal="center"/>
      <protection hidden="1"/>
    </xf>
    <xf numFmtId="0" fontId="11" fillId="0" borderId="128" xfId="0" applyFont="1" applyBorder="1" applyAlignment="1" applyProtection="1">
      <alignment horizontal="center"/>
      <protection hidden="1"/>
    </xf>
    <xf numFmtId="0" fontId="0" fillId="0" borderId="28" xfId="0" applyBorder="1" applyAlignment="1">
      <alignment horizontal="center"/>
    </xf>
    <xf numFmtId="0" fontId="0" fillId="0" borderId="129" xfId="0" applyBorder="1" applyAlignment="1">
      <alignment horizontal="center"/>
    </xf>
  </cellXfs>
  <cellStyles count="6">
    <cellStyle name="Currency" xfId="1" builtinId="4"/>
    <cellStyle name="Hyperlink" xfId="2" builtinId="8"/>
    <cellStyle name="Hyperlink 2" xfId="3"/>
    <cellStyle name="Hyperlink 3" xfId="5"/>
    <cellStyle name="Normal" xfId="0" builtinId="0"/>
    <cellStyle name="Normal 2" xfId="4"/>
  </cellStyles>
  <dxfs count="196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color rgb="FFFF0000"/>
      </font>
    </dxf>
    <dxf>
      <fill>
        <patternFill>
          <bgColor theme="0"/>
        </patternFill>
      </fill>
    </dxf>
    <dxf>
      <fill>
        <patternFill>
          <bgColor theme="0"/>
        </patternFill>
      </fill>
    </dxf>
    <dxf>
      <font>
        <color theme="4" tint="0.79998168889431442"/>
      </font>
    </dxf>
    <dxf>
      <fill>
        <patternFill>
          <bgColor theme="0"/>
        </patternFill>
      </fill>
    </dxf>
    <dxf>
      <font>
        <color theme="4" tint="0.7999816888943144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theme="0"/>
      </font>
    </dxf>
    <dxf>
      <fill>
        <patternFill>
          <bgColor theme="0"/>
        </patternFill>
      </fill>
    </dxf>
    <dxf>
      <fill>
        <patternFill>
          <bgColor theme="0"/>
        </patternFill>
      </fill>
    </dxf>
    <dxf>
      <fill>
        <patternFill>
          <bgColor theme="0"/>
        </patternFill>
      </fill>
    </dxf>
    <dxf>
      <fill>
        <patternFill>
          <bgColor theme="0"/>
        </patternFill>
      </fill>
    </dxf>
    <dxf>
      <font>
        <color theme="4" tint="0.7999816888943144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color rgb="FFFF0000"/>
      </font>
    </dxf>
    <dxf>
      <font>
        <b val="0"/>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ont>
        <b/>
        <i val="0"/>
        <color rgb="FFFF0000"/>
      </font>
    </dxf>
    <dxf>
      <font>
        <b/>
        <i val="0"/>
        <color rgb="FFFF0000"/>
      </font>
    </dxf>
    <dxf>
      <fill>
        <patternFill>
          <bgColor theme="0"/>
        </patternFill>
      </fill>
    </dxf>
    <dxf>
      <fill>
        <patternFill>
          <bgColor theme="0"/>
        </patternFill>
      </fill>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ont>
        <b val="0"/>
        <i val="0"/>
        <color rgb="FFFF0000"/>
      </font>
    </dxf>
    <dxf>
      <font>
        <b val="0"/>
        <i val="0"/>
        <color rgb="FFFF0000"/>
      </font>
    </dxf>
    <dxf>
      <font>
        <b/>
        <i val="0"/>
        <color rgb="FFFF0000"/>
      </font>
    </dxf>
    <dxf>
      <font>
        <b/>
        <i val="0"/>
        <color rgb="FFFF0000"/>
      </font>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patternFill>
      </fill>
    </dxf>
    <dxf>
      <fill>
        <patternFill>
          <bgColor theme="0"/>
        </patternFill>
      </fill>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ont>
        <b/>
        <i val="0"/>
        <color rgb="FFFF0000"/>
      </font>
    </dxf>
    <dxf>
      <font>
        <b/>
        <i val="0"/>
        <color rgb="FFFF0000"/>
      </font>
    </dxf>
    <dxf>
      <font>
        <b/>
        <i val="0"/>
        <color rgb="FFFF0000"/>
      </font>
    </dxf>
    <dxf>
      <font>
        <b/>
        <i val="0"/>
        <color rgb="FFFF0000"/>
      </font>
    </dxf>
    <dxf>
      <font>
        <b val="0"/>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ont>
        <color theme="1"/>
      </font>
    </dxf>
    <dxf>
      <font>
        <color theme="1"/>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0"/>
        </patternFill>
      </fill>
    </dxf>
    <dxf>
      <fill>
        <patternFill>
          <bgColor theme="0"/>
        </patternFill>
      </fill>
    </dxf>
    <dxf>
      <fill>
        <patternFill>
          <bgColor theme="0"/>
        </patternFill>
      </fill>
    </dxf>
    <dxf>
      <font>
        <b/>
        <i val="0"/>
        <color rgb="FFFF0000"/>
      </font>
    </dxf>
    <dxf>
      <font>
        <b/>
        <i/>
        <condense val="0"/>
        <extend val="0"/>
        <color indexed="10"/>
      </font>
    </dxf>
    <dxf>
      <font>
        <condense val="0"/>
        <extend val="0"/>
        <color indexed="10"/>
      </font>
    </dxf>
    <dxf>
      <font>
        <b/>
        <i val="0"/>
        <condense val="0"/>
        <extend val="0"/>
        <color indexed="17"/>
      </font>
    </dxf>
    <dxf>
      <font>
        <b/>
        <i val="0"/>
        <condense val="0"/>
        <extend val="0"/>
      </font>
    </dxf>
    <dxf>
      <font>
        <b/>
        <i val="0"/>
        <condense val="0"/>
        <extend val="0"/>
      </font>
    </dxf>
    <dxf>
      <font>
        <color theme="0" tint="-4.9989318521683403E-2"/>
      </font>
      <fill>
        <patternFill patternType="solid">
          <bgColor theme="0" tint="-4.9989318521683403E-2"/>
        </patternFill>
      </fill>
      <border>
        <left/>
        <right/>
        <top/>
        <bottom/>
        <vertical/>
        <horizontal/>
      </border>
    </dxf>
    <dxf>
      <fill>
        <patternFill>
          <bgColor theme="0"/>
        </patternFill>
      </fill>
    </dxf>
    <dxf>
      <fill>
        <patternFill>
          <bgColor theme="0"/>
        </patternFill>
      </fill>
    </dxf>
    <dxf>
      <font>
        <b/>
        <i val="0"/>
        <color rgb="FFC00000"/>
      </font>
    </dxf>
    <dxf>
      <font>
        <color rgb="FF00B050"/>
      </font>
    </dxf>
    <dxf>
      <font>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1"/>
      </font>
    </dxf>
    <dxf>
      <border>
        <left style="thin">
          <color auto="1"/>
        </left>
        <right style="thin">
          <color auto="1"/>
        </right>
        <top style="thin">
          <color auto="1"/>
        </top>
        <bottom style="thin">
          <color auto="1"/>
        </bottom>
        <vertical/>
        <horizontal/>
      </border>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ndense val="0"/>
        <extend val="0"/>
        <color indexed="10"/>
      </font>
    </dxf>
    <dxf>
      <font>
        <b/>
        <i val="0"/>
        <condense val="0"/>
        <extend val="0"/>
        <color indexed="10"/>
      </font>
    </dxf>
    <dxf>
      <font>
        <condense val="0"/>
        <extend val="0"/>
        <color indexed="9"/>
      </font>
    </dxf>
    <dxf>
      <font>
        <b val="0"/>
        <i val="0"/>
        <condense val="0"/>
        <extend val="0"/>
        <color indexed="10"/>
      </font>
    </dxf>
    <dxf>
      <font>
        <b/>
        <i val="0"/>
        <condense val="0"/>
        <extend val="0"/>
        <color indexed="10"/>
      </font>
    </dxf>
    <dxf>
      <font>
        <b/>
        <i val="0"/>
        <color rgb="FFFF0000"/>
      </font>
    </dxf>
    <dxf>
      <font>
        <condense val="0"/>
        <extend val="0"/>
        <color indexed="9"/>
      </font>
    </dxf>
    <dxf>
      <font>
        <b val="0"/>
        <i val="0"/>
        <condense val="0"/>
        <extend val="0"/>
        <color indexed="10"/>
      </font>
    </dxf>
    <dxf>
      <font>
        <b/>
        <i val="0"/>
        <condense val="0"/>
        <extend val="0"/>
        <color indexed="10"/>
      </font>
    </dxf>
    <dxf>
      <font>
        <condense val="0"/>
        <extend val="0"/>
        <color indexed="22"/>
      </font>
    </dxf>
    <dxf>
      <font>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auto="1"/>
        </left>
        <right style="thin">
          <color auto="1"/>
        </right>
        <top style="thin">
          <color auto="1"/>
        </top>
        <bottom style="thin">
          <color auto="1"/>
        </bottom>
        <vertical/>
        <horizontal/>
      </border>
    </dxf>
    <dxf>
      <font>
        <b/>
        <i val="0"/>
        <color theme="1"/>
      </font>
    </dxf>
    <dxf>
      <font>
        <b/>
        <i val="0"/>
        <color theme="1"/>
      </font>
    </dxf>
    <dxf>
      <border>
        <left style="thin">
          <color auto="1"/>
        </left>
        <right style="thin">
          <color auto="1"/>
        </right>
        <top style="thin">
          <color auto="1"/>
        </top>
        <bottom style="thin">
          <color auto="1"/>
        </bottom>
        <vertical/>
        <horizontal/>
      </border>
    </dxf>
    <dxf>
      <font>
        <b/>
        <i val="0"/>
        <color rgb="FFFF0000"/>
      </font>
      <fill>
        <patternFill>
          <bgColor theme="0"/>
        </patternFill>
      </fill>
    </dxf>
    <dxf>
      <border>
        <left/>
        <right style="thin">
          <color auto="1"/>
        </right>
        <top style="thin">
          <color auto="1"/>
        </top>
        <bottom/>
        <vertical/>
        <horizontal/>
      </border>
    </dxf>
    <dxf>
      <border>
        <left/>
        <right/>
        <top style="thin">
          <color auto="1"/>
        </top>
        <bottom/>
        <vertical/>
        <horizontal/>
      </border>
    </dxf>
    <dxf>
      <border>
        <left/>
        <right style="thin">
          <color auto="1"/>
        </right>
        <top/>
        <bottom style="thin">
          <color auto="1"/>
        </bottom>
        <vertical/>
        <horizontal/>
      </border>
    </dxf>
    <dxf>
      <border>
        <left/>
        <right/>
        <top/>
        <bottom style="thin">
          <color auto="1"/>
        </bottom>
        <vertical/>
        <horizontal/>
      </border>
    </dxf>
    <dxf>
      <border>
        <left/>
        <right style="thin">
          <color auto="1"/>
        </right>
        <top/>
        <bottom/>
        <vertical/>
        <horizontal/>
      </border>
    </dxf>
    <dxf>
      <border>
        <left style="thin">
          <color auto="1"/>
        </left>
        <right/>
        <top/>
        <bottom/>
        <vertical/>
        <horizontal/>
      </border>
    </dxf>
    <dxf>
      <border>
        <left style="thin">
          <color auto="1"/>
        </left>
        <right/>
        <top style="thin">
          <color auto="1"/>
        </top>
        <bottom/>
        <vertical/>
        <horizontal/>
      </border>
    </dxf>
    <dxf>
      <border>
        <left style="thin">
          <color auto="1"/>
        </left>
        <right/>
        <top/>
        <bottom style="thin">
          <color auto="1"/>
        </bottom>
        <vertical/>
        <horizontal/>
      </border>
    </dxf>
    <dxf>
      <fill>
        <patternFill>
          <bgColor theme="0"/>
        </patternFill>
      </fill>
    </dxf>
    <dxf>
      <font>
        <color theme="1"/>
      </font>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dxf>
    <dxf>
      <font>
        <strike val="0"/>
        <color auto="1"/>
      </font>
    </dxf>
    <dxf>
      <font>
        <strike val="0"/>
        <color auto="1"/>
      </font>
      <border>
        <left style="thin">
          <color auto="1"/>
        </left>
        <right style="thin">
          <color auto="1"/>
        </right>
        <top style="thin">
          <color auto="1"/>
        </top>
        <bottom style="thin">
          <color auto="1"/>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strike val="0"/>
        <color auto="1"/>
      </font>
    </dxf>
    <dxf>
      <border>
        <left style="thin">
          <color auto="1"/>
        </left>
        <right style="thin">
          <color auto="1"/>
        </right>
        <top style="thin">
          <color auto="1"/>
        </top>
        <bottom style="thin">
          <color auto="1"/>
        </bottom>
        <vertical/>
        <horizontal/>
      </border>
    </dxf>
    <dxf>
      <font>
        <color auto="1"/>
      </font>
      <border>
        <left style="thin">
          <color auto="1"/>
        </left>
        <right style="thin">
          <color auto="1"/>
        </right>
        <top style="thin">
          <color auto="1"/>
        </top>
        <bottom style="thin">
          <color auto="1"/>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59996337778862885"/>
      </font>
    </dxf>
    <dxf>
      <font>
        <color theme="4" tint="0.59996337778862885"/>
      </font>
    </dxf>
    <dxf>
      <font>
        <color theme="4" tint="0.59996337778862885"/>
      </font>
    </dxf>
    <dxf>
      <fill>
        <patternFill>
          <bgColor theme="0"/>
        </patternFill>
      </fill>
    </dxf>
    <dxf>
      <fill>
        <patternFill>
          <bgColor theme="0"/>
        </patternFill>
      </fill>
    </dxf>
    <dxf>
      <fill>
        <patternFill>
          <bgColor theme="0"/>
        </patternFill>
      </fill>
    </dxf>
    <dxf>
      <fill>
        <patternFill patternType="solid"/>
      </fill>
    </dxf>
    <dxf>
      <font>
        <b/>
        <i val="0"/>
      </font>
    </dxf>
    <dxf>
      <fill>
        <patternFill>
          <bgColor theme="0"/>
        </patternFill>
      </fill>
    </dxf>
    <dxf>
      <font>
        <color rgb="FFC00000"/>
      </font>
    </dxf>
    <dxf>
      <font>
        <color rgb="FFC00000"/>
      </font>
    </dxf>
    <dxf>
      <font>
        <b/>
        <i val="0"/>
        <color rgb="FFC00000"/>
      </font>
      <fill>
        <patternFill patternType="solid">
          <bgColor theme="0"/>
        </patternFill>
      </fill>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59996337778862885"/>
      </font>
    </dxf>
    <dxf>
      <font>
        <color theme="4" tint="0.59996337778862885"/>
      </font>
    </dxf>
    <dxf>
      <font>
        <color theme="0"/>
      </font>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59996337778862885"/>
      </font>
    </dxf>
    <dxf>
      <font>
        <color theme="4" tint="0.59996337778862885"/>
      </font>
    </dxf>
    <dxf>
      <font>
        <color theme="4" tint="0.59996337778862885"/>
      </font>
    </dxf>
    <dxf>
      <font>
        <color theme="4" tint="0.59996337778862885"/>
      </font>
    </dxf>
    <dxf>
      <font>
        <color theme="4" tint="0.59996337778862885"/>
      </font>
    </dxf>
    <dxf>
      <font>
        <color theme="4" tint="0.59996337778862885"/>
      </font>
    </dxf>
    <dxf>
      <font>
        <color theme="4" tint="0.59996337778862885"/>
      </font>
    </dxf>
    <dxf>
      <font>
        <color theme="4" tint="0.59996337778862885"/>
      </font>
    </dxf>
    <dxf>
      <font>
        <color theme="4" tint="0.59996337778862885"/>
      </font>
    </dxf>
    <dxf>
      <font>
        <color theme="4" tint="0.59996337778862885"/>
      </font>
    </dxf>
    <dxf>
      <font>
        <color theme="4" tint="0.59996337778862885"/>
      </font>
    </dxf>
    <dxf>
      <font>
        <color theme="0"/>
      </font>
    </dxf>
    <dxf>
      <fill>
        <patternFill>
          <bgColor theme="0"/>
        </patternFill>
      </fill>
    </dxf>
    <dxf>
      <fill>
        <patternFill>
          <bgColor theme="0"/>
        </patternFill>
      </fill>
    </dxf>
    <dxf>
      <fill>
        <patternFill>
          <bgColor theme="0"/>
        </patternFill>
      </fill>
    </dxf>
    <dxf>
      <font>
        <color theme="4" tint="0.59996337778862885"/>
      </font>
    </dxf>
    <dxf>
      <font>
        <color theme="4" tint="0.59996337778862885"/>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color rgb="FFFF0000"/>
      </font>
    </dxf>
    <dxf>
      <font>
        <b/>
        <i val="0"/>
        <color rgb="FFFF0000"/>
      </font>
    </dxf>
    <dxf>
      <font>
        <b/>
        <i val="0"/>
        <color rgb="FFFF0000"/>
      </font>
    </dxf>
    <dxf>
      <font>
        <color rgb="FFFF0000"/>
      </font>
    </dxf>
    <dxf>
      <font>
        <b/>
        <i val="0"/>
        <color rgb="FFFF0000"/>
      </font>
    </dxf>
    <dxf>
      <font>
        <color rgb="FFFF0000"/>
      </font>
    </dxf>
    <dxf>
      <font>
        <b/>
        <i val="0"/>
        <color rgb="FFFF0000"/>
      </font>
    </dxf>
    <dxf>
      <font>
        <b/>
        <i val="0"/>
        <color rgb="FFFF0000"/>
      </font>
    </dxf>
    <dxf>
      <font>
        <color rgb="FFFF0000"/>
      </font>
    </dxf>
    <dxf>
      <font>
        <color rgb="FFFF0000"/>
      </font>
    </dxf>
    <dxf>
      <font>
        <color rgb="FFFF0000"/>
      </font>
    </dxf>
    <dxf>
      <font>
        <color theme="4" tint="0.7999816888943144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lightUp"/>
      </fill>
    </dxf>
    <dxf>
      <fill>
        <patternFill>
          <bgColor theme="0"/>
        </patternFill>
      </fill>
    </dxf>
    <dxf>
      <fill>
        <patternFill>
          <bgColor theme="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theme="0"/>
        </patternFill>
      </fill>
    </dxf>
    <dxf>
      <fill>
        <patternFill>
          <bgColor theme="0"/>
        </patternFill>
      </fill>
    </dxf>
    <dxf>
      <fill>
        <patternFill patternType="lightUp"/>
      </fill>
    </dxf>
    <dxf>
      <font>
        <color rgb="FFFF0000"/>
      </font>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ont>
        <color theme="4" tint="0.59996337778862885"/>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ont>
        <color theme="4" tint="0.79998168889431442"/>
      </font>
    </dxf>
    <dxf>
      <fill>
        <patternFill>
          <bgColor theme="0"/>
        </patternFill>
      </fill>
    </dxf>
    <dxf>
      <fill>
        <patternFill>
          <bgColor theme="0"/>
        </patternFill>
      </fill>
    </dxf>
    <dxf>
      <fill>
        <patternFill>
          <bgColor theme="0"/>
        </patternFill>
      </fill>
    </dxf>
    <dxf>
      <font>
        <condense val="0"/>
        <extend val="0"/>
        <color indexed="9"/>
      </font>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79998168889431442"/>
      </font>
    </dxf>
    <dxf>
      <font>
        <condense val="0"/>
        <extend val="0"/>
        <color indexed="9"/>
      </font>
    </dxf>
    <dxf>
      <font>
        <b/>
        <i val="0"/>
        <condense val="0"/>
        <extend val="0"/>
        <color indexed="10"/>
      </font>
    </dxf>
    <dxf>
      <font>
        <condense val="0"/>
        <extend val="0"/>
        <color indexed="9"/>
      </font>
    </dxf>
    <dxf>
      <font>
        <b/>
        <i val="0"/>
        <condense val="0"/>
        <extend val="0"/>
        <color indexed="10"/>
      </font>
    </dxf>
    <dxf>
      <font>
        <condense val="0"/>
        <extend val="0"/>
      </font>
      <fill>
        <patternFill>
          <bgColor indexed="9"/>
        </patternFill>
      </fill>
    </dxf>
    <dxf>
      <fill>
        <patternFill patternType="lightUp"/>
      </fill>
    </dxf>
    <dxf>
      <fill>
        <patternFill patternType="solid">
          <fgColor theme="0"/>
        </patternFill>
      </fill>
    </dxf>
    <dxf>
      <fill>
        <patternFill patternType="solid">
          <fgColor theme="0"/>
        </patternFill>
      </fill>
    </dxf>
    <dxf>
      <fill>
        <patternFill patternType="solid">
          <fgColor theme="0"/>
        </patternFill>
      </fill>
    </dxf>
    <dxf>
      <fill>
        <patternFill patternType="solid">
          <fgColor theme="0"/>
        </patternFill>
      </fill>
    </dxf>
    <dxf>
      <fill>
        <patternFill patternType="solid">
          <fgColor theme="0"/>
        </patternFill>
      </fill>
    </dxf>
    <dxf>
      <fill>
        <patternFill patternType="solid">
          <fgColor theme="0"/>
        </patternFill>
      </fill>
    </dxf>
    <dxf>
      <fill>
        <patternFill patternType="solid">
          <fgColor theme="0"/>
        </patternFill>
      </fill>
    </dxf>
    <dxf>
      <fill>
        <patternFill patternType="solid">
          <fgColor theme="0"/>
        </patternFill>
      </fill>
    </dxf>
    <dxf>
      <fill>
        <patternFill patternType="lightUp"/>
      </fill>
      <border>
        <left/>
        <right/>
        <top/>
        <bottom/>
        <vertical/>
        <horizontal/>
      </border>
    </dxf>
    <dxf>
      <fill>
        <patternFill>
          <bgColor indexed="22"/>
        </patternFill>
      </fill>
      <border>
        <left/>
        <right/>
        <top/>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rgb="FFFF0000"/>
      </font>
    </dxf>
    <dxf>
      <font>
        <b/>
        <i val="0"/>
        <condense val="0"/>
        <extend val="0"/>
        <color indexed="10"/>
      </font>
    </dxf>
    <dxf>
      <fill>
        <patternFill patternType="solid">
          <bgColor indexed="9"/>
        </patternFill>
      </fill>
    </dxf>
    <dxf>
      <font>
        <color theme="4" tint="0.79998168889431442"/>
      </font>
    </dxf>
    <dxf>
      <font>
        <condense val="0"/>
        <extend val="0"/>
        <color indexed="9"/>
      </font>
    </dxf>
    <dxf>
      <font>
        <b/>
        <i val="0"/>
        <condense val="0"/>
        <extend val="0"/>
        <color indexed="10"/>
      </font>
    </dxf>
    <dxf>
      <font>
        <condense val="0"/>
        <extend val="0"/>
        <color indexed="9"/>
      </font>
    </dxf>
    <dxf>
      <font>
        <b/>
        <i val="0"/>
        <condense val="0"/>
        <extend val="0"/>
        <color indexed="10"/>
      </font>
    </dxf>
    <dxf>
      <font>
        <condense val="0"/>
        <extend val="0"/>
      </font>
      <fill>
        <patternFill>
          <bgColor indexed="9"/>
        </patternFill>
      </fill>
    </dxf>
    <dxf>
      <fill>
        <patternFill patternType="lightUp"/>
      </fill>
    </dxf>
    <dxf>
      <fill>
        <patternFill patternType="lightUp"/>
      </fill>
    </dxf>
    <dxf>
      <fill>
        <patternFill patternType="lightUp"/>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ill>
        <patternFill>
          <bgColor theme="0"/>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ill>
        <patternFill>
          <bgColor theme="0"/>
        </patternFill>
      </fill>
    </dxf>
    <dxf>
      <fill>
        <patternFill>
          <bgColor indexed="47"/>
        </patternFill>
      </fill>
    </dxf>
    <dxf>
      <font>
        <color rgb="FFFF0000"/>
      </font>
    </dxf>
    <dxf>
      <fill>
        <patternFill>
          <bgColor theme="0"/>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indexed="47"/>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ont>
        <b/>
        <i val="0"/>
        <color rgb="FFFF0000"/>
      </font>
    </dxf>
    <dxf>
      <font>
        <color theme="0"/>
      </font>
    </dxf>
    <dxf>
      <font>
        <color theme="0"/>
      </font>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ont>
        <b/>
        <i val="0"/>
        <color rgb="FFFF0000"/>
      </font>
    </dxf>
    <dxf>
      <font>
        <b/>
        <i val="0"/>
        <color rgb="FFFF0000"/>
      </font>
    </dxf>
    <dxf>
      <font>
        <color rgb="FFFF0000"/>
      </font>
    </dxf>
    <dxf>
      <font>
        <color rgb="FFFF0000"/>
      </font>
    </dxf>
    <dxf>
      <font>
        <color rgb="FFFF0000"/>
      </font>
    </dxf>
    <dxf>
      <fill>
        <patternFill>
          <bgColor indexed="47"/>
        </patternFill>
      </fill>
    </dxf>
    <dxf>
      <font>
        <color rgb="FFFF0000"/>
      </font>
    </dxf>
    <dxf>
      <font>
        <b/>
        <i val="0"/>
        <color rgb="FFFF0000"/>
      </font>
    </dxf>
    <dxf>
      <font>
        <b/>
        <i val="0"/>
        <condense val="0"/>
        <extend val="0"/>
        <color indexed="17"/>
      </font>
    </dxf>
    <dxf>
      <fill>
        <patternFill>
          <bgColor indexed="47"/>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ndense val="0"/>
        <extend val="0"/>
        <color indexed="10"/>
      </font>
    </dxf>
    <dxf>
      <font>
        <b/>
        <i val="0"/>
        <condense val="0"/>
        <extend val="0"/>
        <color indexed="10"/>
      </font>
    </dxf>
    <dxf>
      <font>
        <b/>
        <i val="0"/>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ont>
        <b/>
        <i val="0"/>
        <color rgb="FFFF0000"/>
      </font>
    </dxf>
    <dxf>
      <font>
        <b/>
        <i val="0"/>
        <color rgb="FFFF0000"/>
      </font>
      <border>
        <bottom/>
      </border>
    </dxf>
    <dxf>
      <fill>
        <patternFill>
          <bgColor theme="0"/>
        </patternFill>
      </fill>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ont>
        <b/>
        <i val="0"/>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patternFill>
      </fill>
      <border>
        <left style="thin">
          <color auto="1"/>
        </left>
        <right style="thin">
          <color auto="1"/>
        </right>
        <top style="thin">
          <color auto="1"/>
        </top>
        <bottom style="thin">
          <color auto="1"/>
        </bottom>
        <vertical/>
        <horizontal/>
      </border>
    </dxf>
    <dxf>
      <font>
        <b/>
        <i val="0"/>
        <color rgb="FFFF0000"/>
      </font>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ndense val="0"/>
        <extend val="0"/>
        <color indexed="17"/>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rgb="FF008000"/>
      </font>
    </dxf>
    <dxf>
      <font>
        <b/>
        <i val="0"/>
        <color rgb="FF008000"/>
      </font>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rgb="FFFF0000"/>
      </font>
    </dxf>
    <dxf>
      <font>
        <b/>
        <i val="0"/>
        <color rgb="FFFF0000"/>
      </font>
    </dxf>
    <dxf>
      <font>
        <b/>
        <i val="0"/>
        <color rgb="FFFF0000"/>
      </font>
    </dxf>
    <dxf>
      <font>
        <b/>
        <i val="0"/>
        <color rgb="FFFF0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ndense val="0"/>
        <extend val="0"/>
        <color indexed="17"/>
      </font>
    </dxf>
    <dxf>
      <font>
        <b/>
        <i val="0"/>
        <color theme="3" tint="0.39991454817346722"/>
      </font>
    </dxf>
    <dxf>
      <font>
        <b/>
        <i val="0"/>
        <color theme="3" tint="0.39991454817346722"/>
      </font>
    </dxf>
    <dxf>
      <font>
        <b/>
        <i val="0"/>
        <color rgb="FFFF0000"/>
      </font>
    </dxf>
    <dxf>
      <font>
        <color theme="3" tint="0.39994506668294322"/>
      </font>
    </dxf>
    <dxf>
      <font>
        <b/>
        <i val="0"/>
        <color rgb="FF008000"/>
      </font>
    </dxf>
    <dxf>
      <font>
        <color theme="3" tint="0.39994506668294322"/>
      </font>
    </dxf>
    <dxf>
      <font>
        <color theme="3" tint="0.39994506668294322"/>
      </font>
    </dxf>
    <dxf>
      <font>
        <color theme="3" tint="0.39994506668294322"/>
      </font>
    </dxf>
    <dxf>
      <font>
        <color theme="3" tint="0.39994506668294322"/>
      </font>
    </dxf>
    <dxf>
      <font>
        <color rgb="FFFF0000"/>
      </font>
    </dxf>
    <dxf>
      <font>
        <color rgb="FF008000"/>
      </font>
    </dxf>
    <dxf>
      <fill>
        <patternFill>
          <bgColor theme="4" tint="0.79998168889431442"/>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left/>
        <right/>
        <top/>
        <bottom/>
        <vertical/>
        <horizontal/>
      </border>
    </dxf>
    <dxf>
      <font>
        <b/>
        <i val="0"/>
        <color rgb="FFFF0000"/>
      </font>
    </dxf>
    <dxf>
      <font>
        <b/>
        <i val="0"/>
        <color rgb="FFFF0000"/>
      </font>
    </dxf>
    <dxf>
      <font>
        <color rgb="FFFF0000"/>
      </font>
    </dxf>
    <dxf>
      <font>
        <color rgb="FF008000"/>
      </font>
    </dxf>
    <dxf>
      <font>
        <b/>
        <i val="0"/>
        <color rgb="FFFF0000"/>
      </font>
    </dxf>
    <dxf>
      <font>
        <b/>
        <i val="0"/>
        <condense val="0"/>
        <extend val="0"/>
        <color indexed="17"/>
      </font>
    </dxf>
    <dxf>
      <font>
        <b/>
        <i val="0"/>
        <condense val="0"/>
        <extend val="0"/>
        <color indexed="17"/>
      </font>
    </dxf>
    <dxf>
      <font>
        <b/>
        <i val="0"/>
        <color rgb="FFFF0000"/>
      </font>
    </dxf>
    <dxf>
      <font>
        <b/>
        <i val="0"/>
        <color rgb="FF008000"/>
      </font>
    </dxf>
    <dxf>
      <font>
        <b/>
        <i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dxf>
    <dxf>
      <font>
        <b/>
        <i val="0"/>
        <condense val="0"/>
        <extend val="0"/>
        <color indexed="10"/>
      </font>
    </dxf>
    <dxf>
      <font>
        <b/>
        <i val="0"/>
        <color rgb="FF0070C0"/>
      </font>
    </dxf>
    <dxf>
      <font>
        <b/>
        <i val="0"/>
        <condense val="0"/>
        <extend val="0"/>
        <color indexed="17"/>
      </font>
    </dxf>
    <dxf>
      <font>
        <b/>
        <i val="0"/>
        <condense val="0"/>
        <extend val="0"/>
        <color indexed="17"/>
      </font>
    </dxf>
    <dxf>
      <font>
        <b/>
        <i val="0"/>
        <condense val="0"/>
        <extend val="0"/>
        <color indexed="10"/>
      </font>
    </dxf>
    <dxf>
      <font>
        <b/>
        <i val="0"/>
        <condense val="0"/>
        <extend val="0"/>
        <color indexed="17"/>
      </font>
    </dxf>
    <dxf>
      <font>
        <b/>
        <i val="0"/>
        <condense val="0"/>
        <extend val="0"/>
        <color indexed="17"/>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dxf>
    <dxf>
      <font>
        <b/>
        <i val="0"/>
        <condense val="0"/>
        <extend val="0"/>
        <color indexed="17"/>
      </font>
    </dxf>
    <dxf>
      <font>
        <b/>
        <i val="0"/>
        <color rgb="FFFF0000"/>
      </font>
    </dxf>
    <dxf>
      <font>
        <b/>
        <i val="0"/>
        <condense val="0"/>
        <extend val="0"/>
        <color indexed="17"/>
      </font>
    </dxf>
    <dxf>
      <font>
        <b/>
        <i val="0"/>
        <condense val="0"/>
        <extend val="0"/>
        <color indexed="17"/>
      </font>
    </dxf>
    <dxf>
      <font>
        <b/>
        <i val="0"/>
        <condense val="0"/>
        <extend val="0"/>
        <color indexed="17"/>
      </font>
    </dxf>
    <dxf>
      <font>
        <b/>
        <i val="0"/>
        <color rgb="FF008000"/>
      </font>
    </dxf>
    <dxf>
      <font>
        <b/>
        <i val="0"/>
        <color rgb="FF008000"/>
      </font>
    </dxf>
    <dxf>
      <font>
        <b/>
        <i val="0"/>
        <condense val="0"/>
        <extend val="0"/>
        <color indexed="10"/>
      </font>
    </dxf>
    <dxf>
      <font>
        <b/>
        <i val="0"/>
        <strike val="0"/>
        <color rgb="FF008000"/>
      </font>
    </dxf>
    <dxf>
      <font>
        <b/>
        <i val="0"/>
        <color rgb="FF008000"/>
      </font>
    </dxf>
    <dxf>
      <font>
        <b/>
        <i val="0"/>
        <condense val="0"/>
        <extend val="0"/>
        <color indexed="10"/>
      </font>
    </dxf>
    <dxf>
      <font>
        <b/>
        <i val="0"/>
        <color rgb="FF0070C0"/>
      </font>
    </dxf>
    <dxf>
      <font>
        <b/>
        <i val="0"/>
        <color rgb="FF008000"/>
      </font>
    </dxf>
    <dxf>
      <font>
        <b/>
        <i val="0"/>
        <color rgb="FF008000"/>
      </font>
    </dxf>
    <dxf>
      <font>
        <b/>
        <i val="0"/>
        <color rgb="FF0070C0"/>
      </font>
    </dxf>
    <dxf>
      <font>
        <b/>
        <i val="0"/>
        <color rgb="FF0070C0"/>
      </font>
    </dxf>
    <dxf>
      <font>
        <b/>
        <i val="0"/>
        <color rgb="FF0070C0"/>
      </font>
    </dxf>
    <dxf>
      <font>
        <b/>
        <i val="0"/>
        <color rgb="FF0070C0"/>
      </font>
    </dxf>
    <dxf>
      <font>
        <b/>
        <i val="0"/>
        <color rgb="FF0070C0"/>
      </font>
    </dxf>
    <dxf>
      <font>
        <b/>
        <i val="0"/>
        <condense val="0"/>
        <extend val="0"/>
        <color indexed="10"/>
      </font>
    </dxf>
    <dxf>
      <font>
        <b/>
        <i val="0"/>
        <condense val="0"/>
        <extend val="0"/>
        <color indexed="17"/>
      </font>
    </dxf>
    <dxf>
      <font>
        <b/>
        <i val="0"/>
        <condense val="0"/>
        <extend val="0"/>
        <color indexed="17"/>
      </font>
    </dxf>
    <dxf>
      <font>
        <b/>
        <i val="0"/>
        <condense val="0"/>
        <extend val="0"/>
        <color indexed="10"/>
      </font>
    </dxf>
    <dxf>
      <font>
        <b/>
        <i val="0"/>
        <color theme="3" tint="0.39994506668294322"/>
      </font>
    </dxf>
    <dxf>
      <font>
        <b/>
        <i val="0"/>
        <condense val="0"/>
        <extend val="0"/>
        <color indexed="17"/>
      </font>
    </dxf>
    <dxf>
      <font>
        <b/>
        <i val="0"/>
        <condense val="0"/>
        <extend val="0"/>
        <color indexed="17"/>
      </font>
    </dxf>
    <dxf>
      <font>
        <b/>
        <i val="0"/>
        <condense val="0"/>
        <extend val="0"/>
        <color indexed="17"/>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dxf>
    <dxf>
      <font>
        <condense val="0"/>
        <extend val="0"/>
        <color indexed="17"/>
      </font>
    </dxf>
    <dxf>
      <font>
        <condense val="0"/>
        <extend val="0"/>
        <color indexed="17"/>
      </font>
    </dxf>
    <dxf>
      <font>
        <b/>
        <i val="0"/>
        <condense val="0"/>
        <extend val="0"/>
        <color indexed="10"/>
      </font>
    </dxf>
    <dxf>
      <font>
        <b/>
        <i val="0"/>
        <color theme="3" tint="0.39991454817346722"/>
      </font>
    </dxf>
    <dxf>
      <font>
        <b/>
        <i val="0"/>
        <condense val="0"/>
        <extend val="0"/>
        <color indexed="17"/>
      </font>
    </dxf>
    <dxf>
      <font>
        <b/>
        <i val="0"/>
        <condense val="0"/>
        <extend val="0"/>
        <color indexed="17"/>
      </font>
    </dxf>
    <dxf>
      <font>
        <b/>
        <i val="0"/>
        <strike val="0"/>
        <color rgb="FFFF0000"/>
        <name val="Cambria"/>
        <scheme val="none"/>
      </font>
    </dxf>
    <dxf>
      <font>
        <b/>
        <i val="0"/>
        <condense val="0"/>
        <extend val="0"/>
        <color indexed="17"/>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rgb="FFFF0000"/>
      </font>
    </dxf>
    <dxf>
      <border>
        <bottom style="thin">
          <color indexed="64"/>
        </bottom>
      </border>
    </dxf>
    <dxf>
      <border>
        <bottom style="thin">
          <color indexed="64"/>
        </bottom>
      </border>
    </dxf>
    <dxf>
      <border>
        <bottom style="thin">
          <color indexed="64"/>
        </bottom>
      </border>
    </dxf>
    <dxf>
      <font>
        <color rgb="FFFF0000"/>
      </font>
    </dxf>
    <dxf>
      <font>
        <color rgb="FFFF0000"/>
      </font>
    </dxf>
    <dxf>
      <font>
        <color rgb="FFFF0000"/>
      </font>
    </dxf>
    <dxf>
      <font>
        <color rgb="FFFF0000"/>
      </font>
    </dxf>
    <dxf>
      <font>
        <b/>
        <i val="0"/>
        <condense val="0"/>
        <extend val="0"/>
        <color indexed="50"/>
      </font>
    </dxf>
    <dxf>
      <border>
        <bottom style="dotted">
          <color indexed="64"/>
        </bottom>
      </border>
    </dxf>
    <dxf>
      <font>
        <b/>
        <i val="0"/>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10"/>
      </font>
    </dxf>
    <dxf>
      <font>
        <condense val="0"/>
        <extend val="0"/>
        <color indexed="10"/>
      </font>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vertical/>
        <horizontal/>
      </border>
    </dxf>
    <dxf>
      <font>
        <color rgb="FFFF0000"/>
      </font>
    </dxf>
    <dxf>
      <fill>
        <patternFill>
          <bgColor theme="0"/>
        </patternFill>
      </fill>
    </dxf>
    <dxf>
      <fill>
        <patternFill>
          <bgColor theme="0"/>
        </patternFill>
      </fill>
    </dxf>
    <dxf>
      <fill>
        <patternFill>
          <bgColor theme="0"/>
        </patternFill>
      </fill>
    </dxf>
    <dxf>
      <font>
        <strike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auto="1"/>
        </left>
        <right style="thin">
          <color auto="1"/>
        </right>
        <top style="thin">
          <color auto="1"/>
        </top>
        <bottom style="thin">
          <color auto="1"/>
        </bottom>
      </border>
    </dxf>
    <dxf>
      <font>
        <condense val="0"/>
        <extend val="0"/>
        <color indexed="9"/>
      </font>
    </dxf>
    <dxf>
      <font>
        <condense val="0"/>
        <extend val="0"/>
        <color indexed="9"/>
      </font>
    </dxf>
    <dxf>
      <font>
        <condense val="0"/>
        <extend val="0"/>
        <color indexed="9"/>
      </font>
    </dxf>
    <dxf>
      <font>
        <b val="0"/>
        <i val="0"/>
        <color rgb="FFFF000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C00000"/>
      </font>
    </dxf>
    <dxf>
      <fill>
        <patternFill>
          <bgColor theme="0"/>
        </patternFill>
      </fill>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lor auto="1"/>
      </font>
    </dxf>
    <dxf>
      <font>
        <b val="0"/>
        <i val="0"/>
        <strike val="0"/>
        <color indexed="10"/>
      </font>
    </dxf>
    <dxf>
      <font>
        <condense val="0"/>
        <extend val="0"/>
        <color indexed="9"/>
      </font>
    </dxf>
    <dxf>
      <font>
        <condense val="0"/>
        <extend val="0"/>
        <color indexed="9"/>
      </font>
    </dxf>
    <dxf>
      <fill>
        <patternFill>
          <bgColor theme="0"/>
        </patternFill>
      </fill>
    </dxf>
    <dxf>
      <fill>
        <patternFill>
          <bgColor theme="0"/>
        </patternFill>
      </fill>
    </dxf>
    <dxf>
      <fill>
        <patternFill>
          <bgColor theme="0"/>
        </patternFill>
      </fill>
      <border>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right/>
        <top/>
        <bottom/>
      </border>
    </dxf>
    <dxf>
      <font>
        <condense val="0"/>
        <extend val="0"/>
        <color indexed="9"/>
      </font>
      <border>
        <left/>
        <right/>
        <top/>
        <bottom/>
      </border>
    </dxf>
    <dxf>
      <font>
        <condense val="0"/>
        <extend val="0"/>
        <color indexed="9"/>
      </font>
    </dxf>
    <dxf>
      <border>
        <top/>
      </border>
    </dxf>
    <dxf>
      <font>
        <condense val="0"/>
        <extend val="0"/>
        <color indexed="9"/>
      </font>
      <border>
        <right/>
      </border>
    </dxf>
    <dxf>
      <border>
        <left/>
        <right/>
        <bottom/>
      </border>
    </dxf>
    <dxf>
      <border>
        <left/>
        <bottom/>
      </border>
    </dxf>
    <dxf>
      <border>
        <left/>
        <right/>
        <top/>
        <bottom/>
      </border>
    </dxf>
    <dxf>
      <font>
        <condense val="0"/>
        <extend val="0"/>
        <color indexed="9"/>
      </font>
    </dxf>
    <dxf>
      <font>
        <b/>
        <i val="0"/>
        <condense val="0"/>
        <extend val="0"/>
        <color indexed="10"/>
      </font>
    </dxf>
    <dxf>
      <font>
        <condense val="0"/>
        <extend val="0"/>
        <color indexed="9"/>
      </font>
    </dxf>
    <dxf>
      <font>
        <condense val="0"/>
        <extend val="0"/>
        <color indexed="9"/>
      </font>
    </dxf>
    <dxf>
      <font>
        <color rgb="FFFF0000"/>
      </font>
    </dxf>
    <dxf>
      <font>
        <color auto="1"/>
      </font>
      <fill>
        <patternFill>
          <bgColor theme="0"/>
        </patternFill>
      </fill>
    </dxf>
    <dxf>
      <font>
        <color auto="1"/>
      </font>
      <fill>
        <patternFill>
          <bgColor theme="0"/>
        </patternFill>
      </fill>
    </dxf>
    <dxf>
      <fill>
        <patternFill>
          <bgColor theme="0"/>
        </patternFill>
      </fill>
    </dxf>
    <dxf>
      <font>
        <color theme="0"/>
      </font>
      <fill>
        <patternFill>
          <bgColor theme="0"/>
        </patternFill>
      </fill>
      <border>
        <left/>
        <right/>
        <top/>
        <bottom/>
        <vertical/>
        <horizontal/>
      </border>
    </dxf>
    <dxf>
      <font>
        <color theme="0"/>
      </font>
    </dxf>
    <dxf>
      <font>
        <color theme="0"/>
      </font>
    </dxf>
    <dxf>
      <font>
        <b val="0"/>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ont>
        <condense val="0"/>
        <extend val="0"/>
        <color indexed="9"/>
      </font>
    </dxf>
    <dxf>
      <font>
        <condense val="0"/>
        <extend val="0"/>
        <color indexed="10"/>
      </font>
    </dxf>
    <dxf>
      <font>
        <b/>
        <i val="0"/>
        <color rgb="FFFF0000"/>
      </font>
    </dxf>
    <dxf>
      <font>
        <condense val="0"/>
        <extend val="0"/>
        <color indexed="9"/>
      </font>
    </dxf>
    <dxf>
      <font>
        <color theme="0"/>
      </font>
    </dxf>
    <dxf>
      <font>
        <color theme="0"/>
      </font>
    </dxf>
    <dxf>
      <font>
        <color theme="0"/>
      </font>
    </dxf>
    <dxf>
      <font>
        <condense val="0"/>
        <extend val="0"/>
        <color indexed="10"/>
      </font>
    </dxf>
    <dxf>
      <font>
        <condense val="0"/>
        <extend val="0"/>
        <color indexed="9"/>
      </font>
    </dxf>
    <dxf>
      <font>
        <b/>
        <i val="0"/>
        <condense val="0"/>
        <extend val="0"/>
        <color indexed="10"/>
      </font>
    </dxf>
    <dxf>
      <fill>
        <patternFill>
          <bgColor theme="0"/>
        </patternFill>
      </fill>
    </dxf>
    <dxf>
      <border>
        <bottom style="thin">
          <color indexed="64"/>
        </bottom>
      </border>
    </dxf>
    <dxf>
      <border>
        <left/>
        <right/>
        <top/>
        <bottom/>
        <vertical/>
        <horizontal/>
      </border>
    </dxf>
    <dxf>
      <border>
        <top style="thin">
          <color auto="1"/>
        </top>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top style="thin">
          <color auto="1"/>
        </top>
        <vertical/>
        <horizontal/>
      </border>
    </dxf>
    <dxf>
      <font>
        <b/>
        <i val="0"/>
        <strike val="0"/>
        <color rgb="FFFF0000"/>
      </font>
    </dxf>
    <dxf>
      <border>
        <bottom style="thin">
          <color auto="1"/>
        </bottom>
        <vertical/>
        <horizontal/>
      </border>
    </dxf>
    <dxf>
      <font>
        <b/>
        <i val="0"/>
        <strike val="0"/>
        <color rgb="FFFF0000"/>
      </font>
    </dxf>
    <dxf>
      <font>
        <strike val="0"/>
        <color auto="1"/>
      </font>
      <border>
        <left style="thin">
          <color auto="1"/>
        </left>
        <right style="thin">
          <color auto="1"/>
        </right>
        <top style="thin">
          <color auto="1"/>
        </top>
        <bottom style="thin">
          <color auto="1"/>
        </bottom>
        <vertical/>
        <horizontal/>
      </border>
    </dxf>
    <dxf>
      <font>
        <b/>
        <i val="0"/>
        <strike val="0"/>
        <color rgb="FFFF0000"/>
      </font>
    </dxf>
    <dxf>
      <font>
        <b/>
        <i val="0"/>
        <strike val="0"/>
        <color rgb="FFFF0000"/>
      </font>
    </dxf>
    <dxf>
      <font>
        <color rgb="FFFF0000"/>
      </font>
    </dxf>
    <dxf>
      <font>
        <color rgb="FFFF0000"/>
      </font>
    </dxf>
    <dxf>
      <font>
        <color theme="1"/>
      </font>
    </dxf>
    <dxf>
      <fill>
        <patternFill>
          <bgColor theme="0"/>
        </patternFill>
      </fill>
    </dxf>
    <dxf>
      <fill>
        <patternFill>
          <bgColor theme="0"/>
        </patternFill>
      </fill>
    </dxf>
    <dxf>
      <font>
        <b val="0"/>
        <i val="0"/>
        <color theme="0"/>
      </font>
      <fill>
        <patternFill>
          <bgColor theme="0"/>
        </patternFill>
      </fill>
      <border>
        <left/>
        <right/>
        <top/>
        <bottom/>
        <vertical/>
        <horizontal/>
      </border>
    </dxf>
    <dxf>
      <fill>
        <patternFill>
          <fgColor indexed="64"/>
          <bgColor theme="0"/>
        </patternFill>
      </fill>
    </dxf>
    <dxf>
      <fill>
        <patternFill>
          <bgColor theme="0"/>
        </patternFill>
      </fill>
      <border>
        <left/>
        <right/>
        <top/>
        <bottom/>
        <vertical/>
        <horizontal/>
      </border>
    </dxf>
    <dxf>
      <fill>
        <patternFill>
          <fgColor indexed="64"/>
          <bgColor theme="0"/>
        </patternFill>
      </fill>
    </dxf>
    <dxf>
      <fill>
        <patternFill>
          <fgColor indexed="64"/>
          <bgColor theme="0"/>
        </patternFill>
      </fill>
    </dxf>
    <dxf>
      <fill>
        <patternFill>
          <fgColor indexed="64"/>
          <bgColor theme="0"/>
        </patternFill>
      </fill>
    </dxf>
    <dxf>
      <font>
        <b/>
        <i val="0"/>
        <color rgb="FFFF0000"/>
      </font>
    </dxf>
    <dxf>
      <font>
        <color rgb="FFC00000"/>
      </font>
    </dxf>
    <dxf>
      <font>
        <color rgb="FFFF0000"/>
      </font>
    </dxf>
    <dxf>
      <border>
        <left style="thin">
          <color auto="1"/>
        </left>
        <right style="thin">
          <color auto="1"/>
        </right>
        <top style="thin">
          <color auto="1"/>
        </top>
        <bottom style="thin">
          <color auto="1"/>
        </bottom>
        <vertical/>
        <horizontal/>
      </border>
    </dxf>
    <dxf>
      <font>
        <strike val="0"/>
        <color auto="1"/>
      </font>
      <border>
        <left style="thin">
          <color auto="1"/>
        </left>
        <right style="thin">
          <color auto="1"/>
        </right>
        <top style="thin">
          <color auto="1"/>
        </top>
        <bottom style="thin">
          <color auto="1"/>
        </bottom>
        <vertical/>
        <horizontal/>
      </border>
    </dxf>
    <dxf>
      <font>
        <b/>
        <i val="0"/>
        <strike val="0"/>
        <color rgb="FFFF0000"/>
      </font>
    </dxf>
    <dxf>
      <font>
        <color rgb="FFFF0000"/>
      </font>
    </dxf>
    <dxf>
      <fill>
        <patternFill>
          <fgColor indexed="64"/>
          <bgColor theme="0"/>
        </patternFill>
      </fill>
    </dxf>
    <dxf>
      <fill>
        <patternFill>
          <fgColor indexed="64"/>
          <bgColor theme="0"/>
        </patternFill>
      </fill>
    </dxf>
    <dxf>
      <font>
        <strike val="0"/>
        <color theme="0"/>
      </font>
    </dxf>
    <dxf>
      <font>
        <strike val="0"/>
        <color theme="0"/>
      </font>
    </dxf>
    <dxf>
      <font>
        <strike val="0"/>
        <color auto="1"/>
      </font>
      <border>
        <left/>
        <right/>
        <top/>
        <bottom/>
        <vertical/>
        <horizontal/>
      </border>
    </dxf>
    <dxf>
      <font>
        <b/>
        <i val="0"/>
        <condense val="0"/>
        <extend val="0"/>
        <color indexed="10"/>
      </font>
    </dxf>
    <dxf>
      <font>
        <b/>
        <i val="0"/>
        <condense val="0"/>
        <extend val="0"/>
        <color indexed="10"/>
      </font>
    </dxf>
    <dxf>
      <font>
        <b/>
        <i val="0"/>
        <condense val="0"/>
        <extend val="0"/>
        <color indexed="10"/>
      </font>
    </dxf>
    <dxf>
      <fill>
        <patternFill>
          <fgColor indexed="64"/>
          <bgColor theme="0"/>
        </patternFill>
      </fill>
    </dxf>
    <dxf>
      <font>
        <color theme="0"/>
      </font>
    </dxf>
    <dxf>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ont>
        <color rgb="FFFF0000"/>
      </font>
    </dxf>
    <dxf>
      <fill>
        <patternFill>
          <fgColor indexed="64"/>
          <bgColor theme="0"/>
        </patternFill>
      </fill>
    </dxf>
    <dxf>
      <fill>
        <patternFill>
          <fgColor indexed="64"/>
          <bgColor theme="0"/>
        </patternFill>
      </fill>
    </dxf>
    <dxf>
      <fill>
        <patternFill>
          <bgColor theme="0"/>
        </patternFill>
      </fill>
    </dxf>
    <dxf>
      <fill>
        <patternFill>
          <bgColor theme="0"/>
        </patternFill>
      </fill>
    </dxf>
    <dxf>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0"/>
        </patternFill>
      </fill>
    </dxf>
    <dxf>
      <font>
        <color theme="0"/>
      </font>
    </dxf>
    <dxf>
      <fill>
        <patternFill>
          <fgColor indexed="64"/>
          <bgColor theme="0"/>
        </patternFill>
      </fill>
    </dxf>
    <dxf>
      <fill>
        <patternFill>
          <fgColor indexed="64"/>
          <bgColor theme="0"/>
        </patternFill>
      </fill>
    </dxf>
    <dxf>
      <fill>
        <patternFill>
          <bgColor theme="0"/>
        </patternFill>
      </fill>
    </dxf>
    <dxf>
      <font>
        <color theme="0"/>
      </font>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ont>
        <strike val="0"/>
        <color auto="1"/>
      </font>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ont>
        <b/>
        <i val="0"/>
        <condense val="0"/>
        <extend val="0"/>
        <color auto="1"/>
      </font>
      <border>
        <left style="thin">
          <color indexed="64"/>
        </left>
        <right style="thin">
          <color indexed="64"/>
        </right>
        <top style="thin">
          <color indexed="64"/>
        </top>
        <bottom style="thin">
          <color indexed="64"/>
        </bottom>
      </border>
    </dxf>
    <dxf>
      <font>
        <condense val="0"/>
        <extend val="0"/>
        <color indexed="9"/>
      </font>
    </dxf>
    <dxf>
      <font>
        <condense val="0"/>
        <extend val="0"/>
        <color indexed="10"/>
      </font>
    </dxf>
    <dxf>
      <font>
        <b/>
        <i val="0"/>
        <condense val="0"/>
        <extend val="0"/>
        <color indexed="1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condense val="0"/>
        <extend val="0"/>
        <color indexed="1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color rgb="FF00B050"/>
      </font>
    </dxf>
    <dxf>
      <font>
        <b/>
        <i val="0"/>
        <color rgb="FF00B050"/>
      </font>
    </dxf>
    <dxf>
      <font>
        <b/>
        <i val="0"/>
        <color rgb="FF00B050"/>
      </font>
    </dxf>
    <dxf>
      <font>
        <b/>
        <i val="0"/>
        <color rgb="FF00B05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8000"/>
      <color rgb="FFD1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png"/><Relationship Id="rId1" Type="http://schemas.openxmlformats.org/officeDocument/2006/relationships/image" Target="../media/image10.jpeg"/><Relationship Id="rId4"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emf"/></Relationships>
</file>

<file path=xl/drawings/_rels/drawing16.xml.rels><?xml version="1.0" encoding="UTF-8" standalone="yes"?>
<Relationships xmlns="http://schemas.openxmlformats.org/package/2006/relationships"><Relationship Id="rId1" Type="http://schemas.openxmlformats.org/officeDocument/2006/relationships/image" Target="../media/image2.emf"/></Relationships>
</file>

<file path=xl/drawings/_rels/drawing17.xml.rels><?xml version="1.0" encoding="UTF-8" standalone="yes"?>
<Relationships xmlns="http://schemas.openxmlformats.org/package/2006/relationships"><Relationship Id="rId1" Type="http://schemas.openxmlformats.org/officeDocument/2006/relationships/image" Target="../media/image2.emf"/></Relationships>
</file>

<file path=xl/drawings/_rels/drawing1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2.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emf"/></Relationships>
</file>

<file path=xl/drawings/_rels/drawing20.xml.rels><?xml version="1.0" encoding="UTF-8" standalone="yes"?>
<Relationships xmlns="http://schemas.openxmlformats.org/package/2006/relationships"><Relationship Id="rId1" Type="http://schemas.openxmlformats.org/officeDocument/2006/relationships/image" Target="../media/image2.emf"/></Relationships>
</file>

<file path=xl/drawings/_rels/drawing2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3.xml.rels><?xml version="1.0" encoding="UTF-8" standalone="yes"?>
<Relationships xmlns="http://schemas.openxmlformats.org/package/2006/relationships"><Relationship Id="rId1" Type="http://schemas.openxmlformats.org/officeDocument/2006/relationships/image" Target="../media/image2.emf"/></Relationships>
</file>

<file path=xl/drawings/_rels/drawing24.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2.emf"/><Relationship Id="rId1" Type="http://schemas.openxmlformats.org/officeDocument/2006/relationships/image" Target="../media/image14.jpeg"/><Relationship Id="rId4" Type="http://schemas.openxmlformats.org/officeDocument/2006/relationships/image" Target="../media/image16.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emf"/></Relationships>
</file>

<file path=xl/drawings/_rels/drawing26.xml.rels><?xml version="1.0" encoding="UTF-8" standalone="yes"?>
<Relationships xmlns="http://schemas.openxmlformats.org/package/2006/relationships"><Relationship Id="rId1" Type="http://schemas.openxmlformats.org/officeDocument/2006/relationships/image" Target="../media/image2.emf"/></Relationships>
</file>

<file path=xl/drawings/_rels/drawing27.xml.rels><?xml version="1.0" encoding="UTF-8" standalone="yes"?>
<Relationships xmlns="http://schemas.openxmlformats.org/package/2006/relationships"><Relationship Id="rId1" Type="http://schemas.openxmlformats.org/officeDocument/2006/relationships/image" Target="../media/image2.emf"/></Relationships>
</file>

<file path=xl/drawings/_rels/drawing28.xml.rels><?xml version="1.0" encoding="UTF-8" standalone="yes"?>
<Relationships xmlns="http://schemas.openxmlformats.org/package/2006/relationships"><Relationship Id="rId1" Type="http://schemas.openxmlformats.org/officeDocument/2006/relationships/image" Target="../media/image5.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14</xdr:row>
      <xdr:rowOff>28575</xdr:rowOff>
    </xdr:from>
    <xdr:to>
      <xdr:col>5</xdr:col>
      <xdr:colOff>485775</xdr:colOff>
      <xdr:row>15</xdr:row>
      <xdr:rowOff>152400</xdr:rowOff>
    </xdr:to>
    <xdr:pic>
      <xdr:nvPicPr>
        <xdr:cNvPr id="32321" name="Picture 1">
          <a:extLst>
            <a:ext uri="{FF2B5EF4-FFF2-40B4-BE49-F238E27FC236}">
              <a16:creationId xmlns:a16="http://schemas.microsoft.com/office/drawing/2014/main" xmlns="" id="{00000000-0008-0000-0300-000041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0" y="3505200"/>
          <a:ext cx="4476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628650</xdr:colOff>
      <xdr:row>16</xdr:row>
      <xdr:rowOff>47625</xdr:rowOff>
    </xdr:from>
    <xdr:to>
      <xdr:col>14</xdr:col>
      <xdr:colOff>9525</xdr:colOff>
      <xdr:row>17</xdr:row>
      <xdr:rowOff>114300</xdr:rowOff>
    </xdr:to>
    <xdr:pic>
      <xdr:nvPicPr>
        <xdr:cNvPr id="111895" name="Picture 20">
          <a:extLst>
            <a:ext uri="{FF2B5EF4-FFF2-40B4-BE49-F238E27FC236}">
              <a16:creationId xmlns:a16="http://schemas.microsoft.com/office/drawing/2014/main" xmlns="" id="{00000000-0008-0000-0C00-000017B5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219075"/>
          <a:ext cx="428625" cy="419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38</xdr:row>
      <xdr:rowOff>47625</xdr:rowOff>
    </xdr:from>
    <xdr:to>
      <xdr:col>8</xdr:col>
      <xdr:colOff>95250</xdr:colOff>
      <xdr:row>41</xdr:row>
      <xdr:rowOff>0</xdr:rowOff>
    </xdr:to>
    <xdr:sp macro="" textlink="">
      <xdr:nvSpPr>
        <xdr:cNvPr id="111896" name="AutoShape 21">
          <a:extLst>
            <a:ext uri="{FF2B5EF4-FFF2-40B4-BE49-F238E27FC236}">
              <a16:creationId xmlns:a16="http://schemas.microsoft.com/office/drawing/2014/main" xmlns="" id="{00000000-0008-0000-0C00-000018B50100}"/>
            </a:ext>
          </a:extLst>
        </xdr:cNvPr>
        <xdr:cNvSpPr>
          <a:spLocks/>
        </xdr:cNvSpPr>
      </xdr:nvSpPr>
      <xdr:spPr bwMode="auto">
        <a:xfrm>
          <a:off x="3752850" y="4238625"/>
          <a:ext cx="95250" cy="438150"/>
        </a:xfrm>
        <a:prstGeom prst="rightBrace">
          <a:avLst>
            <a:gd name="adj1" fmla="val 3032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1504950</xdr:colOff>
      <xdr:row>26</xdr:row>
      <xdr:rowOff>133350</xdr:rowOff>
    </xdr:from>
    <xdr:to>
      <xdr:col>7</xdr:col>
      <xdr:colOff>1676400</xdr:colOff>
      <xdr:row>31</xdr:row>
      <xdr:rowOff>0</xdr:rowOff>
    </xdr:to>
    <xdr:sp macro="" textlink="">
      <xdr:nvSpPr>
        <xdr:cNvPr id="111897" name="AutoShape 43">
          <a:extLst>
            <a:ext uri="{FF2B5EF4-FFF2-40B4-BE49-F238E27FC236}">
              <a16:creationId xmlns:a16="http://schemas.microsoft.com/office/drawing/2014/main" xmlns="" id="{00000000-0008-0000-0C00-000019B50100}"/>
            </a:ext>
          </a:extLst>
        </xdr:cNvPr>
        <xdr:cNvSpPr>
          <a:spLocks/>
        </xdr:cNvSpPr>
      </xdr:nvSpPr>
      <xdr:spPr bwMode="auto">
        <a:xfrm>
          <a:off x="3400425" y="2466975"/>
          <a:ext cx="171450" cy="552450"/>
        </a:xfrm>
        <a:prstGeom prst="rightBrace">
          <a:avLst>
            <a:gd name="adj1" fmla="val 2685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1835150</xdr:colOff>
      <xdr:row>48</xdr:row>
      <xdr:rowOff>158750</xdr:rowOff>
    </xdr:from>
    <xdr:to>
      <xdr:col>8</xdr:col>
      <xdr:colOff>76200</xdr:colOff>
      <xdr:row>52</xdr:row>
      <xdr:rowOff>31750</xdr:rowOff>
    </xdr:to>
    <xdr:sp macro="" textlink="">
      <xdr:nvSpPr>
        <xdr:cNvPr id="5" name="AutoShape 21">
          <a:extLst>
            <a:ext uri="{FF2B5EF4-FFF2-40B4-BE49-F238E27FC236}">
              <a16:creationId xmlns:a16="http://schemas.microsoft.com/office/drawing/2014/main" xmlns="" id="{00000000-0008-0000-0C00-000005000000}"/>
            </a:ext>
          </a:extLst>
        </xdr:cNvPr>
        <xdr:cNvSpPr>
          <a:spLocks/>
        </xdr:cNvSpPr>
      </xdr:nvSpPr>
      <xdr:spPr bwMode="auto">
        <a:xfrm>
          <a:off x="3733800" y="6007100"/>
          <a:ext cx="101600" cy="527050"/>
        </a:xfrm>
        <a:prstGeom prst="rightBrace">
          <a:avLst>
            <a:gd name="adj1" fmla="val 3032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39</xdr:col>
      <xdr:colOff>276225</xdr:colOff>
      <xdr:row>16</xdr:row>
      <xdr:rowOff>180975</xdr:rowOff>
    </xdr:from>
    <xdr:to>
      <xdr:col>39</xdr:col>
      <xdr:colOff>752475</xdr:colOff>
      <xdr:row>18</xdr:row>
      <xdr:rowOff>68792</xdr:rowOff>
    </xdr:to>
    <xdr:pic>
      <xdr:nvPicPr>
        <xdr:cNvPr id="8" name="Picture 10" descr="E:\My Documents\Excel\03_1040\Pencil - Black.jpg">
          <a:extLst>
            <a:ext uri="{FF2B5EF4-FFF2-40B4-BE49-F238E27FC236}">
              <a16:creationId xmlns:a16="http://schemas.microsoft.com/office/drawing/2014/main" xmlns="" id="{00000000-0008-0000-0C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555325" y="2924175"/>
          <a:ext cx="476250" cy="449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66675</xdr:colOff>
      <xdr:row>16</xdr:row>
      <xdr:rowOff>276225</xdr:rowOff>
    </xdr:from>
    <xdr:to>
      <xdr:col>29</xdr:col>
      <xdr:colOff>495299</xdr:colOff>
      <xdr:row>18</xdr:row>
      <xdr:rowOff>166007</xdr:rowOff>
    </xdr:to>
    <xdr:pic>
      <xdr:nvPicPr>
        <xdr:cNvPr id="9" name="Picture 113" descr="E:\My Documents\Excel\04_1040\IRS Forms\CAUTION_Black.jpg">
          <a:extLst>
            <a:ext uri="{FF2B5EF4-FFF2-40B4-BE49-F238E27FC236}">
              <a16:creationId xmlns:a16="http://schemas.microsoft.com/office/drawing/2014/main" xmlns="" id="{00000000-0008-0000-0C00-00000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40175" y="3019425"/>
          <a:ext cx="428624" cy="45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95250</xdr:colOff>
      <xdr:row>69</xdr:row>
      <xdr:rowOff>38100</xdr:rowOff>
    </xdr:from>
    <xdr:to>
      <xdr:col>7</xdr:col>
      <xdr:colOff>495300</xdr:colOff>
      <xdr:row>71</xdr:row>
      <xdr:rowOff>19050</xdr:rowOff>
    </xdr:to>
    <xdr:sp macro="" textlink="">
      <xdr:nvSpPr>
        <xdr:cNvPr id="121854" name="AutoShape 4">
          <a:extLst>
            <a:ext uri="{FF2B5EF4-FFF2-40B4-BE49-F238E27FC236}">
              <a16:creationId xmlns:a16="http://schemas.microsoft.com/office/drawing/2014/main" xmlns="" id="{00000000-0008-0000-0D00-0000FEDB0100}"/>
            </a:ext>
          </a:extLst>
        </xdr:cNvPr>
        <xdr:cNvSpPr>
          <a:spLocks noChangeArrowheads="1"/>
        </xdr:cNvSpPr>
      </xdr:nvSpPr>
      <xdr:spPr bwMode="auto">
        <a:xfrm>
          <a:off x="2476500" y="12353925"/>
          <a:ext cx="400050" cy="323850"/>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819150</xdr:colOff>
      <xdr:row>105</xdr:row>
      <xdr:rowOff>171450</xdr:rowOff>
    </xdr:from>
    <xdr:to>
      <xdr:col>13</xdr:col>
      <xdr:colOff>914400</xdr:colOff>
      <xdr:row>109</xdr:row>
      <xdr:rowOff>0</xdr:rowOff>
    </xdr:to>
    <xdr:sp macro="" textlink="">
      <xdr:nvSpPr>
        <xdr:cNvPr id="121855" name="AutoShape 5">
          <a:extLst>
            <a:ext uri="{FF2B5EF4-FFF2-40B4-BE49-F238E27FC236}">
              <a16:creationId xmlns:a16="http://schemas.microsoft.com/office/drawing/2014/main" xmlns="" id="{00000000-0008-0000-0D00-0000FFDB0100}"/>
            </a:ext>
          </a:extLst>
        </xdr:cNvPr>
        <xdr:cNvSpPr>
          <a:spLocks/>
        </xdr:cNvSpPr>
      </xdr:nvSpPr>
      <xdr:spPr bwMode="auto">
        <a:xfrm>
          <a:off x="6200775" y="19002375"/>
          <a:ext cx="95250" cy="666750"/>
        </a:xfrm>
        <a:prstGeom prst="rightBrace">
          <a:avLst>
            <a:gd name="adj1" fmla="val 5833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19050</xdr:colOff>
      <xdr:row>123</xdr:row>
      <xdr:rowOff>104775</xdr:rowOff>
    </xdr:from>
    <xdr:to>
      <xdr:col>17</xdr:col>
      <xdr:colOff>104775</xdr:colOff>
      <xdr:row>123</xdr:row>
      <xdr:rowOff>104775</xdr:rowOff>
    </xdr:to>
    <xdr:sp macro="" textlink="">
      <xdr:nvSpPr>
        <xdr:cNvPr id="124928" name="Line 7">
          <a:extLst>
            <a:ext uri="{FF2B5EF4-FFF2-40B4-BE49-F238E27FC236}">
              <a16:creationId xmlns:a16="http://schemas.microsoft.com/office/drawing/2014/main" xmlns="" id="{00000000-0008-0000-0D00-000000E80100}"/>
            </a:ext>
          </a:extLst>
        </xdr:cNvPr>
        <xdr:cNvSpPr>
          <a:spLocks noChangeShapeType="1"/>
        </xdr:cNvSpPr>
      </xdr:nvSpPr>
      <xdr:spPr bwMode="auto">
        <a:xfrm flipH="1">
          <a:off x="7496175" y="22307550"/>
          <a:ext cx="36195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114300</xdr:colOff>
      <xdr:row>118</xdr:row>
      <xdr:rowOff>209550</xdr:rowOff>
    </xdr:from>
    <xdr:to>
      <xdr:col>17</xdr:col>
      <xdr:colOff>114300</xdr:colOff>
      <xdr:row>123</xdr:row>
      <xdr:rowOff>95250</xdr:rowOff>
    </xdr:to>
    <xdr:sp macro="" textlink="">
      <xdr:nvSpPr>
        <xdr:cNvPr id="124929" name="Line 8">
          <a:extLst>
            <a:ext uri="{FF2B5EF4-FFF2-40B4-BE49-F238E27FC236}">
              <a16:creationId xmlns:a16="http://schemas.microsoft.com/office/drawing/2014/main" xmlns="" id="{00000000-0008-0000-0D00-000001E80100}"/>
            </a:ext>
          </a:extLst>
        </xdr:cNvPr>
        <xdr:cNvSpPr>
          <a:spLocks noChangeShapeType="1"/>
        </xdr:cNvSpPr>
      </xdr:nvSpPr>
      <xdr:spPr bwMode="auto">
        <a:xfrm flipH="1" flipV="1">
          <a:off x="7867650" y="21374100"/>
          <a:ext cx="0" cy="923925"/>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118</xdr:row>
      <xdr:rowOff>219075</xdr:rowOff>
    </xdr:from>
    <xdr:to>
      <xdr:col>17</xdr:col>
      <xdr:colOff>114300</xdr:colOff>
      <xdr:row>118</xdr:row>
      <xdr:rowOff>219075</xdr:rowOff>
    </xdr:to>
    <xdr:sp macro="" textlink="">
      <xdr:nvSpPr>
        <xdr:cNvPr id="124930" name="Line 9">
          <a:extLst>
            <a:ext uri="{FF2B5EF4-FFF2-40B4-BE49-F238E27FC236}">
              <a16:creationId xmlns:a16="http://schemas.microsoft.com/office/drawing/2014/main" xmlns="" id="{00000000-0008-0000-0D00-000002E80100}"/>
            </a:ext>
          </a:extLst>
        </xdr:cNvPr>
        <xdr:cNvSpPr>
          <a:spLocks noChangeShapeType="1"/>
        </xdr:cNvSpPr>
      </xdr:nvSpPr>
      <xdr:spPr bwMode="auto">
        <a:xfrm flipH="1">
          <a:off x="7486650" y="21383625"/>
          <a:ext cx="38100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3175</xdr:colOff>
      <xdr:row>185</xdr:row>
      <xdr:rowOff>9525</xdr:rowOff>
    </xdr:from>
    <xdr:to>
      <xdr:col>4</xdr:col>
      <xdr:colOff>187325</xdr:colOff>
      <xdr:row>185</xdr:row>
      <xdr:rowOff>9525</xdr:rowOff>
    </xdr:to>
    <xdr:sp macro="" textlink="">
      <xdr:nvSpPr>
        <xdr:cNvPr id="124931" name="Line 14">
          <a:extLst>
            <a:ext uri="{FF2B5EF4-FFF2-40B4-BE49-F238E27FC236}">
              <a16:creationId xmlns:a16="http://schemas.microsoft.com/office/drawing/2014/main" xmlns="" id="{00000000-0008-0000-0D00-000003E80100}"/>
            </a:ext>
          </a:extLst>
        </xdr:cNvPr>
        <xdr:cNvSpPr>
          <a:spLocks noChangeShapeType="1"/>
        </xdr:cNvSpPr>
      </xdr:nvSpPr>
      <xdr:spPr bwMode="auto">
        <a:xfrm>
          <a:off x="622300" y="33337500"/>
          <a:ext cx="1127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0</xdr:colOff>
      <xdr:row>177</xdr:row>
      <xdr:rowOff>0</xdr:rowOff>
    </xdr:from>
    <xdr:to>
      <xdr:col>4</xdr:col>
      <xdr:colOff>209550</xdr:colOff>
      <xdr:row>177</xdr:row>
      <xdr:rowOff>0</xdr:rowOff>
    </xdr:to>
    <xdr:sp macro="" textlink="">
      <xdr:nvSpPr>
        <xdr:cNvPr id="124932" name="Line 15">
          <a:extLst>
            <a:ext uri="{FF2B5EF4-FFF2-40B4-BE49-F238E27FC236}">
              <a16:creationId xmlns:a16="http://schemas.microsoft.com/office/drawing/2014/main" xmlns="" id="{00000000-0008-0000-0D00-000004E80100}"/>
            </a:ext>
          </a:extLst>
        </xdr:cNvPr>
        <xdr:cNvSpPr>
          <a:spLocks noChangeShapeType="1"/>
        </xdr:cNvSpPr>
      </xdr:nvSpPr>
      <xdr:spPr bwMode="auto">
        <a:xfrm>
          <a:off x="619125" y="31689675"/>
          <a:ext cx="1152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866775</xdr:colOff>
      <xdr:row>206</xdr:row>
      <xdr:rowOff>66675</xdr:rowOff>
    </xdr:from>
    <xdr:to>
      <xdr:col>13</xdr:col>
      <xdr:colOff>952500</xdr:colOff>
      <xdr:row>210</xdr:row>
      <xdr:rowOff>9525</xdr:rowOff>
    </xdr:to>
    <xdr:sp macro="" textlink="">
      <xdr:nvSpPr>
        <xdr:cNvPr id="124933" name="AutoShape 24">
          <a:extLst>
            <a:ext uri="{FF2B5EF4-FFF2-40B4-BE49-F238E27FC236}">
              <a16:creationId xmlns:a16="http://schemas.microsoft.com/office/drawing/2014/main" xmlns="" id="{00000000-0008-0000-0D00-000005E80100}"/>
            </a:ext>
          </a:extLst>
        </xdr:cNvPr>
        <xdr:cNvSpPr>
          <a:spLocks/>
        </xdr:cNvSpPr>
      </xdr:nvSpPr>
      <xdr:spPr bwMode="auto">
        <a:xfrm>
          <a:off x="6248400" y="36423600"/>
          <a:ext cx="85725" cy="638175"/>
        </a:xfrm>
        <a:prstGeom prst="rightBrace">
          <a:avLst>
            <a:gd name="adj1" fmla="val 6203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862012</xdr:colOff>
      <xdr:row>226</xdr:row>
      <xdr:rowOff>61912</xdr:rowOff>
    </xdr:from>
    <xdr:to>
      <xdr:col>13</xdr:col>
      <xdr:colOff>971551</xdr:colOff>
      <xdr:row>229</xdr:row>
      <xdr:rowOff>157162</xdr:rowOff>
    </xdr:to>
    <xdr:sp macro="" textlink="">
      <xdr:nvSpPr>
        <xdr:cNvPr id="124934" name="AutoShape 25">
          <a:extLst>
            <a:ext uri="{FF2B5EF4-FFF2-40B4-BE49-F238E27FC236}">
              <a16:creationId xmlns:a16="http://schemas.microsoft.com/office/drawing/2014/main" xmlns="" id="{00000000-0008-0000-0D00-000006E80100}"/>
            </a:ext>
          </a:extLst>
        </xdr:cNvPr>
        <xdr:cNvSpPr>
          <a:spLocks/>
        </xdr:cNvSpPr>
      </xdr:nvSpPr>
      <xdr:spPr bwMode="auto">
        <a:xfrm>
          <a:off x="6243637" y="39790687"/>
          <a:ext cx="109539" cy="695325"/>
        </a:xfrm>
        <a:prstGeom prst="rightBrace">
          <a:avLst>
            <a:gd name="adj1" fmla="val 6000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4</xdr:col>
      <xdr:colOff>190500</xdr:colOff>
      <xdr:row>126</xdr:row>
      <xdr:rowOff>57150</xdr:rowOff>
    </xdr:from>
    <xdr:to>
      <xdr:col>6</xdr:col>
      <xdr:colOff>219075</xdr:colOff>
      <xdr:row>129</xdr:row>
      <xdr:rowOff>47625</xdr:rowOff>
    </xdr:to>
    <xdr:pic>
      <xdr:nvPicPr>
        <xdr:cNvPr id="124935" name="Picture 26" descr="0tip">
          <a:extLst>
            <a:ext uri="{FF2B5EF4-FFF2-40B4-BE49-F238E27FC236}">
              <a16:creationId xmlns:a16="http://schemas.microsoft.com/office/drawing/2014/main" xmlns="" id="{00000000-0008-0000-0D00-000007E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5" y="22831425"/>
          <a:ext cx="5619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304800</xdr:colOff>
      <xdr:row>19</xdr:row>
      <xdr:rowOff>38100</xdr:rowOff>
    </xdr:from>
    <xdr:to>
      <xdr:col>15</xdr:col>
      <xdr:colOff>733425</xdr:colOff>
      <xdr:row>19</xdr:row>
      <xdr:rowOff>514350</xdr:rowOff>
    </xdr:to>
    <xdr:pic>
      <xdr:nvPicPr>
        <xdr:cNvPr id="124936" name="Picture 27">
          <a:extLst>
            <a:ext uri="{FF2B5EF4-FFF2-40B4-BE49-F238E27FC236}">
              <a16:creationId xmlns:a16="http://schemas.microsoft.com/office/drawing/2014/main" xmlns="" id="{00000000-0008-0000-0D00-000008E8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72300" y="3248025"/>
          <a:ext cx="428625" cy="4762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1</xdr:colOff>
      <xdr:row>37</xdr:row>
      <xdr:rowOff>0</xdr:rowOff>
    </xdr:from>
    <xdr:to>
      <xdr:col>11</xdr:col>
      <xdr:colOff>19051</xdr:colOff>
      <xdr:row>42</xdr:row>
      <xdr:rowOff>9525</xdr:rowOff>
    </xdr:to>
    <xdr:sp macro="" textlink="">
      <xdr:nvSpPr>
        <xdr:cNvPr id="124937" name="AutoShape 31">
          <a:extLst>
            <a:ext uri="{FF2B5EF4-FFF2-40B4-BE49-F238E27FC236}">
              <a16:creationId xmlns:a16="http://schemas.microsoft.com/office/drawing/2014/main" xmlns="" id="{00000000-0008-0000-0D00-000009E80100}"/>
            </a:ext>
          </a:extLst>
        </xdr:cNvPr>
        <xdr:cNvSpPr>
          <a:spLocks/>
        </xdr:cNvSpPr>
      </xdr:nvSpPr>
      <xdr:spPr bwMode="auto">
        <a:xfrm>
          <a:off x="4781551" y="6781800"/>
          <a:ext cx="152400" cy="933450"/>
        </a:xfrm>
        <a:prstGeom prst="rightBrace">
          <a:avLst>
            <a:gd name="adj1" fmla="val 8589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1228725</xdr:colOff>
      <xdr:row>48</xdr:row>
      <xdr:rowOff>161925</xdr:rowOff>
    </xdr:from>
    <xdr:to>
      <xdr:col>10</xdr:col>
      <xdr:colOff>95250</xdr:colOff>
      <xdr:row>52</xdr:row>
      <xdr:rowOff>123825</xdr:rowOff>
    </xdr:to>
    <xdr:sp macro="" textlink="">
      <xdr:nvSpPr>
        <xdr:cNvPr id="124938" name="AutoShape 34">
          <a:extLst>
            <a:ext uri="{FF2B5EF4-FFF2-40B4-BE49-F238E27FC236}">
              <a16:creationId xmlns:a16="http://schemas.microsoft.com/office/drawing/2014/main" xmlns="" id="{00000000-0008-0000-0D00-00000AE80100}"/>
            </a:ext>
          </a:extLst>
        </xdr:cNvPr>
        <xdr:cNvSpPr>
          <a:spLocks/>
        </xdr:cNvSpPr>
      </xdr:nvSpPr>
      <xdr:spPr bwMode="auto">
        <a:xfrm>
          <a:off x="4724400" y="8896350"/>
          <a:ext cx="95250" cy="733425"/>
        </a:xfrm>
        <a:prstGeom prst="rightBrace">
          <a:avLst>
            <a:gd name="adj1" fmla="val 6416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819150</xdr:colOff>
      <xdr:row>105</xdr:row>
      <xdr:rowOff>171450</xdr:rowOff>
    </xdr:from>
    <xdr:to>
      <xdr:col>13</xdr:col>
      <xdr:colOff>914400</xdr:colOff>
      <xdr:row>109</xdr:row>
      <xdr:rowOff>0</xdr:rowOff>
    </xdr:to>
    <xdr:sp macro="" textlink="">
      <xdr:nvSpPr>
        <xdr:cNvPr id="124939" name="AutoShape 69">
          <a:extLst>
            <a:ext uri="{FF2B5EF4-FFF2-40B4-BE49-F238E27FC236}">
              <a16:creationId xmlns:a16="http://schemas.microsoft.com/office/drawing/2014/main" xmlns="" id="{00000000-0008-0000-0D00-00000BE80100}"/>
            </a:ext>
          </a:extLst>
        </xdr:cNvPr>
        <xdr:cNvSpPr>
          <a:spLocks/>
        </xdr:cNvSpPr>
      </xdr:nvSpPr>
      <xdr:spPr bwMode="auto">
        <a:xfrm>
          <a:off x="6200775" y="19002375"/>
          <a:ext cx="95250" cy="666750"/>
        </a:xfrm>
        <a:prstGeom prst="rightBrace">
          <a:avLst>
            <a:gd name="adj1" fmla="val 5833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1009650</xdr:colOff>
      <xdr:row>117</xdr:row>
      <xdr:rowOff>66675</xdr:rowOff>
    </xdr:from>
    <xdr:to>
      <xdr:col>10</xdr:col>
      <xdr:colOff>66675</xdr:colOff>
      <xdr:row>119</xdr:row>
      <xdr:rowOff>209550</xdr:rowOff>
    </xdr:to>
    <xdr:sp macro="" textlink="">
      <xdr:nvSpPr>
        <xdr:cNvPr id="124940" name="AutoShape 70">
          <a:extLst>
            <a:ext uri="{FF2B5EF4-FFF2-40B4-BE49-F238E27FC236}">
              <a16:creationId xmlns:a16="http://schemas.microsoft.com/office/drawing/2014/main" xmlns="" id="{00000000-0008-0000-0D00-00000CE80100}"/>
            </a:ext>
          </a:extLst>
        </xdr:cNvPr>
        <xdr:cNvSpPr>
          <a:spLocks/>
        </xdr:cNvSpPr>
      </xdr:nvSpPr>
      <xdr:spPr bwMode="auto">
        <a:xfrm>
          <a:off x="4724400" y="20964525"/>
          <a:ext cx="66675" cy="695325"/>
        </a:xfrm>
        <a:prstGeom prst="rightBrace">
          <a:avLst>
            <a:gd name="adj1" fmla="val 86905"/>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19050</xdr:colOff>
      <xdr:row>123</xdr:row>
      <xdr:rowOff>104775</xdr:rowOff>
    </xdr:from>
    <xdr:to>
      <xdr:col>17</xdr:col>
      <xdr:colOff>104775</xdr:colOff>
      <xdr:row>123</xdr:row>
      <xdr:rowOff>104775</xdr:rowOff>
    </xdr:to>
    <xdr:sp macro="" textlink="">
      <xdr:nvSpPr>
        <xdr:cNvPr id="124941" name="Line 71">
          <a:extLst>
            <a:ext uri="{FF2B5EF4-FFF2-40B4-BE49-F238E27FC236}">
              <a16:creationId xmlns:a16="http://schemas.microsoft.com/office/drawing/2014/main" xmlns="" id="{00000000-0008-0000-0D00-00000DE80100}"/>
            </a:ext>
          </a:extLst>
        </xdr:cNvPr>
        <xdr:cNvSpPr>
          <a:spLocks noChangeShapeType="1"/>
        </xdr:cNvSpPr>
      </xdr:nvSpPr>
      <xdr:spPr bwMode="auto">
        <a:xfrm flipH="1">
          <a:off x="7496175" y="22307550"/>
          <a:ext cx="36195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114300</xdr:colOff>
      <xdr:row>118</xdr:row>
      <xdr:rowOff>209550</xdr:rowOff>
    </xdr:from>
    <xdr:to>
      <xdr:col>17</xdr:col>
      <xdr:colOff>114300</xdr:colOff>
      <xdr:row>123</xdr:row>
      <xdr:rowOff>95250</xdr:rowOff>
    </xdr:to>
    <xdr:sp macro="" textlink="">
      <xdr:nvSpPr>
        <xdr:cNvPr id="124942" name="Line 72">
          <a:extLst>
            <a:ext uri="{FF2B5EF4-FFF2-40B4-BE49-F238E27FC236}">
              <a16:creationId xmlns:a16="http://schemas.microsoft.com/office/drawing/2014/main" xmlns="" id="{00000000-0008-0000-0D00-00000EE80100}"/>
            </a:ext>
          </a:extLst>
        </xdr:cNvPr>
        <xdr:cNvSpPr>
          <a:spLocks noChangeShapeType="1"/>
        </xdr:cNvSpPr>
      </xdr:nvSpPr>
      <xdr:spPr bwMode="auto">
        <a:xfrm flipH="1" flipV="1">
          <a:off x="7867650" y="21374100"/>
          <a:ext cx="0" cy="923925"/>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118</xdr:row>
      <xdr:rowOff>219075</xdr:rowOff>
    </xdr:from>
    <xdr:to>
      <xdr:col>17</xdr:col>
      <xdr:colOff>114300</xdr:colOff>
      <xdr:row>118</xdr:row>
      <xdr:rowOff>219075</xdr:rowOff>
    </xdr:to>
    <xdr:sp macro="" textlink="">
      <xdr:nvSpPr>
        <xdr:cNvPr id="124943" name="Line 73">
          <a:extLst>
            <a:ext uri="{FF2B5EF4-FFF2-40B4-BE49-F238E27FC236}">
              <a16:creationId xmlns:a16="http://schemas.microsoft.com/office/drawing/2014/main" xmlns="" id="{00000000-0008-0000-0D00-00000FE80100}"/>
            </a:ext>
          </a:extLst>
        </xdr:cNvPr>
        <xdr:cNvSpPr>
          <a:spLocks noChangeShapeType="1"/>
        </xdr:cNvSpPr>
      </xdr:nvSpPr>
      <xdr:spPr bwMode="auto">
        <a:xfrm flipH="1">
          <a:off x="7486650" y="21383625"/>
          <a:ext cx="38100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190500</xdr:colOff>
      <xdr:row>126</xdr:row>
      <xdr:rowOff>57150</xdr:rowOff>
    </xdr:from>
    <xdr:to>
      <xdr:col>6</xdr:col>
      <xdr:colOff>219075</xdr:colOff>
      <xdr:row>129</xdr:row>
      <xdr:rowOff>47625</xdr:rowOff>
    </xdr:to>
    <xdr:pic>
      <xdr:nvPicPr>
        <xdr:cNvPr id="124944" name="Picture 74" descr="0tip">
          <a:extLst>
            <a:ext uri="{FF2B5EF4-FFF2-40B4-BE49-F238E27FC236}">
              <a16:creationId xmlns:a16="http://schemas.microsoft.com/office/drawing/2014/main" xmlns="" id="{00000000-0008-0000-0D00-000010E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5" y="22831425"/>
          <a:ext cx="5619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22</xdr:row>
      <xdr:rowOff>152400</xdr:rowOff>
    </xdr:from>
    <xdr:to>
      <xdr:col>2</xdr:col>
      <xdr:colOff>323850</xdr:colOff>
      <xdr:row>26</xdr:row>
      <xdr:rowOff>114300</xdr:rowOff>
    </xdr:to>
    <xdr:pic>
      <xdr:nvPicPr>
        <xdr:cNvPr id="124945" name="Picture 113" descr="E:\My Documents\Excel\04_1040\IRS Forms\CAUTION_Black.jpg">
          <a:extLst>
            <a:ext uri="{FF2B5EF4-FFF2-40B4-BE49-F238E27FC236}">
              <a16:creationId xmlns:a16="http://schemas.microsoft.com/office/drawing/2014/main" xmlns="" id="{00000000-0008-0000-0D00-000011E801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4333875"/>
          <a:ext cx="5334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150060</xdr:colOff>
      <xdr:row>139</xdr:row>
      <xdr:rowOff>0</xdr:rowOff>
    </xdr:from>
    <xdr:to>
      <xdr:col>3</xdr:col>
      <xdr:colOff>190499</xdr:colOff>
      <xdr:row>141</xdr:row>
      <xdr:rowOff>114300</xdr:rowOff>
    </xdr:to>
    <xdr:pic>
      <xdr:nvPicPr>
        <xdr:cNvPr id="124946" name="Picture 117" descr="E:\My Documents\Excel\04_1040\IRS Forms\CAUTION_Black.jpg">
          <a:extLst>
            <a:ext uri="{FF2B5EF4-FFF2-40B4-BE49-F238E27FC236}">
              <a16:creationId xmlns:a16="http://schemas.microsoft.com/office/drawing/2014/main" xmlns="" id="{00000000-0008-0000-0D00-000012E801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5410" y="25231725"/>
          <a:ext cx="459539"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142875</xdr:colOff>
      <xdr:row>123</xdr:row>
      <xdr:rowOff>9525</xdr:rowOff>
    </xdr:from>
    <xdr:to>
      <xdr:col>16</xdr:col>
      <xdr:colOff>0</xdr:colOff>
      <xdr:row>126</xdr:row>
      <xdr:rowOff>114300</xdr:rowOff>
    </xdr:to>
    <xdr:pic>
      <xdr:nvPicPr>
        <xdr:cNvPr id="124947" name="Picture 169">
          <a:extLst>
            <a:ext uri="{FF2B5EF4-FFF2-40B4-BE49-F238E27FC236}">
              <a16:creationId xmlns:a16="http://schemas.microsoft.com/office/drawing/2014/main" xmlns="" id="{00000000-0008-0000-0D00-000013E801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10375" y="22212300"/>
          <a:ext cx="666750" cy="6762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95250</xdr:colOff>
      <xdr:row>343</xdr:row>
      <xdr:rowOff>19050</xdr:rowOff>
    </xdr:from>
    <xdr:to>
      <xdr:col>16</xdr:col>
      <xdr:colOff>152400</xdr:colOff>
      <xdr:row>347</xdr:row>
      <xdr:rowOff>9525</xdr:rowOff>
    </xdr:to>
    <xdr:sp macro="" textlink="">
      <xdr:nvSpPr>
        <xdr:cNvPr id="3" name="AutoShape 2">
          <a:extLst>
            <a:ext uri="{FF2B5EF4-FFF2-40B4-BE49-F238E27FC236}">
              <a16:creationId xmlns:a16="http://schemas.microsoft.com/office/drawing/2014/main" xmlns="" id="{00000000-0008-0000-0E00-000003000000}"/>
            </a:ext>
          </a:extLst>
        </xdr:cNvPr>
        <xdr:cNvSpPr>
          <a:spLocks/>
        </xdr:cNvSpPr>
      </xdr:nvSpPr>
      <xdr:spPr bwMode="auto">
        <a:xfrm>
          <a:off x="8191500" y="55892700"/>
          <a:ext cx="57150" cy="638175"/>
        </a:xfrm>
        <a:prstGeom prst="leftBrace">
          <a:avLst>
            <a:gd name="adj1" fmla="val 53125"/>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152400</xdr:colOff>
      <xdr:row>217</xdr:row>
      <xdr:rowOff>66675</xdr:rowOff>
    </xdr:from>
    <xdr:to>
      <xdr:col>3</xdr:col>
      <xdr:colOff>519112</xdr:colOff>
      <xdr:row>219</xdr:row>
      <xdr:rowOff>133350</xdr:rowOff>
    </xdr:to>
    <xdr:pic>
      <xdr:nvPicPr>
        <xdr:cNvPr id="4" name="Picture 113" descr="E:\My Documents\Excel\04_1040\IRS Forms\CAUTION_Black.jpg">
          <a:extLst>
            <a:ext uri="{FF2B5EF4-FFF2-40B4-BE49-F238E27FC236}">
              <a16:creationId xmlns:a16="http://schemas.microsoft.com/office/drawing/2014/main" xmlns="" id="{00000000-0008-0000-0E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6825" y="38042850"/>
          <a:ext cx="366712"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133350</xdr:colOff>
      <xdr:row>442</xdr:row>
      <xdr:rowOff>57150</xdr:rowOff>
    </xdr:from>
    <xdr:to>
      <xdr:col>3</xdr:col>
      <xdr:colOff>500062</xdr:colOff>
      <xdr:row>444</xdr:row>
      <xdr:rowOff>152400</xdr:rowOff>
    </xdr:to>
    <xdr:pic>
      <xdr:nvPicPr>
        <xdr:cNvPr id="5" name="Picture 113" descr="E:\My Documents\Excel\04_1040\IRS Forms\CAUTION_Black.jpg">
          <a:extLst>
            <a:ext uri="{FF2B5EF4-FFF2-40B4-BE49-F238E27FC236}">
              <a16:creationId xmlns:a16="http://schemas.microsoft.com/office/drawing/2014/main" xmlns=""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7775" y="71247000"/>
          <a:ext cx="366712"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19049</xdr:colOff>
      <xdr:row>48</xdr:row>
      <xdr:rowOff>76200</xdr:rowOff>
    </xdr:from>
    <xdr:to>
      <xdr:col>2</xdr:col>
      <xdr:colOff>447674</xdr:colOff>
      <xdr:row>51</xdr:row>
      <xdr:rowOff>80283</xdr:rowOff>
    </xdr:to>
    <xdr:pic>
      <xdr:nvPicPr>
        <xdr:cNvPr id="2" name="Picture 113" descr="E:\My Documents\Excel\04_1040\IRS Forms\CAUTION_Black.jpg">
          <a:extLst>
            <a:ext uri="{FF2B5EF4-FFF2-40B4-BE49-F238E27FC236}">
              <a16:creationId xmlns:a16="http://schemas.microsoft.com/office/drawing/2014/main" xmlns=""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4" y="7839075"/>
          <a:ext cx="428625" cy="489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255815</xdr:colOff>
      <xdr:row>20</xdr:row>
      <xdr:rowOff>192541</xdr:rowOff>
    </xdr:from>
    <xdr:to>
      <xdr:col>7</xdr:col>
      <xdr:colOff>346982</xdr:colOff>
      <xdr:row>24</xdr:row>
      <xdr:rowOff>10205</xdr:rowOff>
    </xdr:to>
    <xdr:sp macro="" textlink="">
      <xdr:nvSpPr>
        <xdr:cNvPr id="100538" name="AutoShape 48">
          <a:extLst>
            <a:ext uri="{FF2B5EF4-FFF2-40B4-BE49-F238E27FC236}">
              <a16:creationId xmlns:a16="http://schemas.microsoft.com/office/drawing/2014/main" xmlns="" id="{00000000-0008-0000-1000-0000BA880100}"/>
            </a:ext>
          </a:extLst>
        </xdr:cNvPr>
        <xdr:cNvSpPr>
          <a:spLocks/>
        </xdr:cNvSpPr>
      </xdr:nvSpPr>
      <xdr:spPr bwMode="auto">
        <a:xfrm>
          <a:off x="2993572" y="2266270"/>
          <a:ext cx="91167" cy="410935"/>
        </a:xfrm>
        <a:prstGeom prst="rightBrace">
          <a:avLst>
            <a:gd name="adj1" fmla="val 29999"/>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933450</xdr:colOff>
      <xdr:row>68</xdr:row>
      <xdr:rowOff>28575</xdr:rowOff>
    </xdr:from>
    <xdr:to>
      <xdr:col>11</xdr:col>
      <xdr:colOff>1038225</xdr:colOff>
      <xdr:row>68</xdr:row>
      <xdr:rowOff>152400</xdr:rowOff>
    </xdr:to>
    <xdr:sp macro="" textlink="">
      <xdr:nvSpPr>
        <xdr:cNvPr id="100539" name="AutoShape 85">
          <a:extLst>
            <a:ext uri="{FF2B5EF4-FFF2-40B4-BE49-F238E27FC236}">
              <a16:creationId xmlns:a16="http://schemas.microsoft.com/office/drawing/2014/main" xmlns="" id="{00000000-0008-0000-1000-0000BB880100}"/>
            </a:ext>
          </a:extLst>
        </xdr:cNvPr>
        <xdr:cNvSpPr>
          <a:spLocks noChangeArrowheads="1"/>
        </xdr:cNvSpPr>
      </xdr:nvSpPr>
      <xdr:spPr bwMode="auto">
        <a:xfrm rot="5400000">
          <a:off x="6181725" y="9877425"/>
          <a:ext cx="123825" cy="1047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85725</xdr:colOff>
      <xdr:row>95</xdr:row>
      <xdr:rowOff>104775</xdr:rowOff>
    </xdr:from>
    <xdr:to>
      <xdr:col>23</xdr:col>
      <xdr:colOff>504825</xdr:colOff>
      <xdr:row>97</xdr:row>
      <xdr:rowOff>57150</xdr:rowOff>
    </xdr:to>
    <xdr:sp macro="" textlink="">
      <xdr:nvSpPr>
        <xdr:cNvPr id="4" name="AutoShape 4">
          <a:extLst>
            <a:ext uri="{FF2B5EF4-FFF2-40B4-BE49-F238E27FC236}">
              <a16:creationId xmlns:a16="http://schemas.microsoft.com/office/drawing/2014/main" xmlns="" id="{00000000-0008-0000-1000-000004000000}"/>
            </a:ext>
          </a:extLst>
        </xdr:cNvPr>
        <xdr:cNvSpPr>
          <a:spLocks noChangeArrowheads="1"/>
        </xdr:cNvSpPr>
      </xdr:nvSpPr>
      <xdr:spPr bwMode="auto">
        <a:xfrm>
          <a:off x="10725150" y="8667750"/>
          <a:ext cx="419100" cy="295275"/>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23</xdr:col>
      <xdr:colOff>85725</xdr:colOff>
      <xdr:row>81</xdr:row>
      <xdr:rowOff>104775</xdr:rowOff>
    </xdr:from>
    <xdr:to>
      <xdr:col>23</xdr:col>
      <xdr:colOff>504825</xdr:colOff>
      <xdr:row>83</xdr:row>
      <xdr:rowOff>57150</xdr:rowOff>
    </xdr:to>
    <xdr:sp macro="" textlink="">
      <xdr:nvSpPr>
        <xdr:cNvPr id="5" name="AutoShape 4">
          <a:extLst>
            <a:ext uri="{FF2B5EF4-FFF2-40B4-BE49-F238E27FC236}">
              <a16:creationId xmlns:a16="http://schemas.microsoft.com/office/drawing/2014/main" xmlns="" id="{00000000-0008-0000-1000-000005000000}"/>
            </a:ext>
          </a:extLst>
        </xdr:cNvPr>
        <xdr:cNvSpPr>
          <a:spLocks noChangeArrowheads="1"/>
        </xdr:cNvSpPr>
      </xdr:nvSpPr>
      <xdr:spPr bwMode="auto">
        <a:xfrm>
          <a:off x="10725150" y="8667750"/>
          <a:ext cx="419100" cy="295275"/>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21</xdr:col>
      <xdr:colOff>7793</xdr:colOff>
      <xdr:row>75</xdr:row>
      <xdr:rowOff>118876</xdr:rowOff>
    </xdr:from>
    <xdr:to>
      <xdr:col>22</xdr:col>
      <xdr:colOff>198292</xdr:colOff>
      <xdr:row>78</xdr:row>
      <xdr:rowOff>113433</xdr:rowOff>
    </xdr:to>
    <xdr:pic>
      <xdr:nvPicPr>
        <xdr:cNvPr id="6" name="Picture 113" descr="E:\My Documents\Excel\04_1040\IRS Forms\CAUTION_Black.jpg">
          <a:extLst>
            <a:ext uri="{FF2B5EF4-FFF2-40B4-BE49-F238E27FC236}">
              <a16:creationId xmlns:a16="http://schemas.microsoft.com/office/drawing/2014/main" xmlns="" id="{00000000-0008-0000-1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69657" y="5245058"/>
          <a:ext cx="432954" cy="4959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361950</xdr:colOff>
      <xdr:row>66</xdr:row>
      <xdr:rowOff>34637</xdr:rowOff>
    </xdr:from>
    <xdr:to>
      <xdr:col>32</xdr:col>
      <xdr:colOff>714375</xdr:colOff>
      <xdr:row>68</xdr:row>
      <xdr:rowOff>111183</xdr:rowOff>
    </xdr:to>
    <xdr:pic>
      <xdr:nvPicPr>
        <xdr:cNvPr id="7" name="Picture 27">
          <a:extLst>
            <a:ext uri="{FF2B5EF4-FFF2-40B4-BE49-F238E27FC236}">
              <a16:creationId xmlns:a16="http://schemas.microsoft.com/office/drawing/2014/main" xmlns="" id="{00000000-0008-0000-1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97250" y="10035887"/>
          <a:ext cx="352425" cy="390871"/>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57150</xdr:colOff>
      <xdr:row>64</xdr:row>
      <xdr:rowOff>19050</xdr:rowOff>
    </xdr:from>
    <xdr:to>
      <xdr:col>11</xdr:col>
      <xdr:colOff>161017</xdr:colOff>
      <xdr:row>67</xdr:row>
      <xdr:rowOff>19050</xdr:rowOff>
    </xdr:to>
    <xdr:sp macro="" textlink="">
      <xdr:nvSpPr>
        <xdr:cNvPr id="8" name="AutoShape 48">
          <a:extLst>
            <a:ext uri="{FF2B5EF4-FFF2-40B4-BE49-F238E27FC236}">
              <a16:creationId xmlns:a16="http://schemas.microsoft.com/office/drawing/2014/main" xmlns="" id="{00000000-0008-0000-1000-000008000000}"/>
            </a:ext>
          </a:extLst>
        </xdr:cNvPr>
        <xdr:cNvSpPr>
          <a:spLocks/>
        </xdr:cNvSpPr>
      </xdr:nvSpPr>
      <xdr:spPr bwMode="auto">
        <a:xfrm>
          <a:off x="5334000" y="10045700"/>
          <a:ext cx="103867" cy="457200"/>
        </a:xfrm>
        <a:prstGeom prst="rightBrace">
          <a:avLst>
            <a:gd name="adj1" fmla="val 29999"/>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32</xdr:col>
      <xdr:colOff>295275</xdr:colOff>
      <xdr:row>20</xdr:row>
      <xdr:rowOff>28575</xdr:rowOff>
    </xdr:from>
    <xdr:ext cx="334937" cy="371476"/>
    <xdr:pic>
      <xdr:nvPicPr>
        <xdr:cNvPr id="9" name="Picture 27">
          <a:extLst>
            <a:ext uri="{FF2B5EF4-FFF2-40B4-BE49-F238E27FC236}">
              <a16:creationId xmlns:a16="http://schemas.microsoft.com/office/drawing/2014/main" xmlns="" id="{00000000-0008-0000-10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30575" y="3400425"/>
          <a:ext cx="334937" cy="37147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oneCellAnchor>
    <xdr:from>
      <xdr:col>32</xdr:col>
      <xdr:colOff>361950</xdr:colOff>
      <xdr:row>45</xdr:row>
      <xdr:rowOff>76200</xdr:rowOff>
    </xdr:from>
    <xdr:ext cx="428625" cy="475384"/>
    <xdr:pic>
      <xdr:nvPicPr>
        <xdr:cNvPr id="11" name="Picture 27">
          <a:extLst>
            <a:ext uri="{FF2B5EF4-FFF2-40B4-BE49-F238E27FC236}">
              <a16:creationId xmlns:a16="http://schemas.microsoft.com/office/drawing/2014/main" xmlns="" id="{00000000-0008-0000-1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97250" y="7658100"/>
          <a:ext cx="428625" cy="475384"/>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oneCellAnchor>
    <xdr:from>
      <xdr:col>32</xdr:col>
      <xdr:colOff>400050</xdr:colOff>
      <xdr:row>4</xdr:row>
      <xdr:rowOff>38100</xdr:rowOff>
    </xdr:from>
    <xdr:ext cx="334937" cy="371476"/>
    <xdr:pic>
      <xdr:nvPicPr>
        <xdr:cNvPr id="13" name="Picture 27">
          <a:extLst>
            <a:ext uri="{FF2B5EF4-FFF2-40B4-BE49-F238E27FC236}">
              <a16:creationId xmlns:a16="http://schemas.microsoft.com/office/drawing/2014/main" xmlns="" id="{00000000-0008-0000-10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35350" y="704850"/>
          <a:ext cx="334937" cy="37147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3</xdr:col>
      <xdr:colOff>1038225</xdr:colOff>
      <xdr:row>33</xdr:row>
      <xdr:rowOff>19050</xdr:rowOff>
    </xdr:from>
    <xdr:to>
      <xdr:col>3</xdr:col>
      <xdr:colOff>1133475</xdr:colOff>
      <xdr:row>34</xdr:row>
      <xdr:rowOff>9525</xdr:rowOff>
    </xdr:to>
    <xdr:pic>
      <xdr:nvPicPr>
        <xdr:cNvPr id="101867" name="Picture 1">
          <a:extLst>
            <a:ext uri="{FF2B5EF4-FFF2-40B4-BE49-F238E27FC236}">
              <a16:creationId xmlns:a16="http://schemas.microsoft.com/office/drawing/2014/main" xmlns="" id="{00000000-0008-0000-1100-0000EB8D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5525" y="56197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885825</xdr:colOff>
      <xdr:row>11</xdr:row>
      <xdr:rowOff>28575</xdr:rowOff>
    </xdr:from>
    <xdr:to>
      <xdr:col>6</xdr:col>
      <xdr:colOff>962025</xdr:colOff>
      <xdr:row>12</xdr:row>
      <xdr:rowOff>0</xdr:rowOff>
    </xdr:to>
    <xdr:pic>
      <xdr:nvPicPr>
        <xdr:cNvPr id="101868" name="Picture 2">
          <a:extLst>
            <a:ext uri="{FF2B5EF4-FFF2-40B4-BE49-F238E27FC236}">
              <a16:creationId xmlns:a16="http://schemas.microsoft.com/office/drawing/2014/main" xmlns="" id="{00000000-0008-0000-1100-0000EC8D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6225" y="1781175"/>
          <a:ext cx="76200" cy="13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1238250</xdr:colOff>
      <xdr:row>31</xdr:row>
      <xdr:rowOff>19050</xdr:rowOff>
    </xdr:from>
    <xdr:to>
      <xdr:col>6</xdr:col>
      <xdr:colOff>1314450</xdr:colOff>
      <xdr:row>31</xdr:row>
      <xdr:rowOff>152400</xdr:rowOff>
    </xdr:to>
    <xdr:pic>
      <xdr:nvPicPr>
        <xdr:cNvPr id="101869" name="Picture 3">
          <a:extLst>
            <a:ext uri="{FF2B5EF4-FFF2-40B4-BE49-F238E27FC236}">
              <a16:creationId xmlns:a16="http://schemas.microsoft.com/office/drawing/2014/main" xmlns="" id="{00000000-0008-0000-1100-0000ED8D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95950" y="5295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1190625</xdr:colOff>
      <xdr:row>54</xdr:row>
      <xdr:rowOff>19050</xdr:rowOff>
    </xdr:from>
    <xdr:to>
      <xdr:col>6</xdr:col>
      <xdr:colOff>1266825</xdr:colOff>
      <xdr:row>54</xdr:row>
      <xdr:rowOff>152400</xdr:rowOff>
    </xdr:to>
    <xdr:pic>
      <xdr:nvPicPr>
        <xdr:cNvPr id="101870" name="Picture 4">
          <a:extLst>
            <a:ext uri="{FF2B5EF4-FFF2-40B4-BE49-F238E27FC236}">
              <a16:creationId xmlns:a16="http://schemas.microsoft.com/office/drawing/2014/main" xmlns="" id="{00000000-0008-0000-1100-0000EE8D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48325" y="90201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1238250</xdr:colOff>
      <xdr:row>66</xdr:row>
      <xdr:rowOff>161925</xdr:rowOff>
    </xdr:from>
    <xdr:to>
      <xdr:col>3</xdr:col>
      <xdr:colOff>1314450</xdr:colOff>
      <xdr:row>67</xdr:row>
      <xdr:rowOff>133350</xdr:rowOff>
    </xdr:to>
    <xdr:pic>
      <xdr:nvPicPr>
        <xdr:cNvPr id="101871" name="Picture 6">
          <a:extLst>
            <a:ext uri="{FF2B5EF4-FFF2-40B4-BE49-F238E27FC236}">
              <a16:creationId xmlns:a16="http://schemas.microsoft.com/office/drawing/2014/main" xmlns="" id="{00000000-0008-0000-1100-0000EF8D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10629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190500</xdr:colOff>
      <xdr:row>59</xdr:row>
      <xdr:rowOff>28575</xdr:rowOff>
    </xdr:from>
    <xdr:to>
      <xdr:col>16</xdr:col>
      <xdr:colOff>0</xdr:colOff>
      <xdr:row>63</xdr:row>
      <xdr:rowOff>114300</xdr:rowOff>
    </xdr:to>
    <xdr:sp macro="" textlink="">
      <xdr:nvSpPr>
        <xdr:cNvPr id="103103" name="AutoShape 1">
          <a:extLst>
            <a:ext uri="{FF2B5EF4-FFF2-40B4-BE49-F238E27FC236}">
              <a16:creationId xmlns:a16="http://schemas.microsoft.com/office/drawing/2014/main" xmlns="" id="{00000000-0008-0000-1200-0000BF920100}"/>
            </a:ext>
          </a:extLst>
        </xdr:cNvPr>
        <xdr:cNvSpPr>
          <a:spLocks/>
        </xdr:cNvSpPr>
      </xdr:nvSpPr>
      <xdr:spPr bwMode="auto">
        <a:xfrm>
          <a:off x="6143625" y="9124950"/>
          <a:ext cx="114300" cy="733425"/>
        </a:xfrm>
        <a:prstGeom prst="rightBrace">
          <a:avLst>
            <a:gd name="adj1" fmla="val 5347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180975</xdr:colOff>
      <xdr:row>55</xdr:row>
      <xdr:rowOff>114300</xdr:rowOff>
    </xdr:from>
    <xdr:to>
      <xdr:col>16</xdr:col>
      <xdr:colOff>9525</xdr:colOff>
      <xdr:row>58</xdr:row>
      <xdr:rowOff>47625</xdr:rowOff>
    </xdr:to>
    <xdr:sp macro="" textlink="">
      <xdr:nvSpPr>
        <xdr:cNvPr id="103104" name="AutoShape 2">
          <a:extLst>
            <a:ext uri="{FF2B5EF4-FFF2-40B4-BE49-F238E27FC236}">
              <a16:creationId xmlns:a16="http://schemas.microsoft.com/office/drawing/2014/main" xmlns="" id="{00000000-0008-0000-1200-0000C0920100}"/>
            </a:ext>
          </a:extLst>
        </xdr:cNvPr>
        <xdr:cNvSpPr>
          <a:spLocks/>
        </xdr:cNvSpPr>
      </xdr:nvSpPr>
      <xdr:spPr bwMode="auto">
        <a:xfrm>
          <a:off x="6134100" y="8562975"/>
          <a:ext cx="133350" cy="419100"/>
        </a:xfrm>
        <a:prstGeom prst="rightBrace">
          <a:avLst>
            <a:gd name="adj1" fmla="val 2619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295275</xdr:colOff>
      <xdr:row>5</xdr:row>
      <xdr:rowOff>19050</xdr:rowOff>
    </xdr:from>
    <xdr:to>
      <xdr:col>3</xdr:col>
      <xdr:colOff>371475</xdr:colOff>
      <xdr:row>6</xdr:row>
      <xdr:rowOff>0</xdr:rowOff>
    </xdr:to>
    <xdr:pic>
      <xdr:nvPicPr>
        <xdr:cNvPr id="103105" name="Picture 3">
          <a:extLst>
            <a:ext uri="{FF2B5EF4-FFF2-40B4-BE49-F238E27FC236}">
              <a16:creationId xmlns:a16="http://schemas.microsoft.com/office/drawing/2014/main" xmlns="" id="{00000000-0008-0000-1200-0000C19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5925" y="10953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504825</xdr:colOff>
      <xdr:row>6</xdr:row>
      <xdr:rowOff>19050</xdr:rowOff>
    </xdr:from>
    <xdr:to>
      <xdr:col>3</xdr:col>
      <xdr:colOff>561975</xdr:colOff>
      <xdr:row>6</xdr:row>
      <xdr:rowOff>123825</xdr:rowOff>
    </xdr:to>
    <xdr:pic>
      <xdr:nvPicPr>
        <xdr:cNvPr id="103106" name="Picture 3">
          <a:extLst>
            <a:ext uri="{FF2B5EF4-FFF2-40B4-BE49-F238E27FC236}">
              <a16:creationId xmlns:a16="http://schemas.microsoft.com/office/drawing/2014/main" xmlns="" id="{00000000-0008-0000-1200-0000C29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5475" y="1247775"/>
          <a:ext cx="5715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149225</xdr:colOff>
      <xdr:row>10</xdr:row>
      <xdr:rowOff>12700</xdr:rowOff>
    </xdr:from>
    <xdr:to>
      <xdr:col>14</xdr:col>
      <xdr:colOff>225425</xdr:colOff>
      <xdr:row>10</xdr:row>
      <xdr:rowOff>146050</xdr:rowOff>
    </xdr:to>
    <xdr:pic>
      <xdr:nvPicPr>
        <xdr:cNvPr id="103107" name="Picture 3">
          <a:extLst>
            <a:ext uri="{FF2B5EF4-FFF2-40B4-BE49-F238E27FC236}">
              <a16:creationId xmlns:a16="http://schemas.microsoft.com/office/drawing/2014/main" xmlns="" id="{00000000-0008-0000-1200-0000C39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9775" y="18732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152400</xdr:colOff>
      <xdr:row>16</xdr:row>
      <xdr:rowOff>31750</xdr:rowOff>
    </xdr:from>
    <xdr:to>
      <xdr:col>12</xdr:col>
      <xdr:colOff>228600</xdr:colOff>
      <xdr:row>16</xdr:row>
      <xdr:rowOff>165100</xdr:rowOff>
    </xdr:to>
    <xdr:pic>
      <xdr:nvPicPr>
        <xdr:cNvPr id="103108" name="Picture 3">
          <a:extLst>
            <a:ext uri="{FF2B5EF4-FFF2-40B4-BE49-F238E27FC236}">
              <a16:creationId xmlns:a16="http://schemas.microsoft.com/office/drawing/2014/main" xmlns="" id="{00000000-0008-0000-1200-0000C49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3350" y="2724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180975</xdr:colOff>
      <xdr:row>19</xdr:row>
      <xdr:rowOff>19050</xdr:rowOff>
    </xdr:from>
    <xdr:to>
      <xdr:col>16</xdr:col>
      <xdr:colOff>257175</xdr:colOff>
      <xdr:row>19</xdr:row>
      <xdr:rowOff>152400</xdr:rowOff>
    </xdr:to>
    <xdr:pic>
      <xdr:nvPicPr>
        <xdr:cNvPr id="103109" name="Picture 3">
          <a:extLst>
            <a:ext uri="{FF2B5EF4-FFF2-40B4-BE49-F238E27FC236}">
              <a16:creationId xmlns:a16="http://schemas.microsoft.com/office/drawing/2014/main" xmlns="" id="{00000000-0008-0000-1200-0000C59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30861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196850</xdr:colOff>
      <xdr:row>24</xdr:row>
      <xdr:rowOff>19050</xdr:rowOff>
    </xdr:from>
    <xdr:to>
      <xdr:col>15</xdr:col>
      <xdr:colOff>273050</xdr:colOff>
      <xdr:row>25</xdr:row>
      <xdr:rowOff>0</xdr:rowOff>
    </xdr:to>
    <xdr:pic>
      <xdr:nvPicPr>
        <xdr:cNvPr id="9" name="Picture 3">
          <a:extLst>
            <a:ext uri="{FF2B5EF4-FFF2-40B4-BE49-F238E27FC236}">
              <a16:creationId xmlns:a16="http://schemas.microsoft.com/office/drawing/2014/main" xmlns="" id="{00000000-0008-0000-12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72200" y="39687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185420</xdr:colOff>
      <xdr:row>48</xdr:row>
      <xdr:rowOff>55880</xdr:rowOff>
    </xdr:from>
    <xdr:to>
      <xdr:col>17</xdr:col>
      <xdr:colOff>261620</xdr:colOff>
      <xdr:row>48</xdr:row>
      <xdr:rowOff>189230</xdr:rowOff>
    </xdr:to>
    <xdr:pic>
      <xdr:nvPicPr>
        <xdr:cNvPr id="10" name="Picture 3">
          <a:extLst>
            <a:ext uri="{FF2B5EF4-FFF2-40B4-BE49-F238E27FC236}">
              <a16:creationId xmlns:a16="http://schemas.microsoft.com/office/drawing/2014/main" xmlns="" id="{00000000-0008-0000-12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46240" y="75311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142875</xdr:colOff>
      <xdr:row>92</xdr:row>
      <xdr:rowOff>38100</xdr:rowOff>
    </xdr:from>
    <xdr:to>
      <xdr:col>13</xdr:col>
      <xdr:colOff>219075</xdr:colOff>
      <xdr:row>92</xdr:row>
      <xdr:rowOff>171450</xdr:rowOff>
    </xdr:to>
    <xdr:pic>
      <xdr:nvPicPr>
        <xdr:cNvPr id="11" name="Picture 3">
          <a:extLst>
            <a:ext uri="{FF2B5EF4-FFF2-40B4-BE49-F238E27FC236}">
              <a16:creationId xmlns:a16="http://schemas.microsoft.com/office/drawing/2014/main" xmlns="" id="{00000000-0008-0000-12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136398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205740</xdr:colOff>
      <xdr:row>30</xdr:row>
      <xdr:rowOff>0</xdr:rowOff>
    </xdr:from>
    <xdr:to>
      <xdr:col>17</xdr:col>
      <xdr:colOff>281940</xdr:colOff>
      <xdr:row>30</xdr:row>
      <xdr:rowOff>133350</xdr:rowOff>
    </xdr:to>
    <xdr:pic>
      <xdr:nvPicPr>
        <xdr:cNvPr id="12" name="Picture 3">
          <a:extLst>
            <a:ext uri="{FF2B5EF4-FFF2-40B4-BE49-F238E27FC236}">
              <a16:creationId xmlns:a16="http://schemas.microsoft.com/office/drawing/2014/main" xmlns="" id="{00000000-0008-0000-12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6560" y="480822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22225</xdr:colOff>
      <xdr:row>86</xdr:row>
      <xdr:rowOff>0</xdr:rowOff>
    </xdr:from>
    <xdr:to>
      <xdr:col>7</xdr:col>
      <xdr:colOff>98425</xdr:colOff>
      <xdr:row>87</xdr:row>
      <xdr:rowOff>104775</xdr:rowOff>
    </xdr:to>
    <xdr:sp macro="" textlink="">
      <xdr:nvSpPr>
        <xdr:cNvPr id="103982" name="AutoShape 7">
          <a:extLst>
            <a:ext uri="{FF2B5EF4-FFF2-40B4-BE49-F238E27FC236}">
              <a16:creationId xmlns:a16="http://schemas.microsoft.com/office/drawing/2014/main" xmlns="" id="{00000000-0008-0000-1300-00002E960100}"/>
            </a:ext>
          </a:extLst>
        </xdr:cNvPr>
        <xdr:cNvSpPr>
          <a:spLocks/>
        </xdr:cNvSpPr>
      </xdr:nvSpPr>
      <xdr:spPr bwMode="auto">
        <a:xfrm>
          <a:off x="3482975" y="15125700"/>
          <a:ext cx="76200" cy="269875"/>
        </a:xfrm>
        <a:prstGeom prst="rightBrace">
          <a:avLst>
            <a:gd name="adj1" fmla="val 3657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5</xdr:col>
      <xdr:colOff>415803</xdr:colOff>
      <xdr:row>5</xdr:row>
      <xdr:rowOff>28575</xdr:rowOff>
    </xdr:from>
    <xdr:to>
      <xdr:col>5</xdr:col>
      <xdr:colOff>492003</xdr:colOff>
      <xdr:row>5</xdr:row>
      <xdr:rowOff>161925</xdr:rowOff>
    </xdr:to>
    <xdr:pic>
      <xdr:nvPicPr>
        <xdr:cNvPr id="103983" name="Picture 3">
          <a:extLst>
            <a:ext uri="{FF2B5EF4-FFF2-40B4-BE49-F238E27FC236}">
              <a16:creationId xmlns:a16="http://schemas.microsoft.com/office/drawing/2014/main" xmlns="" id="{00000000-0008-0000-1300-00002F9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0303" y="863844"/>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20760</xdr:colOff>
      <xdr:row>4</xdr:row>
      <xdr:rowOff>35292</xdr:rowOff>
    </xdr:from>
    <xdr:to>
      <xdr:col>5</xdr:col>
      <xdr:colOff>96960</xdr:colOff>
      <xdr:row>5</xdr:row>
      <xdr:rowOff>7450</xdr:rowOff>
    </xdr:to>
    <xdr:pic>
      <xdr:nvPicPr>
        <xdr:cNvPr id="103985" name="Picture 3">
          <a:extLst>
            <a:ext uri="{FF2B5EF4-FFF2-40B4-BE49-F238E27FC236}">
              <a16:creationId xmlns:a16="http://schemas.microsoft.com/office/drawing/2014/main" xmlns="" id="{00000000-0008-0000-1300-0000319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5260" y="709369"/>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581025</xdr:colOff>
      <xdr:row>71</xdr:row>
      <xdr:rowOff>57150</xdr:rowOff>
    </xdr:from>
    <xdr:to>
      <xdr:col>11</xdr:col>
      <xdr:colOff>657225</xdr:colOff>
      <xdr:row>72</xdr:row>
      <xdr:rowOff>28575</xdr:rowOff>
    </xdr:to>
    <xdr:pic>
      <xdr:nvPicPr>
        <xdr:cNvPr id="103986" name="Picture 3">
          <a:extLst>
            <a:ext uri="{FF2B5EF4-FFF2-40B4-BE49-F238E27FC236}">
              <a16:creationId xmlns:a16="http://schemas.microsoft.com/office/drawing/2014/main" xmlns="" id="{00000000-0008-0000-1300-0000329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103917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590550</xdr:colOff>
      <xdr:row>74</xdr:row>
      <xdr:rowOff>57150</xdr:rowOff>
    </xdr:from>
    <xdr:to>
      <xdr:col>11</xdr:col>
      <xdr:colOff>666750</xdr:colOff>
      <xdr:row>75</xdr:row>
      <xdr:rowOff>19050</xdr:rowOff>
    </xdr:to>
    <xdr:pic>
      <xdr:nvPicPr>
        <xdr:cNvPr id="103987" name="Picture 3">
          <a:extLst>
            <a:ext uri="{FF2B5EF4-FFF2-40B4-BE49-F238E27FC236}">
              <a16:creationId xmlns:a16="http://schemas.microsoft.com/office/drawing/2014/main" xmlns="" id="{00000000-0008-0000-1300-0000339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53150" y="10810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558800</xdr:colOff>
      <xdr:row>3</xdr:row>
      <xdr:rowOff>38100</xdr:rowOff>
    </xdr:from>
    <xdr:to>
      <xdr:col>6</xdr:col>
      <xdr:colOff>635000</xdr:colOff>
      <xdr:row>3</xdr:row>
      <xdr:rowOff>171450</xdr:rowOff>
    </xdr:to>
    <xdr:pic>
      <xdr:nvPicPr>
        <xdr:cNvPr id="8" name="Picture 3">
          <a:extLst>
            <a:ext uri="{FF2B5EF4-FFF2-40B4-BE49-F238E27FC236}">
              <a16:creationId xmlns:a16="http://schemas.microsoft.com/office/drawing/2014/main" xmlns="" id="{00000000-0008-0000-1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8150" y="5334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9</xdr:col>
      <xdr:colOff>468923</xdr:colOff>
      <xdr:row>94</xdr:row>
      <xdr:rowOff>0</xdr:rowOff>
    </xdr:from>
    <xdr:to>
      <xdr:col>9</xdr:col>
      <xdr:colOff>586155</xdr:colOff>
      <xdr:row>97</xdr:row>
      <xdr:rowOff>80596</xdr:rowOff>
    </xdr:to>
    <xdr:sp macro="" textlink="">
      <xdr:nvSpPr>
        <xdr:cNvPr id="124010" name="AutoShape 1">
          <a:extLst>
            <a:ext uri="{FF2B5EF4-FFF2-40B4-BE49-F238E27FC236}">
              <a16:creationId xmlns:a16="http://schemas.microsoft.com/office/drawing/2014/main" xmlns="" id="{00000000-0008-0000-1400-00006AE40100}"/>
            </a:ext>
          </a:extLst>
        </xdr:cNvPr>
        <xdr:cNvSpPr>
          <a:spLocks/>
        </xdr:cNvSpPr>
      </xdr:nvSpPr>
      <xdr:spPr bwMode="auto">
        <a:xfrm>
          <a:off x="4564673" y="9876692"/>
          <a:ext cx="117232" cy="578827"/>
        </a:xfrm>
        <a:prstGeom prst="rightBrace">
          <a:avLst>
            <a:gd name="adj1" fmla="val 3137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200025</xdr:colOff>
      <xdr:row>52</xdr:row>
      <xdr:rowOff>66675</xdr:rowOff>
    </xdr:from>
    <xdr:to>
      <xdr:col>10</xdr:col>
      <xdr:colOff>276225</xdr:colOff>
      <xdr:row>55</xdr:row>
      <xdr:rowOff>9525</xdr:rowOff>
    </xdr:to>
    <xdr:sp macro="" textlink="">
      <xdr:nvSpPr>
        <xdr:cNvPr id="124011" name="AutoShape 2">
          <a:extLst>
            <a:ext uri="{FF2B5EF4-FFF2-40B4-BE49-F238E27FC236}">
              <a16:creationId xmlns:a16="http://schemas.microsoft.com/office/drawing/2014/main" xmlns="" id="{00000000-0008-0000-1400-00006BE40100}"/>
            </a:ext>
          </a:extLst>
        </xdr:cNvPr>
        <xdr:cNvSpPr>
          <a:spLocks/>
        </xdr:cNvSpPr>
      </xdr:nvSpPr>
      <xdr:spPr bwMode="auto">
        <a:xfrm>
          <a:off x="5276850" y="2724150"/>
          <a:ext cx="76200" cy="457200"/>
        </a:xfrm>
        <a:prstGeom prst="rightBrace">
          <a:avLst>
            <a:gd name="adj1" fmla="val 5000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53975</xdr:colOff>
      <xdr:row>49</xdr:row>
      <xdr:rowOff>82550</xdr:rowOff>
    </xdr:from>
    <xdr:to>
      <xdr:col>18</xdr:col>
      <xdr:colOff>53975</xdr:colOff>
      <xdr:row>49</xdr:row>
      <xdr:rowOff>82550</xdr:rowOff>
    </xdr:to>
    <xdr:sp macro="" textlink="">
      <xdr:nvSpPr>
        <xdr:cNvPr id="124012" name="Line 3">
          <a:extLst>
            <a:ext uri="{FF2B5EF4-FFF2-40B4-BE49-F238E27FC236}">
              <a16:creationId xmlns:a16="http://schemas.microsoft.com/office/drawing/2014/main" xmlns="" id="{00000000-0008-0000-1400-00006CE40100}"/>
            </a:ext>
          </a:extLst>
        </xdr:cNvPr>
        <xdr:cNvSpPr>
          <a:spLocks noChangeShapeType="1"/>
        </xdr:cNvSpPr>
      </xdr:nvSpPr>
      <xdr:spPr bwMode="auto">
        <a:xfrm flipH="1" flipV="1">
          <a:off x="8753475" y="1282700"/>
          <a:ext cx="584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47625</xdr:colOff>
      <xdr:row>51</xdr:row>
      <xdr:rowOff>95250</xdr:rowOff>
    </xdr:from>
    <xdr:to>
      <xdr:col>18</xdr:col>
      <xdr:colOff>47625</xdr:colOff>
      <xdr:row>51</xdr:row>
      <xdr:rowOff>95250</xdr:rowOff>
    </xdr:to>
    <xdr:sp macro="" textlink="">
      <xdr:nvSpPr>
        <xdr:cNvPr id="124013" name="Line 4">
          <a:extLst>
            <a:ext uri="{FF2B5EF4-FFF2-40B4-BE49-F238E27FC236}">
              <a16:creationId xmlns:a16="http://schemas.microsoft.com/office/drawing/2014/main" xmlns="" id="{00000000-0008-0000-1400-00006DE40100}"/>
            </a:ext>
          </a:extLst>
        </xdr:cNvPr>
        <xdr:cNvSpPr>
          <a:spLocks noChangeShapeType="1"/>
        </xdr:cNvSpPr>
      </xdr:nvSpPr>
      <xdr:spPr bwMode="auto">
        <a:xfrm flipH="1" flipV="1">
          <a:off x="8696325" y="14478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38100</xdr:colOff>
      <xdr:row>54</xdr:row>
      <xdr:rowOff>66675</xdr:rowOff>
    </xdr:from>
    <xdr:to>
      <xdr:col>18</xdr:col>
      <xdr:colOff>38100</xdr:colOff>
      <xdr:row>54</xdr:row>
      <xdr:rowOff>66675</xdr:rowOff>
    </xdr:to>
    <xdr:sp macro="" textlink="">
      <xdr:nvSpPr>
        <xdr:cNvPr id="124014" name="Line 5">
          <a:extLst>
            <a:ext uri="{FF2B5EF4-FFF2-40B4-BE49-F238E27FC236}">
              <a16:creationId xmlns:a16="http://schemas.microsoft.com/office/drawing/2014/main" xmlns="" id="{00000000-0008-0000-1400-00006EE40100}"/>
            </a:ext>
          </a:extLst>
        </xdr:cNvPr>
        <xdr:cNvSpPr>
          <a:spLocks noChangeShapeType="1"/>
        </xdr:cNvSpPr>
      </xdr:nvSpPr>
      <xdr:spPr bwMode="auto">
        <a:xfrm flipH="1" flipV="1">
          <a:off x="8686800" y="2085975"/>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38100</xdr:colOff>
      <xdr:row>56</xdr:row>
      <xdr:rowOff>95250</xdr:rowOff>
    </xdr:from>
    <xdr:to>
      <xdr:col>18</xdr:col>
      <xdr:colOff>38100</xdr:colOff>
      <xdr:row>56</xdr:row>
      <xdr:rowOff>95250</xdr:rowOff>
    </xdr:to>
    <xdr:sp macro="" textlink="">
      <xdr:nvSpPr>
        <xdr:cNvPr id="124015" name="Line 6">
          <a:extLst>
            <a:ext uri="{FF2B5EF4-FFF2-40B4-BE49-F238E27FC236}">
              <a16:creationId xmlns:a16="http://schemas.microsoft.com/office/drawing/2014/main" xmlns="" id="{00000000-0008-0000-1400-00006FE40100}"/>
            </a:ext>
          </a:extLst>
        </xdr:cNvPr>
        <xdr:cNvSpPr>
          <a:spLocks noChangeShapeType="1"/>
        </xdr:cNvSpPr>
      </xdr:nvSpPr>
      <xdr:spPr bwMode="auto">
        <a:xfrm flipH="1" flipV="1">
          <a:off x="8686800" y="26289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15</xdr:col>
      <xdr:colOff>419100</xdr:colOff>
      <xdr:row>64</xdr:row>
      <xdr:rowOff>57150</xdr:rowOff>
    </xdr:from>
    <xdr:to>
      <xdr:col>15</xdr:col>
      <xdr:colOff>771525</xdr:colOff>
      <xdr:row>65</xdr:row>
      <xdr:rowOff>152399</xdr:rowOff>
    </xdr:to>
    <xdr:pic>
      <xdr:nvPicPr>
        <xdr:cNvPr id="124016" name="Picture 7" descr="E:\My Documents\Excel\03_1040\Pencil - Blue.jpg">
          <a:extLst>
            <a:ext uri="{FF2B5EF4-FFF2-40B4-BE49-F238E27FC236}">
              <a16:creationId xmlns:a16="http://schemas.microsoft.com/office/drawing/2014/main" xmlns="" id="{00000000-0008-0000-1400-000070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0" y="388620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476250</xdr:colOff>
      <xdr:row>36</xdr:row>
      <xdr:rowOff>114300</xdr:rowOff>
    </xdr:from>
    <xdr:to>
      <xdr:col>13</xdr:col>
      <xdr:colOff>828675</xdr:colOff>
      <xdr:row>38</xdr:row>
      <xdr:rowOff>133350</xdr:rowOff>
    </xdr:to>
    <xdr:pic>
      <xdr:nvPicPr>
        <xdr:cNvPr id="124017" name="Picture 8" descr="E:\My Documents\Excel\03_1040\Pencil - Blue.jpg">
          <a:extLst>
            <a:ext uri="{FF2B5EF4-FFF2-40B4-BE49-F238E27FC236}">
              <a16:creationId xmlns:a16="http://schemas.microsoft.com/office/drawing/2014/main" xmlns="" id="{00000000-0008-0000-1400-000071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11430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1028700</xdr:colOff>
      <xdr:row>100</xdr:row>
      <xdr:rowOff>38100</xdr:rowOff>
    </xdr:from>
    <xdr:to>
      <xdr:col>12</xdr:col>
      <xdr:colOff>0</xdr:colOff>
      <xdr:row>101</xdr:row>
      <xdr:rowOff>28575</xdr:rowOff>
    </xdr:to>
    <xdr:pic>
      <xdr:nvPicPr>
        <xdr:cNvPr id="124018" name="Picture 1">
          <a:extLst>
            <a:ext uri="{FF2B5EF4-FFF2-40B4-BE49-F238E27FC236}">
              <a16:creationId xmlns:a16="http://schemas.microsoft.com/office/drawing/2014/main" xmlns="" id="{00000000-0008-0000-1400-000072E4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9850" y="1016317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1028700</xdr:colOff>
      <xdr:row>101</xdr:row>
      <xdr:rowOff>38100</xdr:rowOff>
    </xdr:from>
    <xdr:to>
      <xdr:col>12</xdr:col>
      <xdr:colOff>0</xdr:colOff>
      <xdr:row>102</xdr:row>
      <xdr:rowOff>28576</xdr:rowOff>
    </xdr:to>
    <xdr:pic>
      <xdr:nvPicPr>
        <xdr:cNvPr id="124019" name="Picture 1">
          <a:extLst>
            <a:ext uri="{FF2B5EF4-FFF2-40B4-BE49-F238E27FC236}">
              <a16:creationId xmlns:a16="http://schemas.microsoft.com/office/drawing/2014/main" xmlns="" id="{00000000-0008-0000-1400-000073E4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9850" y="103251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1047750</xdr:colOff>
      <xdr:row>105</xdr:row>
      <xdr:rowOff>19050</xdr:rowOff>
    </xdr:from>
    <xdr:to>
      <xdr:col>12</xdr:col>
      <xdr:colOff>19050</xdr:colOff>
      <xdr:row>106</xdr:row>
      <xdr:rowOff>9524</xdr:rowOff>
    </xdr:to>
    <xdr:pic>
      <xdr:nvPicPr>
        <xdr:cNvPr id="124020" name="Picture 1">
          <a:extLst>
            <a:ext uri="{FF2B5EF4-FFF2-40B4-BE49-F238E27FC236}">
              <a16:creationId xmlns:a16="http://schemas.microsoft.com/office/drawing/2014/main" xmlns="" id="{00000000-0008-0000-1400-000074E4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38900" y="109537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1057275</xdr:colOff>
      <xdr:row>125</xdr:row>
      <xdr:rowOff>19050</xdr:rowOff>
    </xdr:from>
    <xdr:to>
      <xdr:col>12</xdr:col>
      <xdr:colOff>28575</xdr:colOff>
      <xdr:row>126</xdr:row>
      <xdr:rowOff>9525</xdr:rowOff>
    </xdr:to>
    <xdr:pic>
      <xdr:nvPicPr>
        <xdr:cNvPr id="124021" name="Picture 1">
          <a:extLst>
            <a:ext uri="{FF2B5EF4-FFF2-40B4-BE49-F238E27FC236}">
              <a16:creationId xmlns:a16="http://schemas.microsoft.com/office/drawing/2014/main" xmlns="" id="{00000000-0008-0000-1400-000075E4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1208722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25400</xdr:colOff>
      <xdr:row>49</xdr:row>
      <xdr:rowOff>44450</xdr:rowOff>
    </xdr:from>
    <xdr:to>
      <xdr:col>14</xdr:col>
      <xdr:colOff>127000</xdr:colOff>
      <xdr:row>55</xdr:row>
      <xdr:rowOff>25400</xdr:rowOff>
    </xdr:to>
    <xdr:sp macro="" textlink="">
      <xdr:nvSpPr>
        <xdr:cNvPr id="14" name="AutoShape 2">
          <a:extLst>
            <a:ext uri="{FF2B5EF4-FFF2-40B4-BE49-F238E27FC236}">
              <a16:creationId xmlns:a16="http://schemas.microsoft.com/office/drawing/2014/main" xmlns="" id="{00000000-0008-0000-1400-00000E000000}"/>
            </a:ext>
          </a:extLst>
        </xdr:cNvPr>
        <xdr:cNvSpPr>
          <a:spLocks/>
        </xdr:cNvSpPr>
      </xdr:nvSpPr>
      <xdr:spPr bwMode="auto">
        <a:xfrm flipH="1">
          <a:off x="7696200" y="2070100"/>
          <a:ext cx="101600" cy="996950"/>
        </a:xfrm>
        <a:prstGeom prst="rightBrace">
          <a:avLst>
            <a:gd name="adj1" fmla="val 50000"/>
            <a:gd name="adj2" fmla="val 50787"/>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466726</xdr:colOff>
      <xdr:row>107</xdr:row>
      <xdr:rowOff>161925</xdr:rowOff>
    </xdr:from>
    <xdr:to>
      <xdr:col>9</xdr:col>
      <xdr:colOff>619126</xdr:colOff>
      <xdr:row>111</xdr:row>
      <xdr:rowOff>104775</xdr:rowOff>
    </xdr:to>
    <xdr:sp macro="" textlink="">
      <xdr:nvSpPr>
        <xdr:cNvPr id="15" name="AutoShape 1">
          <a:extLst>
            <a:ext uri="{FF2B5EF4-FFF2-40B4-BE49-F238E27FC236}">
              <a16:creationId xmlns:a16="http://schemas.microsoft.com/office/drawing/2014/main" xmlns="" id="{00000000-0008-0000-1400-00000F000000}"/>
            </a:ext>
          </a:extLst>
        </xdr:cNvPr>
        <xdr:cNvSpPr>
          <a:spLocks/>
        </xdr:cNvSpPr>
      </xdr:nvSpPr>
      <xdr:spPr bwMode="auto">
        <a:xfrm>
          <a:off x="4581526" y="11763375"/>
          <a:ext cx="152400" cy="628650"/>
        </a:xfrm>
        <a:prstGeom prst="rightBrace">
          <a:avLst>
            <a:gd name="adj1" fmla="val 3137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196850</xdr:colOff>
      <xdr:row>41</xdr:row>
      <xdr:rowOff>107950</xdr:rowOff>
    </xdr:from>
    <xdr:to>
      <xdr:col>10</xdr:col>
      <xdr:colOff>311150</xdr:colOff>
      <xdr:row>47</xdr:row>
      <xdr:rowOff>114300</xdr:rowOff>
    </xdr:to>
    <xdr:sp macro="" textlink="">
      <xdr:nvSpPr>
        <xdr:cNvPr id="16" name="AutoShape 2">
          <a:extLst>
            <a:ext uri="{FF2B5EF4-FFF2-40B4-BE49-F238E27FC236}">
              <a16:creationId xmlns:a16="http://schemas.microsoft.com/office/drawing/2014/main" xmlns="" id="{00000000-0008-0000-1400-000010000000}"/>
            </a:ext>
          </a:extLst>
        </xdr:cNvPr>
        <xdr:cNvSpPr>
          <a:spLocks/>
        </xdr:cNvSpPr>
      </xdr:nvSpPr>
      <xdr:spPr bwMode="auto">
        <a:xfrm>
          <a:off x="5289550" y="977900"/>
          <a:ext cx="114300" cy="996950"/>
        </a:xfrm>
        <a:prstGeom prst="rightBrace">
          <a:avLst>
            <a:gd name="adj1" fmla="val 50000"/>
            <a:gd name="adj2" fmla="val 50787"/>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13</xdr:col>
      <xdr:colOff>476250</xdr:colOff>
      <xdr:row>1</xdr:row>
      <xdr:rowOff>114300</xdr:rowOff>
    </xdr:from>
    <xdr:ext cx="352425" cy="356088"/>
    <xdr:pic>
      <xdr:nvPicPr>
        <xdr:cNvPr id="22" name="Picture 8" descr="E:\My Documents\Excel\03_1040\Pencil - Blue.jpg">
          <a:extLst>
            <a:ext uri="{FF2B5EF4-FFF2-40B4-BE49-F238E27FC236}">
              <a16:creationId xmlns:a16="http://schemas.microsoft.com/office/drawing/2014/main" xmlns="" id="{00000000-0008-0000-14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1673" y="4305300"/>
          <a:ext cx="352425" cy="356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17</xdr:col>
      <xdr:colOff>0</xdr:colOff>
      <xdr:row>5</xdr:row>
      <xdr:rowOff>95250</xdr:rowOff>
    </xdr:from>
    <xdr:to>
      <xdr:col>18</xdr:col>
      <xdr:colOff>102577</xdr:colOff>
      <xdr:row>5</xdr:row>
      <xdr:rowOff>95250</xdr:rowOff>
    </xdr:to>
    <xdr:sp macro="" textlink="">
      <xdr:nvSpPr>
        <xdr:cNvPr id="25" name="Line 3">
          <a:extLst>
            <a:ext uri="{FF2B5EF4-FFF2-40B4-BE49-F238E27FC236}">
              <a16:creationId xmlns:a16="http://schemas.microsoft.com/office/drawing/2014/main" xmlns="" id="{00000000-0008-0000-1400-000019000000}"/>
            </a:ext>
          </a:extLst>
        </xdr:cNvPr>
        <xdr:cNvSpPr>
          <a:spLocks noChangeShapeType="1"/>
        </xdr:cNvSpPr>
      </xdr:nvSpPr>
      <xdr:spPr bwMode="auto">
        <a:xfrm flipH="1" flipV="1">
          <a:off x="8770327" y="1274885"/>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6</xdr:row>
      <xdr:rowOff>95250</xdr:rowOff>
    </xdr:from>
    <xdr:to>
      <xdr:col>18</xdr:col>
      <xdr:colOff>102577</xdr:colOff>
      <xdr:row>6</xdr:row>
      <xdr:rowOff>95250</xdr:rowOff>
    </xdr:to>
    <xdr:sp macro="" textlink="">
      <xdr:nvSpPr>
        <xdr:cNvPr id="26" name="Line 3">
          <a:extLst>
            <a:ext uri="{FF2B5EF4-FFF2-40B4-BE49-F238E27FC236}">
              <a16:creationId xmlns:a16="http://schemas.microsoft.com/office/drawing/2014/main" xmlns="" id="{00000000-0008-0000-1400-00001A000000}"/>
            </a:ext>
          </a:extLst>
        </xdr:cNvPr>
        <xdr:cNvSpPr>
          <a:spLocks noChangeShapeType="1"/>
        </xdr:cNvSpPr>
      </xdr:nvSpPr>
      <xdr:spPr bwMode="auto">
        <a:xfrm flipH="1" flipV="1">
          <a:off x="8770327" y="1274885"/>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7</xdr:row>
      <xdr:rowOff>95250</xdr:rowOff>
    </xdr:from>
    <xdr:to>
      <xdr:col>18</xdr:col>
      <xdr:colOff>102577</xdr:colOff>
      <xdr:row>7</xdr:row>
      <xdr:rowOff>95250</xdr:rowOff>
    </xdr:to>
    <xdr:sp macro="" textlink="">
      <xdr:nvSpPr>
        <xdr:cNvPr id="27" name="Line 3">
          <a:extLst>
            <a:ext uri="{FF2B5EF4-FFF2-40B4-BE49-F238E27FC236}">
              <a16:creationId xmlns:a16="http://schemas.microsoft.com/office/drawing/2014/main" xmlns="" id="{00000000-0008-0000-1400-00001B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5</xdr:row>
      <xdr:rowOff>95250</xdr:rowOff>
    </xdr:from>
    <xdr:to>
      <xdr:col>18</xdr:col>
      <xdr:colOff>102577</xdr:colOff>
      <xdr:row>5</xdr:row>
      <xdr:rowOff>95250</xdr:rowOff>
    </xdr:to>
    <xdr:sp macro="" textlink="">
      <xdr:nvSpPr>
        <xdr:cNvPr id="29" name="Line 3">
          <a:extLst>
            <a:ext uri="{FF2B5EF4-FFF2-40B4-BE49-F238E27FC236}">
              <a16:creationId xmlns:a16="http://schemas.microsoft.com/office/drawing/2014/main" xmlns="" id="{00000000-0008-0000-1400-00001D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6</xdr:row>
      <xdr:rowOff>95250</xdr:rowOff>
    </xdr:from>
    <xdr:to>
      <xdr:col>18</xdr:col>
      <xdr:colOff>102577</xdr:colOff>
      <xdr:row>6</xdr:row>
      <xdr:rowOff>95250</xdr:rowOff>
    </xdr:to>
    <xdr:sp macro="" textlink="">
      <xdr:nvSpPr>
        <xdr:cNvPr id="30" name="Line 3">
          <a:extLst>
            <a:ext uri="{FF2B5EF4-FFF2-40B4-BE49-F238E27FC236}">
              <a16:creationId xmlns:a16="http://schemas.microsoft.com/office/drawing/2014/main" xmlns="" id="{00000000-0008-0000-1400-00001E000000}"/>
            </a:ext>
          </a:extLst>
        </xdr:cNvPr>
        <xdr:cNvSpPr>
          <a:spLocks noChangeShapeType="1"/>
        </xdr:cNvSpPr>
      </xdr:nvSpPr>
      <xdr:spPr bwMode="auto">
        <a:xfrm flipH="1" flipV="1">
          <a:off x="8770327" y="1106365"/>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8</xdr:row>
      <xdr:rowOff>95250</xdr:rowOff>
    </xdr:from>
    <xdr:to>
      <xdr:col>18</xdr:col>
      <xdr:colOff>102577</xdr:colOff>
      <xdr:row>8</xdr:row>
      <xdr:rowOff>95250</xdr:rowOff>
    </xdr:to>
    <xdr:sp macro="" textlink="">
      <xdr:nvSpPr>
        <xdr:cNvPr id="31" name="Line 3">
          <a:extLst>
            <a:ext uri="{FF2B5EF4-FFF2-40B4-BE49-F238E27FC236}">
              <a16:creationId xmlns:a16="http://schemas.microsoft.com/office/drawing/2014/main" xmlns="" id="{00000000-0008-0000-1400-00001F000000}"/>
            </a:ext>
          </a:extLst>
        </xdr:cNvPr>
        <xdr:cNvSpPr>
          <a:spLocks noChangeShapeType="1"/>
        </xdr:cNvSpPr>
      </xdr:nvSpPr>
      <xdr:spPr bwMode="auto">
        <a:xfrm flipH="1" flipV="1">
          <a:off x="8770327" y="1611923"/>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7</xdr:row>
      <xdr:rowOff>95250</xdr:rowOff>
    </xdr:from>
    <xdr:to>
      <xdr:col>18</xdr:col>
      <xdr:colOff>102577</xdr:colOff>
      <xdr:row>7</xdr:row>
      <xdr:rowOff>95250</xdr:rowOff>
    </xdr:to>
    <xdr:sp macro="" textlink="">
      <xdr:nvSpPr>
        <xdr:cNvPr id="32" name="Line 3">
          <a:extLst>
            <a:ext uri="{FF2B5EF4-FFF2-40B4-BE49-F238E27FC236}">
              <a16:creationId xmlns:a16="http://schemas.microsoft.com/office/drawing/2014/main" xmlns="" id="{00000000-0008-0000-1400-000020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7</xdr:row>
      <xdr:rowOff>95250</xdr:rowOff>
    </xdr:from>
    <xdr:to>
      <xdr:col>18</xdr:col>
      <xdr:colOff>102577</xdr:colOff>
      <xdr:row>7</xdr:row>
      <xdr:rowOff>95250</xdr:rowOff>
    </xdr:to>
    <xdr:sp macro="" textlink="">
      <xdr:nvSpPr>
        <xdr:cNvPr id="33" name="Line 3">
          <a:extLst>
            <a:ext uri="{FF2B5EF4-FFF2-40B4-BE49-F238E27FC236}">
              <a16:creationId xmlns:a16="http://schemas.microsoft.com/office/drawing/2014/main" xmlns="" id="{00000000-0008-0000-1400-000021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6</xdr:row>
      <xdr:rowOff>95250</xdr:rowOff>
    </xdr:from>
    <xdr:to>
      <xdr:col>18</xdr:col>
      <xdr:colOff>102577</xdr:colOff>
      <xdr:row>6</xdr:row>
      <xdr:rowOff>95250</xdr:rowOff>
    </xdr:to>
    <xdr:sp macro="" textlink="">
      <xdr:nvSpPr>
        <xdr:cNvPr id="34" name="Line 3">
          <a:extLst>
            <a:ext uri="{FF2B5EF4-FFF2-40B4-BE49-F238E27FC236}">
              <a16:creationId xmlns:a16="http://schemas.microsoft.com/office/drawing/2014/main" xmlns="" id="{00000000-0008-0000-1400-000022000000}"/>
            </a:ext>
          </a:extLst>
        </xdr:cNvPr>
        <xdr:cNvSpPr>
          <a:spLocks noChangeShapeType="1"/>
        </xdr:cNvSpPr>
      </xdr:nvSpPr>
      <xdr:spPr bwMode="auto">
        <a:xfrm flipH="1" flipV="1">
          <a:off x="8770327" y="1274885"/>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6</xdr:row>
      <xdr:rowOff>95250</xdr:rowOff>
    </xdr:from>
    <xdr:to>
      <xdr:col>18</xdr:col>
      <xdr:colOff>102577</xdr:colOff>
      <xdr:row>6</xdr:row>
      <xdr:rowOff>95250</xdr:rowOff>
    </xdr:to>
    <xdr:sp macro="" textlink="">
      <xdr:nvSpPr>
        <xdr:cNvPr id="35" name="Line 3">
          <a:extLst>
            <a:ext uri="{FF2B5EF4-FFF2-40B4-BE49-F238E27FC236}">
              <a16:creationId xmlns:a16="http://schemas.microsoft.com/office/drawing/2014/main" xmlns="" id="{00000000-0008-0000-1400-000023000000}"/>
            </a:ext>
          </a:extLst>
        </xdr:cNvPr>
        <xdr:cNvSpPr>
          <a:spLocks noChangeShapeType="1"/>
        </xdr:cNvSpPr>
      </xdr:nvSpPr>
      <xdr:spPr bwMode="auto">
        <a:xfrm flipH="1" flipV="1">
          <a:off x="8770327" y="1274885"/>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9</xdr:row>
      <xdr:rowOff>95250</xdr:rowOff>
    </xdr:from>
    <xdr:to>
      <xdr:col>18</xdr:col>
      <xdr:colOff>102577</xdr:colOff>
      <xdr:row>9</xdr:row>
      <xdr:rowOff>95250</xdr:rowOff>
    </xdr:to>
    <xdr:sp macro="" textlink="">
      <xdr:nvSpPr>
        <xdr:cNvPr id="36" name="Line 3">
          <a:extLst>
            <a:ext uri="{FF2B5EF4-FFF2-40B4-BE49-F238E27FC236}">
              <a16:creationId xmlns:a16="http://schemas.microsoft.com/office/drawing/2014/main" xmlns="" id="{00000000-0008-0000-1400-000024000000}"/>
            </a:ext>
          </a:extLst>
        </xdr:cNvPr>
        <xdr:cNvSpPr>
          <a:spLocks noChangeShapeType="1"/>
        </xdr:cNvSpPr>
      </xdr:nvSpPr>
      <xdr:spPr bwMode="auto">
        <a:xfrm flipH="1" flipV="1">
          <a:off x="8770327" y="1780442"/>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7</xdr:row>
      <xdr:rowOff>95250</xdr:rowOff>
    </xdr:from>
    <xdr:to>
      <xdr:col>18</xdr:col>
      <xdr:colOff>102577</xdr:colOff>
      <xdr:row>7</xdr:row>
      <xdr:rowOff>95250</xdr:rowOff>
    </xdr:to>
    <xdr:sp macro="" textlink="">
      <xdr:nvSpPr>
        <xdr:cNvPr id="37" name="Line 3">
          <a:extLst>
            <a:ext uri="{FF2B5EF4-FFF2-40B4-BE49-F238E27FC236}">
              <a16:creationId xmlns:a16="http://schemas.microsoft.com/office/drawing/2014/main" xmlns="" id="{00000000-0008-0000-1400-000025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7</xdr:row>
      <xdr:rowOff>95250</xdr:rowOff>
    </xdr:from>
    <xdr:to>
      <xdr:col>18</xdr:col>
      <xdr:colOff>102577</xdr:colOff>
      <xdr:row>7</xdr:row>
      <xdr:rowOff>95250</xdr:rowOff>
    </xdr:to>
    <xdr:sp macro="" textlink="">
      <xdr:nvSpPr>
        <xdr:cNvPr id="38" name="Line 3">
          <a:extLst>
            <a:ext uri="{FF2B5EF4-FFF2-40B4-BE49-F238E27FC236}">
              <a16:creationId xmlns:a16="http://schemas.microsoft.com/office/drawing/2014/main" xmlns="" id="{00000000-0008-0000-1400-000026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7</xdr:row>
      <xdr:rowOff>95250</xdr:rowOff>
    </xdr:from>
    <xdr:to>
      <xdr:col>18</xdr:col>
      <xdr:colOff>102577</xdr:colOff>
      <xdr:row>7</xdr:row>
      <xdr:rowOff>95250</xdr:rowOff>
    </xdr:to>
    <xdr:sp macro="" textlink="">
      <xdr:nvSpPr>
        <xdr:cNvPr id="39" name="Line 3">
          <a:extLst>
            <a:ext uri="{FF2B5EF4-FFF2-40B4-BE49-F238E27FC236}">
              <a16:creationId xmlns:a16="http://schemas.microsoft.com/office/drawing/2014/main" xmlns="" id="{00000000-0008-0000-1400-000027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7</xdr:row>
      <xdr:rowOff>95250</xdr:rowOff>
    </xdr:from>
    <xdr:to>
      <xdr:col>18</xdr:col>
      <xdr:colOff>102577</xdr:colOff>
      <xdr:row>7</xdr:row>
      <xdr:rowOff>95250</xdr:rowOff>
    </xdr:to>
    <xdr:sp macro="" textlink="">
      <xdr:nvSpPr>
        <xdr:cNvPr id="40" name="Line 3">
          <a:extLst>
            <a:ext uri="{FF2B5EF4-FFF2-40B4-BE49-F238E27FC236}">
              <a16:creationId xmlns:a16="http://schemas.microsoft.com/office/drawing/2014/main" xmlns="" id="{00000000-0008-0000-1400-000028000000}"/>
            </a:ext>
          </a:extLst>
        </xdr:cNvPr>
        <xdr:cNvSpPr>
          <a:spLocks noChangeShapeType="1"/>
        </xdr:cNvSpPr>
      </xdr:nvSpPr>
      <xdr:spPr bwMode="auto">
        <a:xfrm flipH="1" flipV="1">
          <a:off x="8770327" y="1443404"/>
          <a:ext cx="5788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282575</xdr:colOff>
      <xdr:row>10</xdr:row>
      <xdr:rowOff>38100</xdr:rowOff>
    </xdr:from>
    <xdr:to>
      <xdr:col>6</xdr:col>
      <xdr:colOff>358775</xdr:colOff>
      <xdr:row>11</xdr:row>
      <xdr:rowOff>6350</xdr:rowOff>
    </xdr:to>
    <xdr:pic>
      <xdr:nvPicPr>
        <xdr:cNvPr id="6" name="Picture 3">
          <a:extLst>
            <a:ext uri="{FF2B5EF4-FFF2-40B4-BE49-F238E27FC236}">
              <a16:creationId xmlns:a16="http://schemas.microsoft.com/office/drawing/2014/main" xmlns="" id="{00000000-0008-0000-17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9675" y="17272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542925</xdr:colOff>
      <xdr:row>4</xdr:row>
      <xdr:rowOff>9525</xdr:rowOff>
    </xdr:from>
    <xdr:ext cx="76200" cy="133350"/>
    <xdr:pic>
      <xdr:nvPicPr>
        <xdr:cNvPr id="12" name="Picture 11">
          <a:extLst>
            <a:ext uri="{FF2B5EF4-FFF2-40B4-BE49-F238E27FC236}">
              <a16:creationId xmlns:a16="http://schemas.microsoft.com/office/drawing/2014/main" xmlns="" id="{00000000-0008-0000-17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3100" y="819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161925</xdr:colOff>
      <xdr:row>5</xdr:row>
      <xdr:rowOff>31750</xdr:rowOff>
    </xdr:from>
    <xdr:ext cx="76200" cy="133350"/>
    <xdr:pic>
      <xdr:nvPicPr>
        <xdr:cNvPr id="14" name="Picture 13">
          <a:extLst>
            <a:ext uri="{FF2B5EF4-FFF2-40B4-BE49-F238E27FC236}">
              <a16:creationId xmlns:a16="http://schemas.microsoft.com/office/drawing/2014/main" xmlns="" id="{00000000-0008-0000-17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2100" y="9652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9</xdr:col>
      <xdr:colOff>111125</xdr:colOff>
      <xdr:row>28</xdr:row>
      <xdr:rowOff>12700</xdr:rowOff>
    </xdr:from>
    <xdr:to>
      <xdr:col>9</xdr:col>
      <xdr:colOff>187325</xdr:colOff>
      <xdr:row>28</xdr:row>
      <xdr:rowOff>146050</xdr:rowOff>
    </xdr:to>
    <xdr:pic>
      <xdr:nvPicPr>
        <xdr:cNvPr id="15" name="Picture 3">
          <a:extLst>
            <a:ext uri="{FF2B5EF4-FFF2-40B4-BE49-F238E27FC236}">
              <a16:creationId xmlns:a16="http://schemas.microsoft.com/office/drawing/2014/main" xmlns="" id="{00000000-0008-0000-17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82950" y="41846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82550</xdr:colOff>
      <xdr:row>32</xdr:row>
      <xdr:rowOff>22225</xdr:rowOff>
    </xdr:from>
    <xdr:to>
      <xdr:col>22</xdr:col>
      <xdr:colOff>158750</xdr:colOff>
      <xdr:row>33</xdr:row>
      <xdr:rowOff>3175</xdr:rowOff>
    </xdr:to>
    <xdr:pic>
      <xdr:nvPicPr>
        <xdr:cNvPr id="16" name="Picture 3">
          <a:extLst>
            <a:ext uri="{FF2B5EF4-FFF2-40B4-BE49-F238E27FC236}">
              <a16:creationId xmlns:a16="http://schemas.microsoft.com/office/drawing/2014/main" xmlns="" id="{00000000-0008-0000-1700-00001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92875" y="48133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114300</xdr:colOff>
      <xdr:row>52</xdr:row>
      <xdr:rowOff>47625</xdr:rowOff>
    </xdr:from>
    <xdr:to>
      <xdr:col>22</xdr:col>
      <xdr:colOff>190500</xdr:colOff>
      <xdr:row>52</xdr:row>
      <xdr:rowOff>180975</xdr:rowOff>
    </xdr:to>
    <xdr:pic>
      <xdr:nvPicPr>
        <xdr:cNvPr id="17" name="Picture 3">
          <a:extLst>
            <a:ext uri="{FF2B5EF4-FFF2-40B4-BE49-F238E27FC236}">
              <a16:creationId xmlns:a16="http://schemas.microsoft.com/office/drawing/2014/main" xmlns="" id="{00000000-0008-0000-17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6075" y="7762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85725</xdr:colOff>
      <xdr:row>93</xdr:row>
      <xdr:rowOff>9525</xdr:rowOff>
    </xdr:from>
    <xdr:to>
      <xdr:col>22</xdr:col>
      <xdr:colOff>161925</xdr:colOff>
      <xdr:row>93</xdr:row>
      <xdr:rowOff>142875</xdr:rowOff>
    </xdr:to>
    <xdr:pic>
      <xdr:nvPicPr>
        <xdr:cNvPr id="18" name="Picture 3">
          <a:extLst>
            <a:ext uri="{FF2B5EF4-FFF2-40B4-BE49-F238E27FC236}">
              <a16:creationId xmlns:a16="http://schemas.microsoft.com/office/drawing/2014/main" xmlns="" id="{00000000-0008-0000-17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146018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92075</xdr:colOff>
      <xdr:row>97</xdr:row>
      <xdr:rowOff>73025</xdr:rowOff>
    </xdr:from>
    <xdr:to>
      <xdr:col>3</xdr:col>
      <xdr:colOff>101600</xdr:colOff>
      <xdr:row>100</xdr:row>
      <xdr:rowOff>139700</xdr:rowOff>
    </xdr:to>
    <xdr:pic>
      <xdr:nvPicPr>
        <xdr:cNvPr id="19" name="Picture 113" descr="E:\My Documents\Excel\04_1040\IRS Forms\CAUTION_Black.jpg">
          <a:extLst>
            <a:ext uri="{FF2B5EF4-FFF2-40B4-BE49-F238E27FC236}">
              <a16:creationId xmlns:a16="http://schemas.microsoft.com/office/drawing/2014/main" xmlns="" id="{00000000-0008-0000-17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425" y="15567025"/>
          <a:ext cx="5365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695325</xdr:colOff>
      <xdr:row>124</xdr:row>
      <xdr:rowOff>152400</xdr:rowOff>
    </xdr:from>
    <xdr:to>
      <xdr:col>3</xdr:col>
      <xdr:colOff>9525</xdr:colOff>
      <xdr:row>127</xdr:row>
      <xdr:rowOff>53975</xdr:rowOff>
    </xdr:to>
    <xdr:pic>
      <xdr:nvPicPr>
        <xdr:cNvPr id="122506" name="Picture 261">
          <a:extLst>
            <a:ext uri="{FF2B5EF4-FFF2-40B4-BE49-F238E27FC236}">
              <a16:creationId xmlns:a16="http://schemas.microsoft.com/office/drawing/2014/main" xmlns="" id="{00000000-0008-0000-0400-00008AD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20621625"/>
          <a:ext cx="1809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819150</xdr:colOff>
      <xdr:row>115</xdr:row>
      <xdr:rowOff>57150</xdr:rowOff>
    </xdr:from>
    <xdr:to>
      <xdr:col>3</xdr:col>
      <xdr:colOff>47625</xdr:colOff>
      <xdr:row>116</xdr:row>
      <xdr:rowOff>38100</xdr:rowOff>
    </xdr:to>
    <xdr:pic>
      <xdr:nvPicPr>
        <xdr:cNvPr id="122507" name="Picture 301">
          <a:extLst>
            <a:ext uri="{FF2B5EF4-FFF2-40B4-BE49-F238E27FC236}">
              <a16:creationId xmlns:a16="http://schemas.microsoft.com/office/drawing/2014/main" xmlns="" id="{00000000-0008-0000-0400-00008BDE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4425" y="187071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819150</xdr:colOff>
      <xdr:row>116</xdr:row>
      <xdr:rowOff>38100</xdr:rowOff>
    </xdr:from>
    <xdr:to>
      <xdr:col>3</xdr:col>
      <xdr:colOff>47625</xdr:colOff>
      <xdr:row>117</xdr:row>
      <xdr:rowOff>19050</xdr:rowOff>
    </xdr:to>
    <xdr:pic>
      <xdr:nvPicPr>
        <xdr:cNvPr id="122508" name="Picture 303">
          <a:extLst>
            <a:ext uri="{FF2B5EF4-FFF2-40B4-BE49-F238E27FC236}">
              <a16:creationId xmlns:a16="http://schemas.microsoft.com/office/drawing/2014/main" xmlns="" id="{00000000-0008-0000-0400-00008CDE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4425" y="188595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161925</xdr:colOff>
      <xdr:row>9</xdr:row>
      <xdr:rowOff>76200</xdr:rowOff>
    </xdr:from>
    <xdr:to>
      <xdr:col>26</xdr:col>
      <xdr:colOff>104775</xdr:colOff>
      <xdr:row>10</xdr:row>
      <xdr:rowOff>9525</xdr:rowOff>
    </xdr:to>
    <xdr:sp macro="" textlink="">
      <xdr:nvSpPr>
        <xdr:cNvPr id="122509" name="AutoShape 344">
          <a:extLst>
            <a:ext uri="{FF2B5EF4-FFF2-40B4-BE49-F238E27FC236}">
              <a16:creationId xmlns:a16="http://schemas.microsoft.com/office/drawing/2014/main" xmlns="" id="{00000000-0008-0000-0400-00008DDE0100}"/>
            </a:ext>
          </a:extLst>
        </xdr:cNvPr>
        <xdr:cNvSpPr>
          <a:spLocks noChangeArrowheads="1"/>
        </xdr:cNvSpPr>
      </xdr:nvSpPr>
      <xdr:spPr bwMode="auto">
        <a:xfrm>
          <a:off x="6724650" y="1743075"/>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21</xdr:row>
      <xdr:rowOff>38100</xdr:rowOff>
    </xdr:from>
    <xdr:to>
      <xdr:col>25</xdr:col>
      <xdr:colOff>114300</xdr:colOff>
      <xdr:row>21</xdr:row>
      <xdr:rowOff>133350</xdr:rowOff>
    </xdr:to>
    <xdr:sp macro="" textlink="">
      <xdr:nvSpPr>
        <xdr:cNvPr id="122510" name="AutoShape 513">
          <a:extLst>
            <a:ext uri="{FF2B5EF4-FFF2-40B4-BE49-F238E27FC236}">
              <a16:creationId xmlns:a16="http://schemas.microsoft.com/office/drawing/2014/main" xmlns="" id="{00000000-0008-0000-0400-00008EDE0100}"/>
            </a:ext>
          </a:extLst>
        </xdr:cNvPr>
        <xdr:cNvSpPr>
          <a:spLocks noChangeArrowheads="1"/>
        </xdr:cNvSpPr>
      </xdr:nvSpPr>
      <xdr:spPr bwMode="auto">
        <a:xfrm rot="5400000">
          <a:off x="6596063" y="33861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95250</xdr:colOff>
      <xdr:row>121</xdr:row>
      <xdr:rowOff>66675</xdr:rowOff>
    </xdr:from>
    <xdr:to>
      <xdr:col>26</xdr:col>
      <xdr:colOff>161925</xdr:colOff>
      <xdr:row>121</xdr:row>
      <xdr:rowOff>161925</xdr:rowOff>
    </xdr:to>
    <xdr:sp macro="" textlink="">
      <xdr:nvSpPr>
        <xdr:cNvPr id="122511" name="AutoShape 515">
          <a:extLst>
            <a:ext uri="{FF2B5EF4-FFF2-40B4-BE49-F238E27FC236}">
              <a16:creationId xmlns:a16="http://schemas.microsoft.com/office/drawing/2014/main" xmlns="" id="{00000000-0008-0000-0400-00008FDE0100}"/>
            </a:ext>
          </a:extLst>
        </xdr:cNvPr>
        <xdr:cNvSpPr>
          <a:spLocks noChangeArrowheads="1"/>
        </xdr:cNvSpPr>
      </xdr:nvSpPr>
      <xdr:spPr bwMode="auto">
        <a:xfrm rot="5400000">
          <a:off x="6891338" y="1983581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104775</xdr:colOff>
      <xdr:row>118</xdr:row>
      <xdr:rowOff>104775</xdr:rowOff>
    </xdr:from>
    <xdr:to>
      <xdr:col>25</xdr:col>
      <xdr:colOff>171450</xdr:colOff>
      <xdr:row>118</xdr:row>
      <xdr:rowOff>200025</xdr:rowOff>
    </xdr:to>
    <xdr:sp macro="" textlink="">
      <xdr:nvSpPr>
        <xdr:cNvPr id="122512" name="AutoShape 516">
          <a:extLst>
            <a:ext uri="{FF2B5EF4-FFF2-40B4-BE49-F238E27FC236}">
              <a16:creationId xmlns:a16="http://schemas.microsoft.com/office/drawing/2014/main" xmlns="" id="{00000000-0008-0000-0400-000090DE0100}"/>
            </a:ext>
          </a:extLst>
        </xdr:cNvPr>
        <xdr:cNvSpPr>
          <a:spLocks noChangeArrowheads="1"/>
        </xdr:cNvSpPr>
      </xdr:nvSpPr>
      <xdr:spPr bwMode="auto">
        <a:xfrm rot="5400000">
          <a:off x="6667500" y="19269075"/>
          <a:ext cx="66675"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142875</xdr:colOff>
      <xdr:row>114</xdr:row>
      <xdr:rowOff>38100</xdr:rowOff>
    </xdr:from>
    <xdr:to>
      <xdr:col>23</xdr:col>
      <xdr:colOff>209550</xdr:colOff>
      <xdr:row>114</xdr:row>
      <xdr:rowOff>133350</xdr:rowOff>
    </xdr:to>
    <xdr:sp macro="" textlink="">
      <xdr:nvSpPr>
        <xdr:cNvPr id="122513" name="AutoShape 517">
          <a:extLst>
            <a:ext uri="{FF2B5EF4-FFF2-40B4-BE49-F238E27FC236}">
              <a16:creationId xmlns:a16="http://schemas.microsoft.com/office/drawing/2014/main" xmlns="" id="{00000000-0008-0000-0400-000091DE0100}"/>
            </a:ext>
          </a:extLst>
        </xdr:cNvPr>
        <xdr:cNvSpPr>
          <a:spLocks noChangeArrowheads="1"/>
        </xdr:cNvSpPr>
      </xdr:nvSpPr>
      <xdr:spPr bwMode="auto">
        <a:xfrm rot="5400000">
          <a:off x="6129338" y="1853088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0</xdr:colOff>
      <xdr:row>112</xdr:row>
      <xdr:rowOff>38100</xdr:rowOff>
    </xdr:from>
    <xdr:to>
      <xdr:col>25</xdr:col>
      <xdr:colOff>66675</xdr:colOff>
      <xdr:row>112</xdr:row>
      <xdr:rowOff>133350</xdr:rowOff>
    </xdr:to>
    <xdr:sp macro="" textlink="">
      <xdr:nvSpPr>
        <xdr:cNvPr id="122514" name="AutoShape 518">
          <a:extLst>
            <a:ext uri="{FF2B5EF4-FFF2-40B4-BE49-F238E27FC236}">
              <a16:creationId xmlns:a16="http://schemas.microsoft.com/office/drawing/2014/main" xmlns="" id="{00000000-0008-0000-0400-000092DE0100}"/>
            </a:ext>
          </a:extLst>
        </xdr:cNvPr>
        <xdr:cNvSpPr>
          <a:spLocks noChangeArrowheads="1"/>
        </xdr:cNvSpPr>
      </xdr:nvSpPr>
      <xdr:spPr bwMode="auto">
        <a:xfrm rot="5400000">
          <a:off x="6548438" y="1818798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100</xdr:row>
      <xdr:rowOff>38101</xdr:rowOff>
    </xdr:from>
    <xdr:to>
      <xdr:col>25</xdr:col>
      <xdr:colOff>114300</xdr:colOff>
      <xdr:row>100</xdr:row>
      <xdr:rowOff>133351</xdr:rowOff>
    </xdr:to>
    <xdr:sp macro="" textlink="">
      <xdr:nvSpPr>
        <xdr:cNvPr id="122515" name="AutoShape 519">
          <a:extLst>
            <a:ext uri="{FF2B5EF4-FFF2-40B4-BE49-F238E27FC236}">
              <a16:creationId xmlns:a16="http://schemas.microsoft.com/office/drawing/2014/main" xmlns="" id="{00000000-0008-0000-0400-000093DE0100}"/>
            </a:ext>
          </a:extLst>
        </xdr:cNvPr>
        <xdr:cNvSpPr>
          <a:spLocks noChangeArrowheads="1"/>
        </xdr:cNvSpPr>
      </xdr:nvSpPr>
      <xdr:spPr bwMode="auto">
        <a:xfrm rot="5400000">
          <a:off x="6643688" y="16314738"/>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139700</xdr:colOff>
      <xdr:row>83</xdr:row>
      <xdr:rowOff>44453</xdr:rowOff>
    </xdr:from>
    <xdr:to>
      <xdr:col>25</xdr:col>
      <xdr:colOff>206375</xdr:colOff>
      <xdr:row>83</xdr:row>
      <xdr:rowOff>139703</xdr:rowOff>
    </xdr:to>
    <xdr:sp macro="" textlink="">
      <xdr:nvSpPr>
        <xdr:cNvPr id="122516" name="AutoShape 521">
          <a:extLst>
            <a:ext uri="{FF2B5EF4-FFF2-40B4-BE49-F238E27FC236}">
              <a16:creationId xmlns:a16="http://schemas.microsoft.com/office/drawing/2014/main" xmlns="" id="{00000000-0008-0000-0400-000094DE0100}"/>
            </a:ext>
          </a:extLst>
        </xdr:cNvPr>
        <xdr:cNvSpPr>
          <a:spLocks noChangeArrowheads="1"/>
        </xdr:cNvSpPr>
      </xdr:nvSpPr>
      <xdr:spPr bwMode="auto">
        <a:xfrm rot="5400000">
          <a:off x="6811963" y="14282740"/>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54</xdr:row>
      <xdr:rowOff>38100</xdr:rowOff>
    </xdr:from>
    <xdr:to>
      <xdr:col>25</xdr:col>
      <xdr:colOff>114300</xdr:colOff>
      <xdr:row>54</xdr:row>
      <xdr:rowOff>133350</xdr:rowOff>
    </xdr:to>
    <xdr:sp macro="" textlink="">
      <xdr:nvSpPr>
        <xdr:cNvPr id="122517" name="AutoShape 523">
          <a:extLst>
            <a:ext uri="{FF2B5EF4-FFF2-40B4-BE49-F238E27FC236}">
              <a16:creationId xmlns:a16="http://schemas.microsoft.com/office/drawing/2014/main" xmlns="" id="{00000000-0008-0000-0400-000095DE0100}"/>
            </a:ext>
          </a:extLst>
        </xdr:cNvPr>
        <xdr:cNvSpPr>
          <a:spLocks noChangeArrowheads="1"/>
        </xdr:cNvSpPr>
      </xdr:nvSpPr>
      <xdr:spPr bwMode="auto">
        <a:xfrm rot="5400000">
          <a:off x="6596063" y="85391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66675</xdr:colOff>
      <xdr:row>69</xdr:row>
      <xdr:rowOff>38100</xdr:rowOff>
    </xdr:from>
    <xdr:to>
      <xdr:col>25</xdr:col>
      <xdr:colOff>133350</xdr:colOff>
      <xdr:row>69</xdr:row>
      <xdr:rowOff>133350</xdr:rowOff>
    </xdr:to>
    <xdr:sp macro="" textlink="">
      <xdr:nvSpPr>
        <xdr:cNvPr id="122518" name="AutoShape 655">
          <a:extLst>
            <a:ext uri="{FF2B5EF4-FFF2-40B4-BE49-F238E27FC236}">
              <a16:creationId xmlns:a16="http://schemas.microsoft.com/office/drawing/2014/main" xmlns="" id="{00000000-0008-0000-0400-000096DE0100}"/>
            </a:ext>
          </a:extLst>
        </xdr:cNvPr>
        <xdr:cNvSpPr>
          <a:spLocks noChangeArrowheads="1"/>
        </xdr:cNvSpPr>
      </xdr:nvSpPr>
      <xdr:spPr bwMode="auto">
        <a:xfrm rot="5400000">
          <a:off x="6615113" y="111299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92</xdr:row>
      <xdr:rowOff>38100</xdr:rowOff>
    </xdr:from>
    <xdr:to>
      <xdr:col>25</xdr:col>
      <xdr:colOff>114300</xdr:colOff>
      <xdr:row>92</xdr:row>
      <xdr:rowOff>133350</xdr:rowOff>
    </xdr:to>
    <xdr:sp macro="" textlink="">
      <xdr:nvSpPr>
        <xdr:cNvPr id="122519" name="AutoShape 966">
          <a:extLst>
            <a:ext uri="{FF2B5EF4-FFF2-40B4-BE49-F238E27FC236}">
              <a16:creationId xmlns:a16="http://schemas.microsoft.com/office/drawing/2014/main" xmlns="" id="{00000000-0008-0000-0400-000097DE0100}"/>
            </a:ext>
          </a:extLst>
        </xdr:cNvPr>
        <xdr:cNvSpPr>
          <a:spLocks noChangeArrowheads="1"/>
        </xdr:cNvSpPr>
      </xdr:nvSpPr>
      <xdr:spPr bwMode="auto">
        <a:xfrm rot="5400000">
          <a:off x="6596063" y="14968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20</xdr:col>
      <xdr:colOff>28575</xdr:colOff>
      <xdr:row>72</xdr:row>
      <xdr:rowOff>152400</xdr:rowOff>
    </xdr:from>
    <xdr:to>
      <xdr:col>20</xdr:col>
      <xdr:colOff>76200</xdr:colOff>
      <xdr:row>75</xdr:row>
      <xdr:rowOff>0</xdr:rowOff>
    </xdr:to>
    <xdr:sp macro="" textlink="">
      <xdr:nvSpPr>
        <xdr:cNvPr id="122520" name="AutoShape 973">
          <a:extLst>
            <a:ext uri="{FF2B5EF4-FFF2-40B4-BE49-F238E27FC236}">
              <a16:creationId xmlns:a16="http://schemas.microsoft.com/office/drawing/2014/main" xmlns="" id="{00000000-0008-0000-0400-000098DE0100}"/>
            </a:ext>
          </a:extLst>
        </xdr:cNvPr>
        <xdr:cNvSpPr>
          <a:spLocks/>
        </xdr:cNvSpPr>
      </xdr:nvSpPr>
      <xdr:spPr bwMode="auto">
        <a:xfrm>
          <a:off x="5429250" y="11811000"/>
          <a:ext cx="47625" cy="361950"/>
        </a:xfrm>
        <a:prstGeom prst="rightBrace">
          <a:avLst>
            <a:gd name="adj1" fmla="val 61187"/>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619125</xdr:colOff>
      <xdr:row>33</xdr:row>
      <xdr:rowOff>19050</xdr:rowOff>
    </xdr:from>
    <xdr:to>
      <xdr:col>2</xdr:col>
      <xdr:colOff>733425</xdr:colOff>
      <xdr:row>33</xdr:row>
      <xdr:rowOff>152400</xdr:rowOff>
    </xdr:to>
    <xdr:sp macro="" textlink="">
      <xdr:nvSpPr>
        <xdr:cNvPr id="122521" name="AutoShape 1105">
          <a:extLst>
            <a:ext uri="{FF2B5EF4-FFF2-40B4-BE49-F238E27FC236}">
              <a16:creationId xmlns:a16="http://schemas.microsoft.com/office/drawing/2014/main" xmlns="" id="{00000000-0008-0000-0400-000099DE0100}"/>
            </a:ext>
          </a:extLst>
        </xdr:cNvPr>
        <xdr:cNvSpPr>
          <a:spLocks noChangeArrowheads="1"/>
        </xdr:cNvSpPr>
      </xdr:nvSpPr>
      <xdr:spPr bwMode="auto">
        <a:xfrm rot="5400000">
          <a:off x="904875" y="5105400"/>
          <a:ext cx="13335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228600</xdr:colOff>
      <xdr:row>75</xdr:row>
      <xdr:rowOff>38100</xdr:rowOff>
    </xdr:from>
    <xdr:to>
      <xdr:col>23</xdr:col>
      <xdr:colOff>295275</xdr:colOff>
      <xdr:row>75</xdr:row>
      <xdr:rowOff>133350</xdr:rowOff>
    </xdr:to>
    <xdr:sp macro="" textlink="">
      <xdr:nvSpPr>
        <xdr:cNvPr id="122522" name="AutoShape 1108">
          <a:extLst>
            <a:ext uri="{FF2B5EF4-FFF2-40B4-BE49-F238E27FC236}">
              <a16:creationId xmlns:a16="http://schemas.microsoft.com/office/drawing/2014/main" xmlns="" id="{00000000-0008-0000-0400-00009ADE0100}"/>
            </a:ext>
          </a:extLst>
        </xdr:cNvPr>
        <xdr:cNvSpPr>
          <a:spLocks noChangeArrowheads="1"/>
        </xdr:cNvSpPr>
      </xdr:nvSpPr>
      <xdr:spPr bwMode="auto">
        <a:xfrm rot="5400000">
          <a:off x="6215063" y="122253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295275</xdr:colOff>
      <xdr:row>72</xdr:row>
      <xdr:rowOff>171450</xdr:rowOff>
    </xdr:from>
    <xdr:to>
      <xdr:col>6</xdr:col>
      <xdr:colOff>371475</xdr:colOff>
      <xdr:row>75</xdr:row>
      <xdr:rowOff>19050</xdr:rowOff>
    </xdr:to>
    <xdr:sp macro="" textlink="">
      <xdr:nvSpPr>
        <xdr:cNvPr id="122523" name="AutoShape 973">
          <a:extLst>
            <a:ext uri="{FF2B5EF4-FFF2-40B4-BE49-F238E27FC236}">
              <a16:creationId xmlns:a16="http://schemas.microsoft.com/office/drawing/2014/main" xmlns="" id="{00000000-0008-0000-0400-00009BDE0100}"/>
            </a:ext>
          </a:extLst>
        </xdr:cNvPr>
        <xdr:cNvSpPr>
          <a:spLocks/>
        </xdr:cNvSpPr>
      </xdr:nvSpPr>
      <xdr:spPr bwMode="auto">
        <a:xfrm flipH="1">
          <a:off x="1990725" y="11830050"/>
          <a:ext cx="76200" cy="361950"/>
        </a:xfrm>
        <a:prstGeom prst="rightBrace">
          <a:avLst>
            <a:gd name="adj1" fmla="val 42134"/>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228600</xdr:colOff>
      <xdr:row>121</xdr:row>
      <xdr:rowOff>152400</xdr:rowOff>
    </xdr:from>
    <xdr:to>
      <xdr:col>14</xdr:col>
      <xdr:colOff>38100</xdr:colOff>
      <xdr:row>121</xdr:row>
      <xdr:rowOff>247650</xdr:rowOff>
    </xdr:to>
    <xdr:sp macro="" textlink="">
      <xdr:nvSpPr>
        <xdr:cNvPr id="122524" name="AutoShape 515">
          <a:extLst>
            <a:ext uri="{FF2B5EF4-FFF2-40B4-BE49-F238E27FC236}">
              <a16:creationId xmlns:a16="http://schemas.microsoft.com/office/drawing/2014/main" xmlns="" id="{00000000-0008-0000-0400-00009CDE0100}"/>
            </a:ext>
          </a:extLst>
        </xdr:cNvPr>
        <xdr:cNvSpPr>
          <a:spLocks noChangeArrowheads="1"/>
        </xdr:cNvSpPr>
      </xdr:nvSpPr>
      <xdr:spPr bwMode="auto">
        <a:xfrm rot="5400000">
          <a:off x="3948113" y="19921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76200</xdr:colOff>
      <xdr:row>121</xdr:row>
      <xdr:rowOff>152400</xdr:rowOff>
    </xdr:from>
    <xdr:to>
      <xdr:col>5</xdr:col>
      <xdr:colOff>142875</xdr:colOff>
      <xdr:row>121</xdr:row>
      <xdr:rowOff>247650</xdr:rowOff>
    </xdr:to>
    <xdr:sp macro="" textlink="">
      <xdr:nvSpPr>
        <xdr:cNvPr id="122525" name="AutoShape 515">
          <a:extLst>
            <a:ext uri="{FF2B5EF4-FFF2-40B4-BE49-F238E27FC236}">
              <a16:creationId xmlns:a16="http://schemas.microsoft.com/office/drawing/2014/main" xmlns="" id="{00000000-0008-0000-0400-00009DDE0100}"/>
            </a:ext>
          </a:extLst>
        </xdr:cNvPr>
        <xdr:cNvSpPr>
          <a:spLocks noChangeArrowheads="1"/>
        </xdr:cNvSpPr>
      </xdr:nvSpPr>
      <xdr:spPr bwMode="auto">
        <a:xfrm rot="5400000">
          <a:off x="1585913" y="19921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24</xdr:col>
      <xdr:colOff>85725</xdr:colOff>
      <xdr:row>130</xdr:row>
      <xdr:rowOff>38100</xdr:rowOff>
    </xdr:from>
    <xdr:to>
      <xdr:col>24</xdr:col>
      <xdr:colOff>152400</xdr:colOff>
      <xdr:row>130</xdr:row>
      <xdr:rowOff>133350</xdr:rowOff>
    </xdr:to>
    <xdr:sp macro="" textlink="">
      <xdr:nvSpPr>
        <xdr:cNvPr id="122526" name="AutoShape 515">
          <a:extLst>
            <a:ext uri="{FF2B5EF4-FFF2-40B4-BE49-F238E27FC236}">
              <a16:creationId xmlns:a16="http://schemas.microsoft.com/office/drawing/2014/main" xmlns="" id="{00000000-0008-0000-0400-00009EDE0100}"/>
            </a:ext>
          </a:extLst>
        </xdr:cNvPr>
        <xdr:cNvSpPr>
          <a:spLocks noChangeArrowheads="1"/>
        </xdr:cNvSpPr>
      </xdr:nvSpPr>
      <xdr:spPr bwMode="auto">
        <a:xfrm rot="5400000">
          <a:off x="6434138" y="217122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476250</xdr:colOff>
      <xdr:row>130</xdr:row>
      <xdr:rowOff>47625</xdr:rowOff>
    </xdr:from>
    <xdr:to>
      <xdr:col>6</xdr:col>
      <xdr:colOff>542925</xdr:colOff>
      <xdr:row>130</xdr:row>
      <xdr:rowOff>142875</xdr:rowOff>
    </xdr:to>
    <xdr:sp macro="" textlink="">
      <xdr:nvSpPr>
        <xdr:cNvPr id="122527" name="AutoShape 515">
          <a:extLst>
            <a:ext uri="{FF2B5EF4-FFF2-40B4-BE49-F238E27FC236}">
              <a16:creationId xmlns:a16="http://schemas.microsoft.com/office/drawing/2014/main" xmlns="" id="{00000000-0008-0000-0400-00009FDE0100}"/>
            </a:ext>
          </a:extLst>
        </xdr:cNvPr>
        <xdr:cNvSpPr>
          <a:spLocks noChangeArrowheads="1"/>
        </xdr:cNvSpPr>
      </xdr:nvSpPr>
      <xdr:spPr bwMode="auto">
        <a:xfrm rot="5400000">
          <a:off x="2157413" y="217217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476250</xdr:colOff>
      <xdr:row>131</xdr:row>
      <xdr:rowOff>47625</xdr:rowOff>
    </xdr:from>
    <xdr:to>
      <xdr:col>6</xdr:col>
      <xdr:colOff>542925</xdr:colOff>
      <xdr:row>131</xdr:row>
      <xdr:rowOff>142875</xdr:rowOff>
    </xdr:to>
    <xdr:sp macro="" textlink="">
      <xdr:nvSpPr>
        <xdr:cNvPr id="122528" name="AutoShape 515">
          <a:extLst>
            <a:ext uri="{FF2B5EF4-FFF2-40B4-BE49-F238E27FC236}">
              <a16:creationId xmlns:a16="http://schemas.microsoft.com/office/drawing/2014/main" xmlns="" id="{00000000-0008-0000-0400-0000A0DE0100}"/>
            </a:ext>
          </a:extLst>
        </xdr:cNvPr>
        <xdr:cNvSpPr>
          <a:spLocks noChangeArrowheads="1"/>
        </xdr:cNvSpPr>
      </xdr:nvSpPr>
      <xdr:spPr bwMode="auto">
        <a:xfrm rot="5400000">
          <a:off x="2157413" y="2189321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22</xdr:row>
      <xdr:rowOff>19050</xdr:rowOff>
    </xdr:from>
    <xdr:to>
      <xdr:col>8</xdr:col>
      <xdr:colOff>114300</xdr:colOff>
      <xdr:row>22</xdr:row>
      <xdr:rowOff>114300</xdr:rowOff>
    </xdr:to>
    <xdr:sp macro="" textlink="">
      <xdr:nvSpPr>
        <xdr:cNvPr id="122529" name="AutoShape 513">
          <a:extLst>
            <a:ext uri="{FF2B5EF4-FFF2-40B4-BE49-F238E27FC236}">
              <a16:creationId xmlns:a16="http://schemas.microsoft.com/office/drawing/2014/main" xmlns="" id="{00000000-0008-0000-0400-0000A1DE0100}"/>
            </a:ext>
          </a:extLst>
        </xdr:cNvPr>
        <xdr:cNvSpPr>
          <a:spLocks noChangeArrowheads="1"/>
        </xdr:cNvSpPr>
      </xdr:nvSpPr>
      <xdr:spPr bwMode="auto">
        <a:xfrm rot="5400000">
          <a:off x="2562225" y="3476625"/>
          <a:ext cx="9525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30</xdr:col>
      <xdr:colOff>295275</xdr:colOff>
      <xdr:row>36</xdr:row>
      <xdr:rowOff>76200</xdr:rowOff>
    </xdr:from>
    <xdr:to>
      <xdr:col>31</xdr:col>
      <xdr:colOff>47625</xdr:colOff>
      <xdr:row>36</xdr:row>
      <xdr:rowOff>171450</xdr:rowOff>
    </xdr:to>
    <xdr:sp macro="" textlink="">
      <xdr:nvSpPr>
        <xdr:cNvPr id="122530" name="AutoShape 523">
          <a:extLst>
            <a:ext uri="{FF2B5EF4-FFF2-40B4-BE49-F238E27FC236}">
              <a16:creationId xmlns:a16="http://schemas.microsoft.com/office/drawing/2014/main" xmlns="" id="{00000000-0008-0000-0400-0000A2DE0100}"/>
            </a:ext>
          </a:extLst>
        </xdr:cNvPr>
        <xdr:cNvSpPr>
          <a:spLocks noChangeArrowheads="1"/>
        </xdr:cNvSpPr>
      </xdr:nvSpPr>
      <xdr:spPr bwMode="auto">
        <a:xfrm rot="5400000">
          <a:off x="8010525" y="5553075"/>
          <a:ext cx="95250" cy="5715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38100</xdr:colOff>
      <xdr:row>74</xdr:row>
      <xdr:rowOff>9525</xdr:rowOff>
    </xdr:from>
    <xdr:to>
      <xdr:col>23</xdr:col>
      <xdr:colOff>104775</xdr:colOff>
      <xdr:row>74</xdr:row>
      <xdr:rowOff>104775</xdr:rowOff>
    </xdr:to>
    <xdr:sp macro="" textlink="">
      <xdr:nvSpPr>
        <xdr:cNvPr id="122531" name="AutoShape 1108">
          <a:extLst>
            <a:ext uri="{FF2B5EF4-FFF2-40B4-BE49-F238E27FC236}">
              <a16:creationId xmlns:a16="http://schemas.microsoft.com/office/drawing/2014/main" xmlns="" id="{00000000-0008-0000-0400-0000A3DE0100}"/>
            </a:ext>
          </a:extLst>
        </xdr:cNvPr>
        <xdr:cNvSpPr>
          <a:spLocks noChangeArrowheads="1"/>
        </xdr:cNvSpPr>
      </xdr:nvSpPr>
      <xdr:spPr bwMode="auto">
        <a:xfrm rot="5400000">
          <a:off x="6024563" y="120348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219075</xdr:colOff>
      <xdr:row>45</xdr:row>
      <xdr:rowOff>47625</xdr:rowOff>
    </xdr:from>
    <xdr:to>
      <xdr:col>23</xdr:col>
      <xdr:colOff>304800</xdr:colOff>
      <xdr:row>45</xdr:row>
      <xdr:rowOff>161925</xdr:rowOff>
    </xdr:to>
    <xdr:sp macro="" textlink="">
      <xdr:nvSpPr>
        <xdr:cNvPr id="122532" name="AutoShape 523">
          <a:extLst>
            <a:ext uri="{FF2B5EF4-FFF2-40B4-BE49-F238E27FC236}">
              <a16:creationId xmlns:a16="http://schemas.microsoft.com/office/drawing/2014/main" xmlns="" id="{00000000-0008-0000-0400-0000A4DE0100}"/>
            </a:ext>
          </a:extLst>
        </xdr:cNvPr>
        <xdr:cNvSpPr>
          <a:spLocks noChangeArrowheads="1"/>
        </xdr:cNvSpPr>
      </xdr:nvSpPr>
      <xdr:spPr bwMode="auto">
        <a:xfrm rot="5400000" flipH="1">
          <a:off x="6281738" y="7148512"/>
          <a:ext cx="114300" cy="8572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196850</xdr:colOff>
      <xdr:row>24</xdr:row>
      <xdr:rowOff>31750</xdr:rowOff>
    </xdr:from>
    <xdr:to>
      <xdr:col>26</xdr:col>
      <xdr:colOff>274320</xdr:colOff>
      <xdr:row>27</xdr:row>
      <xdr:rowOff>126999</xdr:rowOff>
    </xdr:to>
    <xdr:sp macro="" textlink="">
      <xdr:nvSpPr>
        <xdr:cNvPr id="31" name="AutoShape 973">
          <a:extLst>
            <a:ext uri="{FF2B5EF4-FFF2-40B4-BE49-F238E27FC236}">
              <a16:creationId xmlns:a16="http://schemas.microsoft.com/office/drawing/2014/main" xmlns="" id="{00000000-0008-0000-0400-00001F000000}"/>
            </a:ext>
          </a:extLst>
        </xdr:cNvPr>
        <xdr:cNvSpPr>
          <a:spLocks/>
        </xdr:cNvSpPr>
      </xdr:nvSpPr>
      <xdr:spPr bwMode="auto">
        <a:xfrm>
          <a:off x="7131050" y="3771900"/>
          <a:ext cx="77470" cy="482599"/>
        </a:xfrm>
        <a:prstGeom prst="rightBrace">
          <a:avLst>
            <a:gd name="adj1" fmla="val 61187"/>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23</xdr:col>
      <xdr:colOff>66675</xdr:colOff>
      <xdr:row>28</xdr:row>
      <xdr:rowOff>19050</xdr:rowOff>
    </xdr:from>
    <xdr:to>
      <xdr:col>23</xdr:col>
      <xdr:colOff>208026</xdr:colOff>
      <xdr:row>29</xdr:row>
      <xdr:rowOff>9525</xdr:rowOff>
    </xdr:to>
    <xdr:pic>
      <xdr:nvPicPr>
        <xdr:cNvPr id="3" name="Picture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3625" y="4267200"/>
          <a:ext cx="141351" cy="133350"/>
        </a:xfrm>
        <a:prstGeom prst="rect">
          <a:avLst/>
        </a:prstGeom>
      </xdr:spPr>
    </xdr:pic>
    <xdr:clientData/>
  </xdr:twoCellAnchor>
  <xdr:twoCellAnchor>
    <xdr:from>
      <xdr:col>13</xdr:col>
      <xdr:colOff>180974</xdr:colOff>
      <xdr:row>63</xdr:row>
      <xdr:rowOff>38101</xdr:rowOff>
    </xdr:from>
    <xdr:to>
      <xdr:col>13</xdr:col>
      <xdr:colOff>238125</xdr:colOff>
      <xdr:row>63</xdr:row>
      <xdr:rowOff>133353</xdr:rowOff>
    </xdr:to>
    <xdr:sp macro="" textlink="">
      <xdr:nvSpPr>
        <xdr:cNvPr id="32" name="AutoShape 655">
          <a:extLst>
            <a:ext uri="{FF2B5EF4-FFF2-40B4-BE49-F238E27FC236}">
              <a16:creationId xmlns:a16="http://schemas.microsoft.com/office/drawing/2014/main" xmlns="" id="{00000000-0008-0000-0400-000020000000}"/>
            </a:ext>
          </a:extLst>
        </xdr:cNvPr>
        <xdr:cNvSpPr>
          <a:spLocks noChangeArrowheads="1"/>
        </xdr:cNvSpPr>
      </xdr:nvSpPr>
      <xdr:spPr bwMode="auto">
        <a:xfrm rot="5400000">
          <a:off x="3971924" y="10544176"/>
          <a:ext cx="95252" cy="5715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37</xdr:col>
      <xdr:colOff>676275</xdr:colOff>
      <xdr:row>36</xdr:row>
      <xdr:rowOff>47625</xdr:rowOff>
    </xdr:from>
    <xdr:to>
      <xdr:col>37</xdr:col>
      <xdr:colOff>866775</xdr:colOff>
      <xdr:row>36</xdr:row>
      <xdr:rowOff>161925</xdr:rowOff>
    </xdr:to>
    <xdr:sp macro="" textlink="">
      <xdr:nvSpPr>
        <xdr:cNvPr id="33" name="AutoShape 344">
          <a:extLst>
            <a:ext uri="{FF2B5EF4-FFF2-40B4-BE49-F238E27FC236}">
              <a16:creationId xmlns:a16="http://schemas.microsoft.com/office/drawing/2014/main" xmlns="" id="{00000000-0008-0000-0400-000021000000}"/>
            </a:ext>
          </a:extLst>
        </xdr:cNvPr>
        <xdr:cNvSpPr>
          <a:spLocks noChangeArrowheads="1"/>
        </xdr:cNvSpPr>
      </xdr:nvSpPr>
      <xdr:spPr bwMode="auto">
        <a:xfrm rot="10800000">
          <a:off x="10658475" y="5448300"/>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9525</xdr:colOff>
      <xdr:row>19</xdr:row>
      <xdr:rowOff>76200</xdr:rowOff>
    </xdr:from>
    <xdr:to>
      <xdr:col>6</xdr:col>
      <xdr:colOff>0</xdr:colOff>
      <xdr:row>19</xdr:row>
      <xdr:rowOff>76200</xdr:rowOff>
    </xdr:to>
    <xdr:sp macro="" textlink="">
      <xdr:nvSpPr>
        <xdr:cNvPr id="123453" name="Line 2">
          <a:extLst>
            <a:ext uri="{FF2B5EF4-FFF2-40B4-BE49-F238E27FC236}">
              <a16:creationId xmlns:a16="http://schemas.microsoft.com/office/drawing/2014/main" xmlns="" id="{00000000-0008-0000-1800-00003DE20100}"/>
            </a:ext>
          </a:extLst>
        </xdr:cNvPr>
        <xdr:cNvSpPr>
          <a:spLocks noChangeShapeType="1"/>
        </xdr:cNvSpPr>
      </xdr:nvSpPr>
      <xdr:spPr bwMode="auto">
        <a:xfrm flipH="1">
          <a:off x="1371600" y="2428875"/>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xdr:colOff>
      <xdr:row>19</xdr:row>
      <xdr:rowOff>76200</xdr:rowOff>
    </xdr:from>
    <xdr:to>
      <xdr:col>5</xdr:col>
      <xdr:colOff>9525</xdr:colOff>
      <xdr:row>22</xdr:row>
      <xdr:rowOff>9525</xdr:rowOff>
    </xdr:to>
    <xdr:sp macro="" textlink="">
      <xdr:nvSpPr>
        <xdr:cNvPr id="123454" name="Line 3">
          <a:extLst>
            <a:ext uri="{FF2B5EF4-FFF2-40B4-BE49-F238E27FC236}">
              <a16:creationId xmlns:a16="http://schemas.microsoft.com/office/drawing/2014/main" xmlns="" id="{00000000-0008-0000-1800-00003EE20100}"/>
            </a:ext>
          </a:extLst>
        </xdr:cNvPr>
        <xdr:cNvSpPr>
          <a:spLocks noChangeShapeType="1"/>
        </xdr:cNvSpPr>
      </xdr:nvSpPr>
      <xdr:spPr bwMode="auto">
        <a:xfrm>
          <a:off x="1371600" y="2428875"/>
          <a:ext cx="0"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26</xdr:row>
      <xdr:rowOff>0</xdr:rowOff>
    </xdr:from>
    <xdr:to>
      <xdr:col>5</xdr:col>
      <xdr:colOff>0</xdr:colOff>
      <xdr:row>28</xdr:row>
      <xdr:rowOff>0</xdr:rowOff>
    </xdr:to>
    <xdr:sp macro="" textlink="">
      <xdr:nvSpPr>
        <xdr:cNvPr id="123455" name="Line 4">
          <a:extLst>
            <a:ext uri="{FF2B5EF4-FFF2-40B4-BE49-F238E27FC236}">
              <a16:creationId xmlns:a16="http://schemas.microsoft.com/office/drawing/2014/main" xmlns="" id="{00000000-0008-0000-1800-00003FE20100}"/>
            </a:ext>
          </a:extLst>
        </xdr:cNvPr>
        <xdr:cNvSpPr>
          <a:spLocks noChangeShapeType="1"/>
        </xdr:cNvSpPr>
      </xdr:nvSpPr>
      <xdr:spPr bwMode="auto">
        <a:xfrm>
          <a:off x="1362075" y="353377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32</xdr:row>
      <xdr:rowOff>0</xdr:rowOff>
    </xdr:from>
    <xdr:to>
      <xdr:col>5</xdr:col>
      <xdr:colOff>0</xdr:colOff>
      <xdr:row>34</xdr:row>
      <xdr:rowOff>0</xdr:rowOff>
    </xdr:to>
    <xdr:sp macro="" textlink="">
      <xdr:nvSpPr>
        <xdr:cNvPr id="123456" name="Line 5">
          <a:extLst>
            <a:ext uri="{FF2B5EF4-FFF2-40B4-BE49-F238E27FC236}">
              <a16:creationId xmlns:a16="http://schemas.microsoft.com/office/drawing/2014/main" xmlns="" id="{00000000-0008-0000-1800-000040E20100}"/>
            </a:ext>
          </a:extLst>
        </xdr:cNvPr>
        <xdr:cNvSpPr>
          <a:spLocks noChangeShapeType="1"/>
        </xdr:cNvSpPr>
      </xdr:nvSpPr>
      <xdr:spPr bwMode="auto">
        <a:xfrm>
          <a:off x="1362075" y="427672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38</xdr:row>
      <xdr:rowOff>0</xdr:rowOff>
    </xdr:from>
    <xdr:to>
      <xdr:col>5</xdr:col>
      <xdr:colOff>0</xdr:colOff>
      <xdr:row>40</xdr:row>
      <xdr:rowOff>0</xdr:rowOff>
    </xdr:to>
    <xdr:sp macro="" textlink="">
      <xdr:nvSpPr>
        <xdr:cNvPr id="123457" name="Line 6">
          <a:extLst>
            <a:ext uri="{FF2B5EF4-FFF2-40B4-BE49-F238E27FC236}">
              <a16:creationId xmlns:a16="http://schemas.microsoft.com/office/drawing/2014/main" xmlns="" id="{00000000-0008-0000-1800-000041E20100}"/>
            </a:ext>
          </a:extLst>
        </xdr:cNvPr>
        <xdr:cNvSpPr>
          <a:spLocks noChangeShapeType="1"/>
        </xdr:cNvSpPr>
      </xdr:nvSpPr>
      <xdr:spPr bwMode="auto">
        <a:xfrm>
          <a:off x="1362075" y="5010150"/>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0</xdr:colOff>
      <xdr:row>19</xdr:row>
      <xdr:rowOff>85725</xdr:rowOff>
    </xdr:from>
    <xdr:to>
      <xdr:col>19</xdr:col>
      <xdr:colOff>0</xdr:colOff>
      <xdr:row>19</xdr:row>
      <xdr:rowOff>85725</xdr:rowOff>
    </xdr:to>
    <xdr:sp macro="" textlink="">
      <xdr:nvSpPr>
        <xdr:cNvPr id="123458" name="Line 7">
          <a:extLst>
            <a:ext uri="{FF2B5EF4-FFF2-40B4-BE49-F238E27FC236}">
              <a16:creationId xmlns:a16="http://schemas.microsoft.com/office/drawing/2014/main" xmlns="" id="{00000000-0008-0000-1800-000042E20100}"/>
            </a:ext>
          </a:extLst>
        </xdr:cNvPr>
        <xdr:cNvSpPr>
          <a:spLocks noChangeShapeType="1"/>
        </xdr:cNvSpPr>
      </xdr:nvSpPr>
      <xdr:spPr bwMode="auto">
        <a:xfrm>
          <a:off x="5495925" y="24384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19</xdr:row>
      <xdr:rowOff>85725</xdr:rowOff>
    </xdr:from>
    <xdr:to>
      <xdr:col>19</xdr:col>
      <xdr:colOff>0</xdr:colOff>
      <xdr:row>22</xdr:row>
      <xdr:rowOff>0</xdr:rowOff>
    </xdr:to>
    <xdr:sp macro="" textlink="">
      <xdr:nvSpPr>
        <xdr:cNvPr id="123459" name="Line 8">
          <a:extLst>
            <a:ext uri="{FF2B5EF4-FFF2-40B4-BE49-F238E27FC236}">
              <a16:creationId xmlns:a16="http://schemas.microsoft.com/office/drawing/2014/main" xmlns="" id="{00000000-0008-0000-1800-000043E20100}"/>
            </a:ext>
          </a:extLst>
        </xdr:cNvPr>
        <xdr:cNvSpPr>
          <a:spLocks noChangeShapeType="1"/>
        </xdr:cNvSpPr>
      </xdr:nvSpPr>
      <xdr:spPr bwMode="auto">
        <a:xfrm>
          <a:off x="6076950" y="2438400"/>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19050</xdr:colOff>
      <xdr:row>26</xdr:row>
      <xdr:rowOff>0</xdr:rowOff>
    </xdr:from>
    <xdr:to>
      <xdr:col>19</xdr:col>
      <xdr:colOff>19050</xdr:colOff>
      <xdr:row>27</xdr:row>
      <xdr:rowOff>152400</xdr:rowOff>
    </xdr:to>
    <xdr:sp macro="" textlink="">
      <xdr:nvSpPr>
        <xdr:cNvPr id="123460" name="Line 9">
          <a:extLst>
            <a:ext uri="{FF2B5EF4-FFF2-40B4-BE49-F238E27FC236}">
              <a16:creationId xmlns:a16="http://schemas.microsoft.com/office/drawing/2014/main" xmlns="" id="{00000000-0008-0000-1800-000044E20100}"/>
            </a:ext>
          </a:extLst>
        </xdr:cNvPr>
        <xdr:cNvSpPr>
          <a:spLocks noChangeShapeType="1"/>
        </xdr:cNvSpPr>
      </xdr:nvSpPr>
      <xdr:spPr bwMode="auto">
        <a:xfrm>
          <a:off x="6096000" y="3533775"/>
          <a:ext cx="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200025</xdr:colOff>
      <xdr:row>20</xdr:row>
      <xdr:rowOff>114300</xdr:rowOff>
    </xdr:from>
    <xdr:to>
      <xdr:col>12</xdr:col>
      <xdr:colOff>200025</xdr:colOff>
      <xdr:row>36</xdr:row>
      <xdr:rowOff>9525</xdr:rowOff>
    </xdr:to>
    <xdr:sp macro="" textlink="">
      <xdr:nvSpPr>
        <xdr:cNvPr id="123461" name="Line 11">
          <a:extLst>
            <a:ext uri="{FF2B5EF4-FFF2-40B4-BE49-F238E27FC236}">
              <a16:creationId xmlns:a16="http://schemas.microsoft.com/office/drawing/2014/main" xmlns="" id="{00000000-0008-0000-1800-000045E20100}"/>
            </a:ext>
          </a:extLst>
        </xdr:cNvPr>
        <xdr:cNvSpPr>
          <a:spLocks noChangeShapeType="1"/>
        </xdr:cNvSpPr>
      </xdr:nvSpPr>
      <xdr:spPr bwMode="auto">
        <a:xfrm flipH="1" flipV="1">
          <a:off x="3848100" y="2705100"/>
          <a:ext cx="0" cy="2066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400050</xdr:colOff>
      <xdr:row>20</xdr:row>
      <xdr:rowOff>123825</xdr:rowOff>
    </xdr:from>
    <xdr:to>
      <xdr:col>12</xdr:col>
      <xdr:colOff>200025</xdr:colOff>
      <xdr:row>20</xdr:row>
      <xdr:rowOff>123825</xdr:rowOff>
    </xdr:to>
    <xdr:sp macro="" textlink="">
      <xdr:nvSpPr>
        <xdr:cNvPr id="123462" name="Line 12">
          <a:extLst>
            <a:ext uri="{FF2B5EF4-FFF2-40B4-BE49-F238E27FC236}">
              <a16:creationId xmlns:a16="http://schemas.microsoft.com/office/drawing/2014/main" xmlns="" id="{00000000-0008-0000-1800-000046E20100}"/>
            </a:ext>
          </a:extLst>
        </xdr:cNvPr>
        <xdr:cNvSpPr>
          <a:spLocks noChangeShapeType="1"/>
        </xdr:cNvSpPr>
      </xdr:nvSpPr>
      <xdr:spPr bwMode="auto">
        <a:xfrm flipH="1">
          <a:off x="2828925" y="2714625"/>
          <a:ext cx="1019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400050</xdr:colOff>
      <xdr:row>20</xdr:row>
      <xdr:rowOff>123825</xdr:rowOff>
    </xdr:from>
    <xdr:to>
      <xdr:col>8</xdr:col>
      <xdr:colOff>400050</xdr:colOff>
      <xdr:row>21</xdr:row>
      <xdr:rowOff>161925</xdr:rowOff>
    </xdr:to>
    <xdr:sp macro="" textlink="">
      <xdr:nvSpPr>
        <xdr:cNvPr id="123463" name="Line 13">
          <a:extLst>
            <a:ext uri="{FF2B5EF4-FFF2-40B4-BE49-F238E27FC236}">
              <a16:creationId xmlns:a16="http://schemas.microsoft.com/office/drawing/2014/main" xmlns="" id="{00000000-0008-0000-1800-000047E20100}"/>
            </a:ext>
          </a:extLst>
        </xdr:cNvPr>
        <xdr:cNvSpPr>
          <a:spLocks noChangeShapeType="1"/>
        </xdr:cNvSpPr>
      </xdr:nvSpPr>
      <xdr:spPr bwMode="auto">
        <a:xfrm flipH="1">
          <a:off x="2828925" y="2714625"/>
          <a:ext cx="0"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0</xdr:colOff>
      <xdr:row>24</xdr:row>
      <xdr:rowOff>19050</xdr:rowOff>
    </xdr:from>
    <xdr:to>
      <xdr:col>12</xdr:col>
      <xdr:colOff>0</xdr:colOff>
      <xdr:row>41</xdr:row>
      <xdr:rowOff>95250</xdr:rowOff>
    </xdr:to>
    <xdr:sp macro="" textlink="">
      <xdr:nvSpPr>
        <xdr:cNvPr id="123464" name="Line 17">
          <a:extLst>
            <a:ext uri="{FF2B5EF4-FFF2-40B4-BE49-F238E27FC236}">
              <a16:creationId xmlns:a16="http://schemas.microsoft.com/office/drawing/2014/main" xmlns="" id="{00000000-0008-0000-1800-000048E20100}"/>
            </a:ext>
          </a:extLst>
        </xdr:cNvPr>
        <xdr:cNvSpPr>
          <a:spLocks noChangeShapeType="1"/>
        </xdr:cNvSpPr>
      </xdr:nvSpPr>
      <xdr:spPr bwMode="auto">
        <a:xfrm>
          <a:off x="3648075" y="3267075"/>
          <a:ext cx="0" cy="2162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41</xdr:row>
      <xdr:rowOff>85725</xdr:rowOff>
    </xdr:from>
    <xdr:to>
      <xdr:col>14</xdr:col>
      <xdr:colOff>0</xdr:colOff>
      <xdr:row>41</xdr:row>
      <xdr:rowOff>85725</xdr:rowOff>
    </xdr:to>
    <xdr:sp macro="" textlink="">
      <xdr:nvSpPr>
        <xdr:cNvPr id="123465" name="Line 18">
          <a:extLst>
            <a:ext uri="{FF2B5EF4-FFF2-40B4-BE49-F238E27FC236}">
              <a16:creationId xmlns:a16="http://schemas.microsoft.com/office/drawing/2014/main" xmlns="" id="{00000000-0008-0000-1800-000049E20100}"/>
            </a:ext>
          </a:extLst>
        </xdr:cNvPr>
        <xdr:cNvSpPr>
          <a:spLocks noChangeShapeType="1"/>
        </xdr:cNvSpPr>
      </xdr:nvSpPr>
      <xdr:spPr bwMode="auto">
        <a:xfrm>
          <a:off x="3648075" y="5419725"/>
          <a:ext cx="523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24</xdr:row>
      <xdr:rowOff>28575</xdr:rowOff>
    </xdr:from>
    <xdr:to>
      <xdr:col>12</xdr:col>
      <xdr:colOff>0</xdr:colOff>
      <xdr:row>24</xdr:row>
      <xdr:rowOff>28575</xdr:rowOff>
    </xdr:to>
    <xdr:sp macro="" textlink="">
      <xdr:nvSpPr>
        <xdr:cNvPr id="123466" name="Line 20">
          <a:extLst>
            <a:ext uri="{FF2B5EF4-FFF2-40B4-BE49-F238E27FC236}">
              <a16:creationId xmlns:a16="http://schemas.microsoft.com/office/drawing/2014/main" xmlns="" id="{00000000-0008-0000-1800-00004AE20100}"/>
            </a:ext>
          </a:extLst>
        </xdr:cNvPr>
        <xdr:cNvSpPr>
          <a:spLocks noChangeShapeType="1"/>
        </xdr:cNvSpPr>
      </xdr:nvSpPr>
      <xdr:spPr bwMode="auto">
        <a:xfrm>
          <a:off x="3324225" y="32766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30</xdr:row>
      <xdr:rowOff>19050</xdr:rowOff>
    </xdr:from>
    <xdr:to>
      <xdr:col>12</xdr:col>
      <xdr:colOff>0</xdr:colOff>
      <xdr:row>30</xdr:row>
      <xdr:rowOff>19050</xdr:rowOff>
    </xdr:to>
    <xdr:sp macro="" textlink="">
      <xdr:nvSpPr>
        <xdr:cNvPr id="123467" name="Line 21">
          <a:extLst>
            <a:ext uri="{FF2B5EF4-FFF2-40B4-BE49-F238E27FC236}">
              <a16:creationId xmlns:a16="http://schemas.microsoft.com/office/drawing/2014/main" xmlns="" id="{00000000-0008-0000-1800-00004BE20100}"/>
            </a:ext>
          </a:extLst>
        </xdr:cNvPr>
        <xdr:cNvSpPr>
          <a:spLocks noChangeShapeType="1"/>
        </xdr:cNvSpPr>
      </xdr:nvSpPr>
      <xdr:spPr bwMode="auto">
        <a:xfrm>
          <a:off x="3324225" y="40386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36</xdr:row>
      <xdr:rowOff>19050</xdr:rowOff>
    </xdr:from>
    <xdr:to>
      <xdr:col>12</xdr:col>
      <xdr:colOff>0</xdr:colOff>
      <xdr:row>36</xdr:row>
      <xdr:rowOff>19050</xdr:rowOff>
    </xdr:to>
    <xdr:sp macro="" textlink="">
      <xdr:nvSpPr>
        <xdr:cNvPr id="123468" name="Line 22">
          <a:extLst>
            <a:ext uri="{FF2B5EF4-FFF2-40B4-BE49-F238E27FC236}">
              <a16:creationId xmlns:a16="http://schemas.microsoft.com/office/drawing/2014/main" xmlns="" id="{00000000-0008-0000-1800-00004CE20100}"/>
            </a:ext>
          </a:extLst>
        </xdr:cNvPr>
        <xdr:cNvSpPr>
          <a:spLocks noChangeShapeType="1"/>
        </xdr:cNvSpPr>
      </xdr:nvSpPr>
      <xdr:spPr bwMode="auto">
        <a:xfrm>
          <a:off x="3324225" y="478155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295275</xdr:colOff>
      <xdr:row>24</xdr:row>
      <xdr:rowOff>76200</xdr:rowOff>
    </xdr:from>
    <xdr:to>
      <xdr:col>22</xdr:col>
      <xdr:colOff>295275</xdr:colOff>
      <xdr:row>40</xdr:row>
      <xdr:rowOff>0</xdr:rowOff>
    </xdr:to>
    <xdr:sp macro="" textlink="">
      <xdr:nvSpPr>
        <xdr:cNvPr id="123469" name="Line 23">
          <a:extLst>
            <a:ext uri="{FF2B5EF4-FFF2-40B4-BE49-F238E27FC236}">
              <a16:creationId xmlns:a16="http://schemas.microsoft.com/office/drawing/2014/main" xmlns="" id="{00000000-0008-0000-1800-00004DE20100}"/>
            </a:ext>
          </a:extLst>
        </xdr:cNvPr>
        <xdr:cNvSpPr>
          <a:spLocks noChangeShapeType="1"/>
        </xdr:cNvSpPr>
      </xdr:nvSpPr>
      <xdr:spPr bwMode="auto">
        <a:xfrm>
          <a:off x="7677150" y="3324225"/>
          <a:ext cx="0" cy="1933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9525</xdr:colOff>
      <xdr:row>24</xdr:row>
      <xdr:rowOff>66675</xdr:rowOff>
    </xdr:from>
    <xdr:to>
      <xdr:col>23</xdr:col>
      <xdr:colOff>0</xdr:colOff>
      <xdr:row>24</xdr:row>
      <xdr:rowOff>66675</xdr:rowOff>
    </xdr:to>
    <xdr:sp macro="" textlink="">
      <xdr:nvSpPr>
        <xdr:cNvPr id="123470" name="Line 24">
          <a:extLst>
            <a:ext uri="{FF2B5EF4-FFF2-40B4-BE49-F238E27FC236}">
              <a16:creationId xmlns:a16="http://schemas.microsoft.com/office/drawing/2014/main" xmlns="" id="{00000000-0008-0000-1800-00004EE20100}"/>
            </a:ext>
          </a:extLst>
        </xdr:cNvPr>
        <xdr:cNvSpPr>
          <a:spLocks noChangeShapeType="1"/>
        </xdr:cNvSpPr>
      </xdr:nvSpPr>
      <xdr:spPr bwMode="auto">
        <a:xfrm>
          <a:off x="7429500" y="331470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0</xdr:colOff>
      <xdr:row>36</xdr:row>
      <xdr:rowOff>19050</xdr:rowOff>
    </xdr:from>
    <xdr:to>
      <xdr:col>22</xdr:col>
      <xdr:colOff>219075</xdr:colOff>
      <xdr:row>36</xdr:row>
      <xdr:rowOff>19050</xdr:rowOff>
    </xdr:to>
    <xdr:sp macro="" textlink="">
      <xdr:nvSpPr>
        <xdr:cNvPr id="123471" name="Line 25">
          <a:extLst>
            <a:ext uri="{FF2B5EF4-FFF2-40B4-BE49-F238E27FC236}">
              <a16:creationId xmlns:a16="http://schemas.microsoft.com/office/drawing/2014/main" xmlns="" id="{00000000-0008-0000-1800-00004FE20100}"/>
            </a:ext>
          </a:extLst>
        </xdr:cNvPr>
        <xdr:cNvSpPr>
          <a:spLocks noChangeShapeType="1"/>
        </xdr:cNvSpPr>
      </xdr:nvSpPr>
      <xdr:spPr bwMode="auto">
        <a:xfrm>
          <a:off x="7419975" y="4781550"/>
          <a:ext cx="219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200025</xdr:colOff>
      <xdr:row>36</xdr:row>
      <xdr:rowOff>19050</xdr:rowOff>
    </xdr:from>
    <xdr:to>
      <xdr:col>14</xdr:col>
      <xdr:colOff>0</xdr:colOff>
      <xdr:row>36</xdr:row>
      <xdr:rowOff>19050</xdr:rowOff>
    </xdr:to>
    <xdr:sp macro="" textlink="">
      <xdr:nvSpPr>
        <xdr:cNvPr id="123472" name="Line 26">
          <a:extLst>
            <a:ext uri="{FF2B5EF4-FFF2-40B4-BE49-F238E27FC236}">
              <a16:creationId xmlns:a16="http://schemas.microsoft.com/office/drawing/2014/main" xmlns="" id="{00000000-0008-0000-1800-000050E20100}"/>
            </a:ext>
          </a:extLst>
        </xdr:cNvPr>
        <xdr:cNvSpPr>
          <a:spLocks noChangeShapeType="1"/>
        </xdr:cNvSpPr>
      </xdr:nvSpPr>
      <xdr:spPr bwMode="auto">
        <a:xfrm flipH="1">
          <a:off x="3848100" y="478155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19050</xdr:colOff>
      <xdr:row>32</xdr:row>
      <xdr:rowOff>9525</xdr:rowOff>
    </xdr:from>
    <xdr:to>
      <xdr:col>19</xdr:col>
      <xdr:colOff>19050</xdr:colOff>
      <xdr:row>34</xdr:row>
      <xdr:rowOff>0</xdr:rowOff>
    </xdr:to>
    <xdr:sp macro="" textlink="">
      <xdr:nvSpPr>
        <xdr:cNvPr id="123473" name="Line 93">
          <a:extLst>
            <a:ext uri="{FF2B5EF4-FFF2-40B4-BE49-F238E27FC236}">
              <a16:creationId xmlns:a16="http://schemas.microsoft.com/office/drawing/2014/main" xmlns="" id="{00000000-0008-0000-1800-000051E20100}"/>
            </a:ext>
          </a:extLst>
        </xdr:cNvPr>
        <xdr:cNvSpPr>
          <a:spLocks noChangeShapeType="1"/>
        </xdr:cNvSpPr>
      </xdr:nvSpPr>
      <xdr:spPr bwMode="auto">
        <a:xfrm>
          <a:off x="6096000" y="4286250"/>
          <a:ext cx="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9525</xdr:colOff>
      <xdr:row>30</xdr:row>
      <xdr:rowOff>28575</xdr:rowOff>
    </xdr:from>
    <xdr:to>
      <xdr:col>23</xdr:col>
      <xdr:colOff>9525</xdr:colOff>
      <xdr:row>30</xdr:row>
      <xdr:rowOff>28575</xdr:rowOff>
    </xdr:to>
    <xdr:sp macro="" textlink="">
      <xdr:nvSpPr>
        <xdr:cNvPr id="123474" name="Line 94">
          <a:extLst>
            <a:ext uri="{FF2B5EF4-FFF2-40B4-BE49-F238E27FC236}">
              <a16:creationId xmlns:a16="http://schemas.microsoft.com/office/drawing/2014/main" xmlns="" id="{00000000-0008-0000-1800-000052E20100}"/>
            </a:ext>
          </a:extLst>
        </xdr:cNvPr>
        <xdr:cNvSpPr>
          <a:spLocks noChangeShapeType="1"/>
        </xdr:cNvSpPr>
      </xdr:nvSpPr>
      <xdr:spPr bwMode="auto">
        <a:xfrm>
          <a:off x="7429500" y="404812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19</xdr:col>
      <xdr:colOff>66675</xdr:colOff>
      <xdr:row>57</xdr:row>
      <xdr:rowOff>28575</xdr:rowOff>
    </xdr:from>
    <xdr:to>
      <xdr:col>19</xdr:col>
      <xdr:colOff>161925</xdr:colOff>
      <xdr:row>58</xdr:row>
      <xdr:rowOff>12700</xdr:rowOff>
    </xdr:to>
    <xdr:pic>
      <xdr:nvPicPr>
        <xdr:cNvPr id="123475" name="Picture 1">
          <a:extLst>
            <a:ext uri="{FF2B5EF4-FFF2-40B4-BE49-F238E27FC236}">
              <a16:creationId xmlns:a16="http://schemas.microsoft.com/office/drawing/2014/main" xmlns="" id="{00000000-0008-0000-1800-000053E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78295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38100</xdr:colOff>
      <xdr:row>71</xdr:row>
      <xdr:rowOff>9525</xdr:rowOff>
    </xdr:from>
    <xdr:to>
      <xdr:col>19</xdr:col>
      <xdr:colOff>133350</xdr:colOff>
      <xdr:row>71</xdr:row>
      <xdr:rowOff>161925</xdr:rowOff>
    </xdr:to>
    <xdr:pic>
      <xdr:nvPicPr>
        <xdr:cNvPr id="123476" name="Picture 1">
          <a:extLst>
            <a:ext uri="{FF2B5EF4-FFF2-40B4-BE49-F238E27FC236}">
              <a16:creationId xmlns:a16="http://schemas.microsoft.com/office/drawing/2014/main" xmlns="" id="{00000000-0008-0000-1800-000054E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15050" y="109347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857250</xdr:colOff>
      <xdr:row>77</xdr:row>
      <xdr:rowOff>9525</xdr:rowOff>
    </xdr:from>
    <xdr:to>
      <xdr:col>21</xdr:col>
      <xdr:colOff>952500</xdr:colOff>
      <xdr:row>78</xdr:row>
      <xdr:rowOff>9524</xdr:rowOff>
    </xdr:to>
    <xdr:pic>
      <xdr:nvPicPr>
        <xdr:cNvPr id="123477" name="Picture 1">
          <a:extLst>
            <a:ext uri="{FF2B5EF4-FFF2-40B4-BE49-F238E27FC236}">
              <a16:creationId xmlns:a16="http://schemas.microsoft.com/office/drawing/2014/main" xmlns="" id="{00000000-0008-0000-1800-000055E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20396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38100</xdr:colOff>
      <xdr:row>92</xdr:row>
      <xdr:rowOff>19050</xdr:rowOff>
    </xdr:from>
    <xdr:to>
      <xdr:col>19</xdr:col>
      <xdr:colOff>133350</xdr:colOff>
      <xdr:row>92</xdr:row>
      <xdr:rowOff>171450</xdr:rowOff>
    </xdr:to>
    <xdr:pic>
      <xdr:nvPicPr>
        <xdr:cNvPr id="123478" name="Picture 1">
          <a:extLst>
            <a:ext uri="{FF2B5EF4-FFF2-40B4-BE49-F238E27FC236}">
              <a16:creationId xmlns:a16="http://schemas.microsoft.com/office/drawing/2014/main" xmlns="" id="{00000000-0008-0000-1800-000056E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15050" y="144018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47625</xdr:colOff>
      <xdr:row>105</xdr:row>
      <xdr:rowOff>28575</xdr:rowOff>
    </xdr:from>
    <xdr:to>
      <xdr:col>19</xdr:col>
      <xdr:colOff>142875</xdr:colOff>
      <xdr:row>106</xdr:row>
      <xdr:rowOff>9525</xdr:rowOff>
    </xdr:to>
    <xdr:pic>
      <xdr:nvPicPr>
        <xdr:cNvPr id="123479" name="Picture 1">
          <a:extLst>
            <a:ext uri="{FF2B5EF4-FFF2-40B4-BE49-F238E27FC236}">
              <a16:creationId xmlns:a16="http://schemas.microsoft.com/office/drawing/2014/main" xmlns="" id="{00000000-0008-0000-1800-000057E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4575" y="16621125"/>
          <a:ext cx="95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15875</xdr:colOff>
      <xdr:row>14</xdr:row>
      <xdr:rowOff>9525</xdr:rowOff>
    </xdr:from>
    <xdr:to>
      <xdr:col>19</xdr:col>
      <xdr:colOff>111125</xdr:colOff>
      <xdr:row>14</xdr:row>
      <xdr:rowOff>161925</xdr:rowOff>
    </xdr:to>
    <xdr:pic>
      <xdr:nvPicPr>
        <xdr:cNvPr id="123480" name="Picture 1">
          <a:extLst>
            <a:ext uri="{FF2B5EF4-FFF2-40B4-BE49-F238E27FC236}">
              <a16:creationId xmlns:a16="http://schemas.microsoft.com/office/drawing/2014/main" xmlns="" id="{00000000-0008-0000-1800-000058E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4575" y="124777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21771</xdr:colOff>
      <xdr:row>11</xdr:row>
      <xdr:rowOff>59871</xdr:rowOff>
    </xdr:from>
    <xdr:to>
      <xdr:col>6</xdr:col>
      <xdr:colOff>77754</xdr:colOff>
      <xdr:row>11</xdr:row>
      <xdr:rowOff>157842</xdr:rowOff>
    </xdr:to>
    <xdr:pic>
      <xdr:nvPicPr>
        <xdr:cNvPr id="30" name="Picture 3">
          <a:extLst>
            <a:ext uri="{FF2B5EF4-FFF2-40B4-BE49-F238E27FC236}">
              <a16:creationId xmlns:a16="http://schemas.microsoft.com/office/drawing/2014/main" xmlns="" id="{00000000-0008-0000-18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1714" y="2356757"/>
          <a:ext cx="55983" cy="97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65314</xdr:colOff>
      <xdr:row>12</xdr:row>
      <xdr:rowOff>48985</xdr:rowOff>
    </xdr:from>
    <xdr:to>
      <xdr:col>9</xdr:col>
      <xdr:colOff>119742</xdr:colOff>
      <xdr:row>12</xdr:row>
      <xdr:rowOff>144234</xdr:rowOff>
    </xdr:to>
    <xdr:pic>
      <xdr:nvPicPr>
        <xdr:cNvPr id="31" name="Picture 3">
          <a:extLst>
            <a:ext uri="{FF2B5EF4-FFF2-40B4-BE49-F238E27FC236}">
              <a16:creationId xmlns:a16="http://schemas.microsoft.com/office/drawing/2014/main" xmlns="" id="{00000000-0008-0000-1800-00001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01043" y="2520042"/>
          <a:ext cx="54428" cy="952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15</xdr:row>
      <xdr:rowOff>0</xdr:rowOff>
    </xdr:from>
    <xdr:to>
      <xdr:col>5</xdr:col>
      <xdr:colOff>0</xdr:colOff>
      <xdr:row>17</xdr:row>
      <xdr:rowOff>0</xdr:rowOff>
    </xdr:to>
    <xdr:sp macro="" textlink="">
      <xdr:nvSpPr>
        <xdr:cNvPr id="4" name="Line 4">
          <a:extLst>
            <a:ext uri="{FF2B5EF4-FFF2-40B4-BE49-F238E27FC236}">
              <a16:creationId xmlns:a16="http://schemas.microsoft.com/office/drawing/2014/main" xmlns="" id="{00000000-0008-0000-1900-000004000000}"/>
            </a:ext>
          </a:extLst>
        </xdr:cNvPr>
        <xdr:cNvSpPr>
          <a:spLocks noChangeShapeType="1"/>
        </xdr:cNvSpPr>
      </xdr:nvSpPr>
      <xdr:spPr bwMode="auto">
        <a:xfrm>
          <a:off x="1362075" y="490537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507274</xdr:colOff>
      <xdr:row>26</xdr:row>
      <xdr:rowOff>2178</xdr:rowOff>
    </xdr:from>
    <xdr:to>
      <xdr:col>16</xdr:col>
      <xdr:colOff>507274</xdr:colOff>
      <xdr:row>27</xdr:row>
      <xdr:rowOff>100694</xdr:rowOff>
    </xdr:to>
    <xdr:sp macro="" textlink="">
      <xdr:nvSpPr>
        <xdr:cNvPr id="5" name="Line 5">
          <a:extLst>
            <a:ext uri="{FF2B5EF4-FFF2-40B4-BE49-F238E27FC236}">
              <a16:creationId xmlns:a16="http://schemas.microsoft.com/office/drawing/2014/main" xmlns="" id="{00000000-0008-0000-1900-000005000000}"/>
            </a:ext>
          </a:extLst>
        </xdr:cNvPr>
        <xdr:cNvSpPr>
          <a:spLocks noChangeShapeType="1"/>
        </xdr:cNvSpPr>
      </xdr:nvSpPr>
      <xdr:spPr bwMode="auto">
        <a:xfrm>
          <a:off x="5188131" y="3621678"/>
          <a:ext cx="0" cy="1856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non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26</xdr:row>
      <xdr:rowOff>0</xdr:rowOff>
    </xdr:from>
    <xdr:to>
      <xdr:col>5</xdr:col>
      <xdr:colOff>0</xdr:colOff>
      <xdr:row>29</xdr:row>
      <xdr:rowOff>0</xdr:rowOff>
    </xdr:to>
    <xdr:sp macro="" textlink="">
      <xdr:nvSpPr>
        <xdr:cNvPr id="6" name="Line 6">
          <a:extLst>
            <a:ext uri="{FF2B5EF4-FFF2-40B4-BE49-F238E27FC236}">
              <a16:creationId xmlns:a16="http://schemas.microsoft.com/office/drawing/2014/main" xmlns="" id="{00000000-0008-0000-1900-000006000000}"/>
            </a:ext>
          </a:extLst>
        </xdr:cNvPr>
        <xdr:cNvSpPr>
          <a:spLocks noChangeShapeType="1"/>
        </xdr:cNvSpPr>
      </xdr:nvSpPr>
      <xdr:spPr bwMode="auto">
        <a:xfrm>
          <a:off x="1362075" y="6381750"/>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14654</xdr:colOff>
      <xdr:row>25</xdr:row>
      <xdr:rowOff>7326</xdr:rowOff>
    </xdr:from>
    <xdr:to>
      <xdr:col>14</xdr:col>
      <xdr:colOff>0</xdr:colOff>
      <xdr:row>25</xdr:row>
      <xdr:rowOff>7327</xdr:rowOff>
    </xdr:to>
    <xdr:sp macro="" textlink="">
      <xdr:nvSpPr>
        <xdr:cNvPr id="14" name="Line 18">
          <a:extLst>
            <a:ext uri="{FF2B5EF4-FFF2-40B4-BE49-F238E27FC236}">
              <a16:creationId xmlns:a16="http://schemas.microsoft.com/office/drawing/2014/main" xmlns="" id="{00000000-0008-0000-1900-00000E000000}"/>
            </a:ext>
          </a:extLst>
        </xdr:cNvPr>
        <xdr:cNvSpPr>
          <a:spLocks noChangeShapeType="1"/>
        </xdr:cNvSpPr>
      </xdr:nvSpPr>
      <xdr:spPr bwMode="auto">
        <a:xfrm>
          <a:off x="3531577" y="3509595"/>
          <a:ext cx="410308" cy="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13137</xdr:colOff>
      <xdr:row>14</xdr:row>
      <xdr:rowOff>13137</xdr:rowOff>
    </xdr:from>
    <xdr:to>
      <xdr:col>13</xdr:col>
      <xdr:colOff>269327</xdr:colOff>
      <xdr:row>14</xdr:row>
      <xdr:rowOff>13137</xdr:rowOff>
    </xdr:to>
    <xdr:sp macro="" textlink="">
      <xdr:nvSpPr>
        <xdr:cNvPr id="15" name="Line 20">
          <a:extLst>
            <a:ext uri="{FF2B5EF4-FFF2-40B4-BE49-F238E27FC236}">
              <a16:creationId xmlns:a16="http://schemas.microsoft.com/office/drawing/2014/main" xmlns="" id="{00000000-0008-0000-1900-00000F000000}"/>
            </a:ext>
          </a:extLst>
        </xdr:cNvPr>
        <xdr:cNvSpPr>
          <a:spLocks noChangeShapeType="1"/>
        </xdr:cNvSpPr>
      </xdr:nvSpPr>
      <xdr:spPr bwMode="auto">
        <a:xfrm>
          <a:off x="3343603" y="2194034"/>
          <a:ext cx="82769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xdr:colOff>
      <xdr:row>19</xdr:row>
      <xdr:rowOff>19049</xdr:rowOff>
    </xdr:from>
    <xdr:to>
      <xdr:col>13</xdr:col>
      <xdr:colOff>269327</xdr:colOff>
      <xdr:row>19</xdr:row>
      <xdr:rowOff>19707</xdr:rowOff>
    </xdr:to>
    <xdr:sp macro="" textlink="">
      <xdr:nvSpPr>
        <xdr:cNvPr id="16" name="Line 21">
          <a:extLst>
            <a:ext uri="{FF2B5EF4-FFF2-40B4-BE49-F238E27FC236}">
              <a16:creationId xmlns:a16="http://schemas.microsoft.com/office/drawing/2014/main" xmlns="" id="{00000000-0008-0000-1900-000010000000}"/>
            </a:ext>
          </a:extLst>
        </xdr:cNvPr>
        <xdr:cNvSpPr>
          <a:spLocks noChangeShapeType="1"/>
        </xdr:cNvSpPr>
      </xdr:nvSpPr>
      <xdr:spPr bwMode="auto">
        <a:xfrm>
          <a:off x="3330467" y="2817428"/>
          <a:ext cx="840826" cy="6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506186</xdr:colOff>
      <xdr:row>27</xdr:row>
      <xdr:rowOff>97971</xdr:rowOff>
    </xdr:from>
    <xdr:to>
      <xdr:col>18</xdr:col>
      <xdr:colOff>0</xdr:colOff>
      <xdr:row>27</xdr:row>
      <xdr:rowOff>97971</xdr:rowOff>
    </xdr:to>
    <xdr:sp macro="" textlink="">
      <xdr:nvSpPr>
        <xdr:cNvPr id="22" name="Line 93">
          <a:extLst>
            <a:ext uri="{FF2B5EF4-FFF2-40B4-BE49-F238E27FC236}">
              <a16:creationId xmlns:a16="http://schemas.microsoft.com/office/drawing/2014/main" xmlns="" id="{00000000-0008-0000-1900-000016000000}"/>
            </a:ext>
          </a:extLst>
        </xdr:cNvPr>
        <xdr:cNvSpPr>
          <a:spLocks noChangeShapeType="1"/>
        </xdr:cNvSpPr>
      </xdr:nvSpPr>
      <xdr:spPr bwMode="auto">
        <a:xfrm flipV="1">
          <a:off x="5187043" y="3804557"/>
          <a:ext cx="3265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6</xdr:col>
      <xdr:colOff>46681</xdr:colOff>
      <xdr:row>7</xdr:row>
      <xdr:rowOff>64267</xdr:rowOff>
    </xdr:from>
    <xdr:to>
      <xdr:col>6</xdr:col>
      <xdr:colOff>102664</xdr:colOff>
      <xdr:row>7</xdr:row>
      <xdr:rowOff>159307</xdr:rowOff>
    </xdr:to>
    <xdr:pic>
      <xdr:nvPicPr>
        <xdr:cNvPr id="30" name="Picture 3">
          <a:extLst>
            <a:ext uri="{FF2B5EF4-FFF2-40B4-BE49-F238E27FC236}">
              <a16:creationId xmlns:a16="http://schemas.microsoft.com/office/drawing/2014/main" xmlns="" id="{00000000-0008-0000-19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68508" y="1009440"/>
          <a:ext cx="55983" cy="95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274864</xdr:colOff>
      <xdr:row>8</xdr:row>
      <xdr:rowOff>29935</xdr:rowOff>
    </xdr:from>
    <xdr:to>
      <xdr:col>8</xdr:col>
      <xdr:colOff>54310</xdr:colOff>
      <xdr:row>8</xdr:row>
      <xdr:rowOff>125184</xdr:rowOff>
    </xdr:to>
    <xdr:pic>
      <xdr:nvPicPr>
        <xdr:cNvPr id="31" name="Picture 3">
          <a:extLst>
            <a:ext uri="{FF2B5EF4-FFF2-40B4-BE49-F238E27FC236}">
              <a16:creationId xmlns:a16="http://schemas.microsoft.com/office/drawing/2014/main" xmlns="" id="{00000000-0008-0000-1900-00001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08464" y="1144360"/>
          <a:ext cx="54428" cy="952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7883</xdr:colOff>
      <xdr:row>20</xdr:row>
      <xdr:rowOff>93278</xdr:rowOff>
    </xdr:from>
    <xdr:to>
      <xdr:col>5</xdr:col>
      <xdr:colOff>7883</xdr:colOff>
      <xdr:row>22</xdr:row>
      <xdr:rowOff>158968</xdr:rowOff>
    </xdr:to>
    <xdr:sp macro="" textlink="">
      <xdr:nvSpPr>
        <xdr:cNvPr id="34" name="Line 5">
          <a:extLst>
            <a:ext uri="{FF2B5EF4-FFF2-40B4-BE49-F238E27FC236}">
              <a16:creationId xmlns:a16="http://schemas.microsoft.com/office/drawing/2014/main" xmlns="" id="{00000000-0008-0000-1900-000022000000}"/>
            </a:ext>
          </a:extLst>
        </xdr:cNvPr>
        <xdr:cNvSpPr>
          <a:spLocks noChangeShapeType="1"/>
        </xdr:cNvSpPr>
      </xdr:nvSpPr>
      <xdr:spPr bwMode="auto">
        <a:xfrm>
          <a:off x="1374228" y="3036175"/>
          <a:ext cx="0" cy="2496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108856</xdr:colOff>
      <xdr:row>26</xdr:row>
      <xdr:rowOff>5444</xdr:rowOff>
    </xdr:from>
    <xdr:to>
      <xdr:col>14</xdr:col>
      <xdr:colOff>108856</xdr:colOff>
      <xdr:row>29</xdr:row>
      <xdr:rowOff>5444</xdr:rowOff>
    </xdr:to>
    <xdr:sp macro="" textlink="">
      <xdr:nvSpPr>
        <xdr:cNvPr id="36" name="Line 6">
          <a:extLst>
            <a:ext uri="{FF2B5EF4-FFF2-40B4-BE49-F238E27FC236}">
              <a16:creationId xmlns:a16="http://schemas.microsoft.com/office/drawing/2014/main" xmlns="" id="{00000000-0008-0000-1900-000024000000}"/>
            </a:ext>
          </a:extLst>
        </xdr:cNvPr>
        <xdr:cNvSpPr>
          <a:spLocks noChangeShapeType="1"/>
        </xdr:cNvSpPr>
      </xdr:nvSpPr>
      <xdr:spPr bwMode="auto">
        <a:xfrm>
          <a:off x="4294413" y="3624944"/>
          <a:ext cx="0" cy="4245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18</xdr:col>
      <xdr:colOff>342241</xdr:colOff>
      <xdr:row>105</xdr:row>
      <xdr:rowOff>51502</xdr:rowOff>
    </xdr:from>
    <xdr:to>
      <xdr:col>18</xdr:col>
      <xdr:colOff>437491</xdr:colOff>
      <xdr:row>106</xdr:row>
      <xdr:rowOff>45883</xdr:rowOff>
    </xdr:to>
    <xdr:pic>
      <xdr:nvPicPr>
        <xdr:cNvPr id="37" name="Picture 1">
          <a:extLst>
            <a:ext uri="{FF2B5EF4-FFF2-40B4-BE49-F238E27FC236}">
              <a16:creationId xmlns:a16="http://schemas.microsoft.com/office/drawing/2014/main" xmlns="" id="{00000000-0008-0000-1900-00002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92198" y="16572545"/>
          <a:ext cx="95250" cy="1545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18</xdr:col>
      <xdr:colOff>527962</xdr:colOff>
      <xdr:row>146</xdr:row>
      <xdr:rowOff>3612</xdr:rowOff>
    </xdr:from>
    <xdr:ext cx="95250" cy="155574"/>
    <xdr:pic>
      <xdr:nvPicPr>
        <xdr:cNvPr id="38" name="Picture 1">
          <a:extLst>
            <a:ext uri="{FF2B5EF4-FFF2-40B4-BE49-F238E27FC236}">
              <a16:creationId xmlns:a16="http://schemas.microsoft.com/office/drawing/2014/main" xmlns="" id="{00000000-0008-0000-1900-00002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77919" y="23686351"/>
          <a:ext cx="95250" cy="155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2.xml><?xml version="1.0" encoding="utf-8"?>
<xdr:wsDr xmlns:xdr="http://schemas.openxmlformats.org/drawingml/2006/spreadsheetDrawing" xmlns:a="http://schemas.openxmlformats.org/drawingml/2006/main">
  <xdr:twoCellAnchor>
    <xdr:from>
      <xdr:col>9</xdr:col>
      <xdr:colOff>0</xdr:colOff>
      <xdr:row>18</xdr:row>
      <xdr:rowOff>57150</xdr:rowOff>
    </xdr:from>
    <xdr:to>
      <xdr:col>9</xdr:col>
      <xdr:colOff>615950</xdr:colOff>
      <xdr:row>18</xdr:row>
      <xdr:rowOff>57150</xdr:rowOff>
    </xdr:to>
    <xdr:sp macro="" textlink="">
      <xdr:nvSpPr>
        <xdr:cNvPr id="2" name="Line 1">
          <a:extLst>
            <a:ext uri="{FF2B5EF4-FFF2-40B4-BE49-F238E27FC236}">
              <a16:creationId xmlns:a16="http://schemas.microsoft.com/office/drawing/2014/main" xmlns="" id="{00000000-0008-0000-1A00-000002000000}"/>
            </a:ext>
          </a:extLst>
        </xdr:cNvPr>
        <xdr:cNvSpPr>
          <a:spLocks noChangeShapeType="1"/>
        </xdr:cNvSpPr>
      </xdr:nvSpPr>
      <xdr:spPr bwMode="auto">
        <a:xfrm>
          <a:off x="3841750" y="3352800"/>
          <a:ext cx="615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12700</xdr:colOff>
      <xdr:row>20</xdr:row>
      <xdr:rowOff>88900</xdr:rowOff>
    </xdr:from>
    <xdr:to>
      <xdr:col>9</xdr:col>
      <xdr:colOff>628650</xdr:colOff>
      <xdr:row>20</xdr:row>
      <xdr:rowOff>88900</xdr:rowOff>
    </xdr:to>
    <xdr:sp macro="" textlink="">
      <xdr:nvSpPr>
        <xdr:cNvPr id="3" name="Line 2">
          <a:extLst>
            <a:ext uri="{FF2B5EF4-FFF2-40B4-BE49-F238E27FC236}">
              <a16:creationId xmlns:a16="http://schemas.microsoft.com/office/drawing/2014/main" xmlns="" id="{00000000-0008-0000-1A00-000003000000}"/>
            </a:ext>
          </a:extLst>
        </xdr:cNvPr>
        <xdr:cNvSpPr>
          <a:spLocks noChangeShapeType="1"/>
        </xdr:cNvSpPr>
      </xdr:nvSpPr>
      <xdr:spPr bwMode="auto">
        <a:xfrm>
          <a:off x="3854450" y="3708400"/>
          <a:ext cx="615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247650</xdr:colOff>
      <xdr:row>18</xdr:row>
      <xdr:rowOff>57150</xdr:rowOff>
    </xdr:from>
    <xdr:to>
      <xdr:col>10</xdr:col>
      <xdr:colOff>806450</xdr:colOff>
      <xdr:row>18</xdr:row>
      <xdr:rowOff>57150</xdr:rowOff>
    </xdr:to>
    <xdr:sp macro="" textlink="">
      <xdr:nvSpPr>
        <xdr:cNvPr id="4" name="Line 3">
          <a:extLst>
            <a:ext uri="{FF2B5EF4-FFF2-40B4-BE49-F238E27FC236}">
              <a16:creationId xmlns:a16="http://schemas.microsoft.com/office/drawing/2014/main" xmlns="" id="{00000000-0008-0000-1A00-000004000000}"/>
            </a:ext>
          </a:extLst>
        </xdr:cNvPr>
        <xdr:cNvSpPr>
          <a:spLocks noChangeShapeType="1"/>
        </xdr:cNvSpPr>
      </xdr:nvSpPr>
      <xdr:spPr bwMode="auto">
        <a:xfrm>
          <a:off x="4756150" y="3352800"/>
          <a:ext cx="558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292100</xdr:colOff>
      <xdr:row>20</xdr:row>
      <xdr:rowOff>88900</xdr:rowOff>
    </xdr:from>
    <xdr:to>
      <xdr:col>11</xdr:col>
      <xdr:colOff>0</xdr:colOff>
      <xdr:row>20</xdr:row>
      <xdr:rowOff>88900</xdr:rowOff>
    </xdr:to>
    <xdr:sp macro="" textlink="">
      <xdr:nvSpPr>
        <xdr:cNvPr id="5" name="Line 4">
          <a:extLst>
            <a:ext uri="{FF2B5EF4-FFF2-40B4-BE49-F238E27FC236}">
              <a16:creationId xmlns:a16="http://schemas.microsoft.com/office/drawing/2014/main" xmlns="" id="{00000000-0008-0000-1A00-000005000000}"/>
            </a:ext>
          </a:extLst>
        </xdr:cNvPr>
        <xdr:cNvSpPr>
          <a:spLocks noChangeShapeType="1"/>
        </xdr:cNvSpPr>
      </xdr:nvSpPr>
      <xdr:spPr bwMode="auto">
        <a:xfrm>
          <a:off x="4800600" y="3708400"/>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77</xdr:row>
      <xdr:rowOff>44450</xdr:rowOff>
    </xdr:from>
    <xdr:to>
      <xdr:col>9</xdr:col>
      <xdr:colOff>101600</xdr:colOff>
      <xdr:row>84</xdr:row>
      <xdr:rowOff>0</xdr:rowOff>
    </xdr:to>
    <xdr:sp macro="" textlink="">
      <xdr:nvSpPr>
        <xdr:cNvPr id="6" name="AutoShape 6">
          <a:extLst>
            <a:ext uri="{FF2B5EF4-FFF2-40B4-BE49-F238E27FC236}">
              <a16:creationId xmlns:a16="http://schemas.microsoft.com/office/drawing/2014/main" xmlns="" id="{00000000-0008-0000-1A00-000006000000}"/>
            </a:ext>
          </a:extLst>
        </xdr:cNvPr>
        <xdr:cNvSpPr>
          <a:spLocks/>
        </xdr:cNvSpPr>
      </xdr:nvSpPr>
      <xdr:spPr bwMode="auto">
        <a:xfrm>
          <a:off x="3841750" y="12928600"/>
          <a:ext cx="101600" cy="1123950"/>
        </a:xfrm>
        <a:prstGeom prst="rightBrace">
          <a:avLst>
            <a:gd name="adj1" fmla="val 9218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12</xdr:col>
      <xdr:colOff>28575</xdr:colOff>
      <xdr:row>1</xdr:row>
      <xdr:rowOff>76200</xdr:rowOff>
    </xdr:from>
    <xdr:to>
      <xdr:col>13</xdr:col>
      <xdr:colOff>295275</xdr:colOff>
      <xdr:row>5</xdr:row>
      <xdr:rowOff>153237</xdr:rowOff>
    </xdr:to>
    <xdr:pic>
      <xdr:nvPicPr>
        <xdr:cNvPr id="7" name="Picture 6">
          <a:extLst>
            <a:ext uri="{FF2B5EF4-FFF2-40B4-BE49-F238E27FC236}">
              <a16:creationId xmlns:a16="http://schemas.microsoft.com/office/drawing/2014/main" xmlns="" id="{00000000-0008-0000-1A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91150" y="190500"/>
          <a:ext cx="1152525" cy="84856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131153</xdr:colOff>
      <xdr:row>3</xdr:row>
      <xdr:rowOff>52754</xdr:rowOff>
    </xdr:from>
    <xdr:to>
      <xdr:col>8</xdr:col>
      <xdr:colOff>229058</xdr:colOff>
      <xdr:row>3</xdr:row>
      <xdr:rowOff>152767</xdr:rowOff>
    </xdr:to>
    <xdr:pic>
      <xdr:nvPicPr>
        <xdr:cNvPr id="2" name="Picture 3">
          <a:extLst>
            <a:ext uri="{FF2B5EF4-FFF2-40B4-BE49-F238E27FC236}">
              <a16:creationId xmlns:a16="http://schemas.microsoft.com/office/drawing/2014/main" xmlns="" id="{00000000-0008-0000-1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9922" y="895350"/>
          <a:ext cx="97905"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27110</xdr:colOff>
      <xdr:row>5</xdr:row>
      <xdr:rowOff>21248</xdr:rowOff>
    </xdr:from>
    <xdr:to>
      <xdr:col>8</xdr:col>
      <xdr:colOff>123550</xdr:colOff>
      <xdr:row>5</xdr:row>
      <xdr:rowOff>121261</xdr:rowOff>
    </xdr:to>
    <xdr:pic>
      <xdr:nvPicPr>
        <xdr:cNvPr id="3" name="Picture 3">
          <a:extLst>
            <a:ext uri="{FF2B5EF4-FFF2-40B4-BE49-F238E27FC236}">
              <a16:creationId xmlns:a16="http://schemas.microsoft.com/office/drawing/2014/main" xmlns="" id="{00000000-0008-0000-1B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5879" y="1186229"/>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76199</xdr:colOff>
      <xdr:row>166</xdr:row>
      <xdr:rowOff>114300</xdr:rowOff>
    </xdr:from>
    <xdr:to>
      <xdr:col>19</xdr:col>
      <xdr:colOff>149224</xdr:colOff>
      <xdr:row>168</xdr:row>
      <xdr:rowOff>174625</xdr:rowOff>
    </xdr:to>
    <xdr:sp macro="" textlink="">
      <xdr:nvSpPr>
        <xdr:cNvPr id="4" name="AutoShape 6">
          <a:extLst>
            <a:ext uri="{FF2B5EF4-FFF2-40B4-BE49-F238E27FC236}">
              <a16:creationId xmlns:a16="http://schemas.microsoft.com/office/drawing/2014/main" xmlns="" id="{00000000-0008-0000-1B00-000004000000}"/>
            </a:ext>
          </a:extLst>
        </xdr:cNvPr>
        <xdr:cNvSpPr>
          <a:spLocks/>
        </xdr:cNvSpPr>
      </xdr:nvSpPr>
      <xdr:spPr bwMode="auto">
        <a:xfrm>
          <a:off x="4876799" y="28717875"/>
          <a:ext cx="73025" cy="441325"/>
        </a:xfrm>
        <a:prstGeom prst="rightBrace">
          <a:avLst>
            <a:gd name="adj1" fmla="val 9218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24</xdr:col>
      <xdr:colOff>123825</xdr:colOff>
      <xdr:row>23</xdr:row>
      <xdr:rowOff>57150</xdr:rowOff>
    </xdr:from>
    <xdr:to>
      <xdr:col>24</xdr:col>
      <xdr:colOff>200025</xdr:colOff>
      <xdr:row>23</xdr:row>
      <xdr:rowOff>190500</xdr:rowOff>
    </xdr:to>
    <xdr:pic>
      <xdr:nvPicPr>
        <xdr:cNvPr id="5" name="Picture 4">
          <a:extLst>
            <a:ext uri="{FF2B5EF4-FFF2-40B4-BE49-F238E27FC236}">
              <a16:creationId xmlns:a16="http://schemas.microsoft.com/office/drawing/2014/main" xmlns="" id="{00000000-0008-0000-1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38875" y="39243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142875</xdr:colOff>
      <xdr:row>15</xdr:row>
      <xdr:rowOff>57150</xdr:rowOff>
    </xdr:from>
    <xdr:to>
      <xdr:col>7</xdr:col>
      <xdr:colOff>219075</xdr:colOff>
      <xdr:row>16</xdr:row>
      <xdr:rowOff>0</xdr:rowOff>
    </xdr:to>
    <xdr:pic>
      <xdr:nvPicPr>
        <xdr:cNvPr id="6" name="Picture 5">
          <a:extLst>
            <a:ext uri="{FF2B5EF4-FFF2-40B4-BE49-F238E27FC236}">
              <a16:creationId xmlns:a16="http://schemas.microsoft.com/office/drawing/2014/main" xmlns="" id="{00000000-0008-0000-1B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 y="26574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133350</xdr:colOff>
      <xdr:row>16</xdr:row>
      <xdr:rowOff>57150</xdr:rowOff>
    </xdr:from>
    <xdr:to>
      <xdr:col>9</xdr:col>
      <xdr:colOff>209550</xdr:colOff>
      <xdr:row>17</xdr:row>
      <xdr:rowOff>0</xdr:rowOff>
    </xdr:to>
    <xdr:pic>
      <xdr:nvPicPr>
        <xdr:cNvPr id="7" name="Picture 6">
          <a:extLst>
            <a:ext uri="{FF2B5EF4-FFF2-40B4-BE49-F238E27FC236}">
              <a16:creationId xmlns:a16="http://schemas.microsoft.com/office/drawing/2014/main" xmlns="" id="{00000000-0008-0000-1B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33650" y="28479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17</xdr:row>
      <xdr:rowOff>38100</xdr:rowOff>
    </xdr:from>
    <xdr:to>
      <xdr:col>9</xdr:col>
      <xdr:colOff>200025</xdr:colOff>
      <xdr:row>17</xdr:row>
      <xdr:rowOff>171450</xdr:rowOff>
    </xdr:to>
    <xdr:pic>
      <xdr:nvPicPr>
        <xdr:cNvPr id="8" name="Picture 7">
          <a:extLst>
            <a:ext uri="{FF2B5EF4-FFF2-40B4-BE49-F238E27FC236}">
              <a16:creationId xmlns:a16="http://schemas.microsoft.com/office/drawing/2014/main" xmlns="" id="{00000000-0008-0000-1B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24125" y="30194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19</xdr:row>
      <xdr:rowOff>0</xdr:rowOff>
    </xdr:from>
    <xdr:to>
      <xdr:col>8</xdr:col>
      <xdr:colOff>114300</xdr:colOff>
      <xdr:row>21</xdr:row>
      <xdr:rowOff>133349</xdr:rowOff>
    </xdr:to>
    <xdr:pic>
      <xdr:nvPicPr>
        <xdr:cNvPr id="9" name="Picture 8">
          <a:extLst>
            <a:ext uri="{FF2B5EF4-FFF2-40B4-BE49-F238E27FC236}">
              <a16:creationId xmlns:a16="http://schemas.microsoft.com/office/drawing/2014/main" xmlns="" id="{00000000-0008-0000-1B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650" y="3238500"/>
          <a:ext cx="1143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114300</xdr:colOff>
      <xdr:row>21</xdr:row>
      <xdr:rowOff>28575</xdr:rowOff>
    </xdr:from>
    <xdr:to>
      <xdr:col>26</xdr:col>
      <xdr:colOff>190500</xdr:colOff>
      <xdr:row>21</xdr:row>
      <xdr:rowOff>161925</xdr:rowOff>
    </xdr:to>
    <xdr:pic>
      <xdr:nvPicPr>
        <xdr:cNvPr id="10" name="Picture 9">
          <a:extLst>
            <a:ext uri="{FF2B5EF4-FFF2-40B4-BE49-F238E27FC236}">
              <a16:creationId xmlns:a16="http://schemas.microsoft.com/office/drawing/2014/main" xmlns="" id="{00000000-0008-0000-1B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24650" y="35147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133350</xdr:colOff>
      <xdr:row>22</xdr:row>
      <xdr:rowOff>47625</xdr:rowOff>
    </xdr:from>
    <xdr:to>
      <xdr:col>23</xdr:col>
      <xdr:colOff>209550</xdr:colOff>
      <xdr:row>22</xdr:row>
      <xdr:rowOff>180975</xdr:rowOff>
    </xdr:to>
    <xdr:pic>
      <xdr:nvPicPr>
        <xdr:cNvPr id="11" name="Picture 10">
          <a:extLst>
            <a:ext uri="{FF2B5EF4-FFF2-40B4-BE49-F238E27FC236}">
              <a16:creationId xmlns:a16="http://schemas.microsoft.com/office/drawing/2014/main" xmlns="" id="{00000000-0008-0000-1B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0" y="37052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85725</xdr:colOff>
      <xdr:row>25</xdr:row>
      <xdr:rowOff>9525</xdr:rowOff>
    </xdr:from>
    <xdr:to>
      <xdr:col>27</xdr:col>
      <xdr:colOff>161925</xdr:colOff>
      <xdr:row>25</xdr:row>
      <xdr:rowOff>142875</xdr:rowOff>
    </xdr:to>
    <xdr:pic>
      <xdr:nvPicPr>
        <xdr:cNvPr id="12" name="Picture 11">
          <a:extLst>
            <a:ext uri="{FF2B5EF4-FFF2-40B4-BE49-F238E27FC236}">
              <a16:creationId xmlns:a16="http://schemas.microsoft.com/office/drawing/2014/main" xmlns="" id="{00000000-0008-0000-1B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43725" y="4248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133350</xdr:colOff>
      <xdr:row>26</xdr:row>
      <xdr:rowOff>28575</xdr:rowOff>
    </xdr:from>
    <xdr:to>
      <xdr:col>13</xdr:col>
      <xdr:colOff>209550</xdr:colOff>
      <xdr:row>26</xdr:row>
      <xdr:rowOff>161925</xdr:rowOff>
    </xdr:to>
    <xdr:pic>
      <xdr:nvPicPr>
        <xdr:cNvPr id="13" name="Picture 12">
          <a:extLst>
            <a:ext uri="{FF2B5EF4-FFF2-40B4-BE49-F238E27FC236}">
              <a16:creationId xmlns:a16="http://schemas.microsoft.com/office/drawing/2014/main" xmlns="" id="{00000000-0008-0000-1B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0" y="44291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133350</xdr:colOff>
      <xdr:row>30</xdr:row>
      <xdr:rowOff>28575</xdr:rowOff>
    </xdr:from>
    <xdr:to>
      <xdr:col>14</xdr:col>
      <xdr:colOff>209550</xdr:colOff>
      <xdr:row>30</xdr:row>
      <xdr:rowOff>161925</xdr:rowOff>
    </xdr:to>
    <xdr:pic>
      <xdr:nvPicPr>
        <xdr:cNvPr id="14" name="Picture 13">
          <a:extLst>
            <a:ext uri="{FF2B5EF4-FFF2-40B4-BE49-F238E27FC236}">
              <a16:creationId xmlns:a16="http://schemas.microsoft.com/office/drawing/2014/main" xmlns="" id="{00000000-0008-0000-1B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71900" y="51720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133350</xdr:colOff>
      <xdr:row>31</xdr:row>
      <xdr:rowOff>38100</xdr:rowOff>
    </xdr:from>
    <xdr:to>
      <xdr:col>18</xdr:col>
      <xdr:colOff>209550</xdr:colOff>
      <xdr:row>31</xdr:row>
      <xdr:rowOff>171450</xdr:rowOff>
    </xdr:to>
    <xdr:pic>
      <xdr:nvPicPr>
        <xdr:cNvPr id="15" name="Picture 14">
          <a:extLst>
            <a:ext uri="{FF2B5EF4-FFF2-40B4-BE49-F238E27FC236}">
              <a16:creationId xmlns:a16="http://schemas.microsoft.com/office/drawing/2014/main" xmlns="" id="{00000000-0008-0000-1B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53530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171450</xdr:colOff>
      <xdr:row>40</xdr:row>
      <xdr:rowOff>19050</xdr:rowOff>
    </xdr:from>
    <xdr:to>
      <xdr:col>11</xdr:col>
      <xdr:colOff>0</xdr:colOff>
      <xdr:row>40</xdr:row>
      <xdr:rowOff>152400</xdr:rowOff>
    </xdr:to>
    <xdr:pic>
      <xdr:nvPicPr>
        <xdr:cNvPr id="16" name="Picture 15">
          <a:extLst>
            <a:ext uri="{FF2B5EF4-FFF2-40B4-BE49-F238E27FC236}">
              <a16:creationId xmlns:a16="http://schemas.microsoft.com/office/drawing/2014/main" xmlns="" id="{00000000-0008-0000-1B00-00001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19400" y="6619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161925</xdr:colOff>
      <xdr:row>40</xdr:row>
      <xdr:rowOff>38100</xdr:rowOff>
    </xdr:from>
    <xdr:to>
      <xdr:col>23</xdr:col>
      <xdr:colOff>238125</xdr:colOff>
      <xdr:row>41</xdr:row>
      <xdr:rowOff>0</xdr:rowOff>
    </xdr:to>
    <xdr:pic>
      <xdr:nvPicPr>
        <xdr:cNvPr id="17" name="Picture 16">
          <a:extLst>
            <a:ext uri="{FF2B5EF4-FFF2-40B4-BE49-F238E27FC236}">
              <a16:creationId xmlns:a16="http://schemas.microsoft.com/office/drawing/2014/main" xmlns="" id="{00000000-0008-0000-1B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9325" y="66389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142875</xdr:colOff>
      <xdr:row>42</xdr:row>
      <xdr:rowOff>9525</xdr:rowOff>
    </xdr:from>
    <xdr:to>
      <xdr:col>12</xdr:col>
      <xdr:colOff>219075</xdr:colOff>
      <xdr:row>42</xdr:row>
      <xdr:rowOff>142875</xdr:rowOff>
    </xdr:to>
    <xdr:pic>
      <xdr:nvPicPr>
        <xdr:cNvPr id="18" name="Picture 17">
          <a:extLst>
            <a:ext uri="{FF2B5EF4-FFF2-40B4-BE49-F238E27FC236}">
              <a16:creationId xmlns:a16="http://schemas.microsoft.com/office/drawing/2014/main" xmlns="" id="{00000000-0008-0000-1B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86125" y="68484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123825</xdr:colOff>
      <xdr:row>46</xdr:row>
      <xdr:rowOff>0</xdr:rowOff>
    </xdr:from>
    <xdr:to>
      <xdr:col>11</xdr:col>
      <xdr:colOff>200025</xdr:colOff>
      <xdr:row>46</xdr:row>
      <xdr:rowOff>133350</xdr:rowOff>
    </xdr:to>
    <xdr:pic>
      <xdr:nvPicPr>
        <xdr:cNvPr id="19" name="Picture 18">
          <a:extLst>
            <a:ext uri="{FF2B5EF4-FFF2-40B4-BE49-F238E27FC236}">
              <a16:creationId xmlns:a16="http://schemas.microsoft.com/office/drawing/2014/main" xmlns="" id="{00000000-0008-0000-1B00-00001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19425" y="74390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114300</xdr:colOff>
      <xdr:row>61</xdr:row>
      <xdr:rowOff>9525</xdr:rowOff>
    </xdr:from>
    <xdr:to>
      <xdr:col>24</xdr:col>
      <xdr:colOff>190500</xdr:colOff>
      <xdr:row>61</xdr:row>
      <xdr:rowOff>142875</xdr:rowOff>
    </xdr:to>
    <xdr:pic>
      <xdr:nvPicPr>
        <xdr:cNvPr id="20" name="Picture 19">
          <a:extLst>
            <a:ext uri="{FF2B5EF4-FFF2-40B4-BE49-F238E27FC236}">
              <a16:creationId xmlns:a16="http://schemas.microsoft.com/office/drawing/2014/main" xmlns="" id="{00000000-0008-0000-1B00-00001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9350" y="102774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161925</xdr:colOff>
      <xdr:row>63</xdr:row>
      <xdr:rowOff>38100</xdr:rowOff>
    </xdr:from>
    <xdr:to>
      <xdr:col>18</xdr:col>
      <xdr:colOff>238125</xdr:colOff>
      <xdr:row>63</xdr:row>
      <xdr:rowOff>171450</xdr:rowOff>
    </xdr:to>
    <xdr:pic>
      <xdr:nvPicPr>
        <xdr:cNvPr id="21" name="Picture 20">
          <a:extLst>
            <a:ext uri="{FF2B5EF4-FFF2-40B4-BE49-F238E27FC236}">
              <a16:creationId xmlns:a16="http://schemas.microsoft.com/office/drawing/2014/main" xmlns="" id="{00000000-0008-0000-1B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91075" y="106680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133350</xdr:colOff>
      <xdr:row>69</xdr:row>
      <xdr:rowOff>28575</xdr:rowOff>
    </xdr:from>
    <xdr:to>
      <xdr:col>5</xdr:col>
      <xdr:colOff>209550</xdr:colOff>
      <xdr:row>69</xdr:row>
      <xdr:rowOff>161925</xdr:rowOff>
    </xdr:to>
    <xdr:pic>
      <xdr:nvPicPr>
        <xdr:cNvPr id="22" name="Picture 21">
          <a:extLst>
            <a:ext uri="{FF2B5EF4-FFF2-40B4-BE49-F238E27FC236}">
              <a16:creationId xmlns:a16="http://schemas.microsoft.com/office/drawing/2014/main" xmlns="" id="{00000000-0008-0000-1B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0" y="114776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152400</xdr:colOff>
      <xdr:row>76</xdr:row>
      <xdr:rowOff>47625</xdr:rowOff>
    </xdr:from>
    <xdr:to>
      <xdr:col>18</xdr:col>
      <xdr:colOff>228600</xdr:colOff>
      <xdr:row>76</xdr:row>
      <xdr:rowOff>180975</xdr:rowOff>
    </xdr:to>
    <xdr:pic>
      <xdr:nvPicPr>
        <xdr:cNvPr id="23" name="Picture 22">
          <a:extLst>
            <a:ext uri="{FF2B5EF4-FFF2-40B4-BE49-F238E27FC236}">
              <a16:creationId xmlns:a16="http://schemas.microsoft.com/office/drawing/2014/main" xmlns="" id="{00000000-0008-0000-1B00-00001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126873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152400</xdr:colOff>
      <xdr:row>76</xdr:row>
      <xdr:rowOff>57150</xdr:rowOff>
    </xdr:from>
    <xdr:to>
      <xdr:col>28</xdr:col>
      <xdr:colOff>228600</xdr:colOff>
      <xdr:row>77</xdr:row>
      <xdr:rowOff>0</xdr:rowOff>
    </xdr:to>
    <xdr:pic>
      <xdr:nvPicPr>
        <xdr:cNvPr id="24" name="Picture 23">
          <a:extLst>
            <a:ext uri="{FF2B5EF4-FFF2-40B4-BE49-F238E27FC236}">
              <a16:creationId xmlns:a16="http://schemas.microsoft.com/office/drawing/2014/main" xmlns="" id="{00000000-0008-0000-1B00-00001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8050" y="126968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142875</xdr:colOff>
      <xdr:row>77</xdr:row>
      <xdr:rowOff>28575</xdr:rowOff>
    </xdr:from>
    <xdr:to>
      <xdr:col>17</xdr:col>
      <xdr:colOff>219075</xdr:colOff>
      <xdr:row>77</xdr:row>
      <xdr:rowOff>161925</xdr:rowOff>
    </xdr:to>
    <xdr:pic>
      <xdr:nvPicPr>
        <xdr:cNvPr id="25" name="Picture 24">
          <a:extLst>
            <a:ext uri="{FF2B5EF4-FFF2-40B4-BE49-F238E27FC236}">
              <a16:creationId xmlns:a16="http://schemas.microsoft.com/office/drawing/2014/main" xmlns="" id="{00000000-0008-0000-1B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24375" y="128587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133350</xdr:colOff>
      <xdr:row>101</xdr:row>
      <xdr:rowOff>19050</xdr:rowOff>
    </xdr:from>
    <xdr:to>
      <xdr:col>20</xdr:col>
      <xdr:colOff>209550</xdr:colOff>
      <xdr:row>101</xdr:row>
      <xdr:rowOff>152400</xdr:rowOff>
    </xdr:to>
    <xdr:pic>
      <xdr:nvPicPr>
        <xdr:cNvPr id="26" name="Picture 25">
          <a:extLst>
            <a:ext uri="{FF2B5EF4-FFF2-40B4-BE49-F238E27FC236}">
              <a16:creationId xmlns:a16="http://schemas.microsoft.com/office/drawing/2014/main" xmlns="" id="{00000000-0008-0000-1B00-00001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7800" y="17487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123825</xdr:colOff>
      <xdr:row>118</xdr:row>
      <xdr:rowOff>9525</xdr:rowOff>
    </xdr:from>
    <xdr:to>
      <xdr:col>13</xdr:col>
      <xdr:colOff>200025</xdr:colOff>
      <xdr:row>118</xdr:row>
      <xdr:rowOff>142875</xdr:rowOff>
    </xdr:to>
    <xdr:pic>
      <xdr:nvPicPr>
        <xdr:cNvPr id="27" name="Picture 26">
          <a:extLst>
            <a:ext uri="{FF2B5EF4-FFF2-40B4-BE49-F238E27FC236}">
              <a16:creationId xmlns:a16="http://schemas.microsoft.com/office/drawing/2014/main" xmlns="" id="{00000000-0008-0000-1B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14725" y="203930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142875</xdr:colOff>
      <xdr:row>122</xdr:row>
      <xdr:rowOff>19050</xdr:rowOff>
    </xdr:from>
    <xdr:to>
      <xdr:col>15</xdr:col>
      <xdr:colOff>219075</xdr:colOff>
      <xdr:row>122</xdr:row>
      <xdr:rowOff>152400</xdr:rowOff>
    </xdr:to>
    <xdr:pic>
      <xdr:nvPicPr>
        <xdr:cNvPr id="28" name="Picture 27">
          <a:extLst>
            <a:ext uri="{FF2B5EF4-FFF2-40B4-BE49-F238E27FC236}">
              <a16:creationId xmlns:a16="http://schemas.microsoft.com/office/drawing/2014/main" xmlns="" id="{00000000-0008-0000-1B00-00001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29075" y="211074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142875</xdr:colOff>
      <xdr:row>110</xdr:row>
      <xdr:rowOff>19050</xdr:rowOff>
    </xdr:from>
    <xdr:to>
      <xdr:col>14</xdr:col>
      <xdr:colOff>219075</xdr:colOff>
      <xdr:row>110</xdr:row>
      <xdr:rowOff>152400</xdr:rowOff>
    </xdr:to>
    <xdr:pic>
      <xdr:nvPicPr>
        <xdr:cNvPr id="29" name="Picture 28">
          <a:extLst>
            <a:ext uri="{FF2B5EF4-FFF2-40B4-BE49-F238E27FC236}">
              <a16:creationId xmlns:a16="http://schemas.microsoft.com/office/drawing/2014/main" xmlns="" id="{00000000-0008-0000-1B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81425" y="190309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123825</xdr:colOff>
      <xdr:row>129</xdr:row>
      <xdr:rowOff>0</xdr:rowOff>
    </xdr:from>
    <xdr:to>
      <xdr:col>27</xdr:col>
      <xdr:colOff>200025</xdr:colOff>
      <xdr:row>129</xdr:row>
      <xdr:rowOff>133350</xdr:rowOff>
    </xdr:to>
    <xdr:pic>
      <xdr:nvPicPr>
        <xdr:cNvPr id="30" name="Picture 29">
          <a:extLst>
            <a:ext uri="{FF2B5EF4-FFF2-40B4-BE49-F238E27FC236}">
              <a16:creationId xmlns:a16="http://schemas.microsoft.com/office/drawing/2014/main" xmlns="" id="{00000000-0008-0000-1B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224218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133350</xdr:colOff>
      <xdr:row>147</xdr:row>
      <xdr:rowOff>38100</xdr:rowOff>
    </xdr:from>
    <xdr:to>
      <xdr:col>18</xdr:col>
      <xdr:colOff>209550</xdr:colOff>
      <xdr:row>147</xdr:row>
      <xdr:rowOff>171450</xdr:rowOff>
    </xdr:to>
    <xdr:pic>
      <xdr:nvPicPr>
        <xdr:cNvPr id="31" name="Picture 30">
          <a:extLst>
            <a:ext uri="{FF2B5EF4-FFF2-40B4-BE49-F238E27FC236}">
              <a16:creationId xmlns:a16="http://schemas.microsoft.com/office/drawing/2014/main" xmlns="" id="{00000000-0008-0000-1B00-00001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252412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123825</xdr:colOff>
      <xdr:row>159</xdr:row>
      <xdr:rowOff>28575</xdr:rowOff>
    </xdr:from>
    <xdr:to>
      <xdr:col>27</xdr:col>
      <xdr:colOff>200025</xdr:colOff>
      <xdr:row>159</xdr:row>
      <xdr:rowOff>161925</xdr:rowOff>
    </xdr:to>
    <xdr:pic>
      <xdr:nvPicPr>
        <xdr:cNvPr id="32" name="Picture 31">
          <a:extLst>
            <a:ext uri="{FF2B5EF4-FFF2-40B4-BE49-F238E27FC236}">
              <a16:creationId xmlns:a16="http://schemas.microsoft.com/office/drawing/2014/main" xmlns="" id="{00000000-0008-0000-1B00-00002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275177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123825</xdr:colOff>
      <xdr:row>174</xdr:row>
      <xdr:rowOff>28575</xdr:rowOff>
    </xdr:from>
    <xdr:to>
      <xdr:col>27</xdr:col>
      <xdr:colOff>200025</xdr:colOff>
      <xdr:row>174</xdr:row>
      <xdr:rowOff>161925</xdr:rowOff>
    </xdr:to>
    <xdr:pic>
      <xdr:nvPicPr>
        <xdr:cNvPr id="33" name="Picture 32">
          <a:extLst>
            <a:ext uri="{FF2B5EF4-FFF2-40B4-BE49-F238E27FC236}">
              <a16:creationId xmlns:a16="http://schemas.microsoft.com/office/drawing/2014/main" xmlns="" id="{00000000-0008-0000-1B00-00002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30156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114300</xdr:colOff>
      <xdr:row>197</xdr:row>
      <xdr:rowOff>19050</xdr:rowOff>
    </xdr:from>
    <xdr:to>
      <xdr:col>27</xdr:col>
      <xdr:colOff>190500</xdr:colOff>
      <xdr:row>197</xdr:row>
      <xdr:rowOff>152400</xdr:rowOff>
    </xdr:to>
    <xdr:pic>
      <xdr:nvPicPr>
        <xdr:cNvPr id="34" name="Picture 33">
          <a:extLst>
            <a:ext uri="{FF2B5EF4-FFF2-40B4-BE49-F238E27FC236}">
              <a16:creationId xmlns:a16="http://schemas.microsoft.com/office/drawing/2014/main" xmlns="" id="{00000000-0008-0000-1B00-00002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72300" y="341185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63010</xdr:colOff>
      <xdr:row>169</xdr:row>
      <xdr:rowOff>25644</xdr:rowOff>
    </xdr:from>
    <xdr:to>
      <xdr:col>27</xdr:col>
      <xdr:colOff>136035</xdr:colOff>
      <xdr:row>171</xdr:row>
      <xdr:rowOff>85969</xdr:rowOff>
    </xdr:to>
    <xdr:sp macro="" textlink="">
      <xdr:nvSpPr>
        <xdr:cNvPr id="35" name="AutoShape 6">
          <a:extLst>
            <a:ext uri="{FF2B5EF4-FFF2-40B4-BE49-F238E27FC236}">
              <a16:creationId xmlns:a16="http://schemas.microsoft.com/office/drawing/2014/main" xmlns="" id="{00000000-0008-0000-1B00-000023000000}"/>
            </a:ext>
          </a:extLst>
        </xdr:cNvPr>
        <xdr:cNvSpPr>
          <a:spLocks/>
        </xdr:cNvSpPr>
      </xdr:nvSpPr>
      <xdr:spPr bwMode="auto">
        <a:xfrm>
          <a:off x="6964972" y="29113529"/>
          <a:ext cx="73025" cy="441325"/>
        </a:xfrm>
        <a:prstGeom prst="rightBrace">
          <a:avLst>
            <a:gd name="adj1" fmla="val 9218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484414</xdr:colOff>
      <xdr:row>52</xdr:row>
      <xdr:rowOff>88446</xdr:rowOff>
    </xdr:from>
    <xdr:to>
      <xdr:col>10</xdr:col>
      <xdr:colOff>570139</xdr:colOff>
      <xdr:row>56</xdr:row>
      <xdr:rowOff>155121</xdr:rowOff>
    </xdr:to>
    <xdr:sp macro="" textlink="">
      <xdr:nvSpPr>
        <xdr:cNvPr id="107241" name="AutoShape 7">
          <a:extLst>
            <a:ext uri="{FF2B5EF4-FFF2-40B4-BE49-F238E27FC236}">
              <a16:creationId xmlns:a16="http://schemas.microsoft.com/office/drawing/2014/main" xmlns="" id="{00000000-0008-0000-1C00-0000E9A20100}"/>
            </a:ext>
          </a:extLst>
        </xdr:cNvPr>
        <xdr:cNvSpPr>
          <a:spLocks/>
        </xdr:cNvSpPr>
      </xdr:nvSpPr>
      <xdr:spPr bwMode="auto">
        <a:xfrm>
          <a:off x="6370864" y="9575346"/>
          <a:ext cx="85725" cy="704850"/>
        </a:xfrm>
        <a:prstGeom prst="rightBrace">
          <a:avLst>
            <a:gd name="adj1" fmla="val 7060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161925</xdr:colOff>
      <xdr:row>86</xdr:row>
      <xdr:rowOff>85725</xdr:rowOff>
    </xdr:from>
    <xdr:to>
      <xdr:col>7</xdr:col>
      <xdr:colOff>228600</xdr:colOff>
      <xdr:row>89</xdr:row>
      <xdr:rowOff>19050</xdr:rowOff>
    </xdr:to>
    <xdr:sp macro="" textlink="">
      <xdr:nvSpPr>
        <xdr:cNvPr id="107244" name="AutoShape 318">
          <a:extLst>
            <a:ext uri="{FF2B5EF4-FFF2-40B4-BE49-F238E27FC236}">
              <a16:creationId xmlns:a16="http://schemas.microsoft.com/office/drawing/2014/main" xmlns="" id="{00000000-0008-0000-1C00-0000ECA20100}"/>
            </a:ext>
          </a:extLst>
        </xdr:cNvPr>
        <xdr:cNvSpPr>
          <a:spLocks/>
        </xdr:cNvSpPr>
      </xdr:nvSpPr>
      <xdr:spPr bwMode="auto">
        <a:xfrm>
          <a:off x="4524375" y="15814675"/>
          <a:ext cx="66675" cy="447675"/>
        </a:xfrm>
        <a:prstGeom prst="rightBrace">
          <a:avLst>
            <a:gd name="adj1" fmla="val 3452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790575</xdr:colOff>
      <xdr:row>84</xdr:row>
      <xdr:rowOff>84535</xdr:rowOff>
    </xdr:from>
    <xdr:to>
      <xdr:col>10</xdr:col>
      <xdr:colOff>847725</xdr:colOff>
      <xdr:row>85</xdr:row>
      <xdr:rowOff>1</xdr:rowOff>
    </xdr:to>
    <xdr:sp macro="" textlink="">
      <xdr:nvSpPr>
        <xdr:cNvPr id="107245" name="AutoShape 85">
          <a:extLst>
            <a:ext uri="{FF2B5EF4-FFF2-40B4-BE49-F238E27FC236}">
              <a16:creationId xmlns:a16="http://schemas.microsoft.com/office/drawing/2014/main" xmlns="" id="{00000000-0008-0000-1C00-0000EDA20100}"/>
            </a:ext>
          </a:extLst>
        </xdr:cNvPr>
        <xdr:cNvSpPr>
          <a:spLocks noChangeArrowheads="1"/>
        </xdr:cNvSpPr>
      </xdr:nvSpPr>
      <xdr:spPr bwMode="auto">
        <a:xfrm rot="5400000">
          <a:off x="6668691" y="15953185"/>
          <a:ext cx="76200" cy="5715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783772</xdr:colOff>
      <xdr:row>116</xdr:row>
      <xdr:rowOff>80282</xdr:rowOff>
    </xdr:from>
    <xdr:to>
      <xdr:col>10</xdr:col>
      <xdr:colOff>842283</xdr:colOff>
      <xdr:row>116</xdr:row>
      <xdr:rowOff>168728</xdr:rowOff>
    </xdr:to>
    <xdr:sp macro="" textlink="">
      <xdr:nvSpPr>
        <xdr:cNvPr id="11" name="AutoShape 85">
          <a:extLst>
            <a:ext uri="{FF2B5EF4-FFF2-40B4-BE49-F238E27FC236}">
              <a16:creationId xmlns:a16="http://schemas.microsoft.com/office/drawing/2014/main" xmlns="" id="{00000000-0008-0000-1C00-00000B000000}"/>
            </a:ext>
          </a:extLst>
        </xdr:cNvPr>
        <xdr:cNvSpPr>
          <a:spLocks noChangeArrowheads="1"/>
        </xdr:cNvSpPr>
      </xdr:nvSpPr>
      <xdr:spPr bwMode="auto">
        <a:xfrm rot="5400000">
          <a:off x="6663419" y="18883992"/>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778328</xdr:colOff>
      <xdr:row>108</xdr:row>
      <xdr:rowOff>92530</xdr:rowOff>
    </xdr:from>
    <xdr:to>
      <xdr:col>10</xdr:col>
      <xdr:colOff>836839</xdr:colOff>
      <xdr:row>108</xdr:row>
      <xdr:rowOff>180976</xdr:rowOff>
    </xdr:to>
    <xdr:sp macro="" textlink="">
      <xdr:nvSpPr>
        <xdr:cNvPr id="12" name="AutoShape 85">
          <a:extLst>
            <a:ext uri="{FF2B5EF4-FFF2-40B4-BE49-F238E27FC236}">
              <a16:creationId xmlns:a16="http://schemas.microsoft.com/office/drawing/2014/main" xmlns="" id="{00000000-0008-0000-1C00-00000C000000}"/>
            </a:ext>
          </a:extLst>
        </xdr:cNvPr>
        <xdr:cNvSpPr>
          <a:spLocks noChangeArrowheads="1"/>
        </xdr:cNvSpPr>
      </xdr:nvSpPr>
      <xdr:spPr bwMode="auto">
        <a:xfrm rot="5400000">
          <a:off x="6657975" y="18221326"/>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783772</xdr:colOff>
      <xdr:row>120</xdr:row>
      <xdr:rowOff>80282</xdr:rowOff>
    </xdr:from>
    <xdr:to>
      <xdr:col>10</xdr:col>
      <xdr:colOff>842283</xdr:colOff>
      <xdr:row>120</xdr:row>
      <xdr:rowOff>168728</xdr:rowOff>
    </xdr:to>
    <xdr:sp macro="" textlink="">
      <xdr:nvSpPr>
        <xdr:cNvPr id="14" name="AutoShape 85">
          <a:extLst>
            <a:ext uri="{FF2B5EF4-FFF2-40B4-BE49-F238E27FC236}">
              <a16:creationId xmlns:a16="http://schemas.microsoft.com/office/drawing/2014/main" xmlns="" id="{00000000-0008-0000-1C00-00000E000000}"/>
            </a:ext>
          </a:extLst>
        </xdr:cNvPr>
        <xdr:cNvSpPr>
          <a:spLocks noChangeArrowheads="1"/>
        </xdr:cNvSpPr>
      </xdr:nvSpPr>
      <xdr:spPr bwMode="auto">
        <a:xfrm rot="5400000">
          <a:off x="6667955" y="20510499"/>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785586</xdr:colOff>
      <xdr:row>112</xdr:row>
      <xdr:rowOff>60326</xdr:rowOff>
    </xdr:from>
    <xdr:to>
      <xdr:col>10</xdr:col>
      <xdr:colOff>844097</xdr:colOff>
      <xdr:row>112</xdr:row>
      <xdr:rowOff>148772</xdr:rowOff>
    </xdr:to>
    <xdr:sp macro="" textlink="">
      <xdr:nvSpPr>
        <xdr:cNvPr id="15" name="AutoShape 85">
          <a:extLst>
            <a:ext uri="{FF2B5EF4-FFF2-40B4-BE49-F238E27FC236}">
              <a16:creationId xmlns:a16="http://schemas.microsoft.com/office/drawing/2014/main" xmlns="" id="{00000000-0008-0000-1C00-00000F000000}"/>
            </a:ext>
          </a:extLst>
        </xdr:cNvPr>
        <xdr:cNvSpPr>
          <a:spLocks noChangeArrowheads="1"/>
        </xdr:cNvSpPr>
      </xdr:nvSpPr>
      <xdr:spPr bwMode="auto">
        <a:xfrm rot="5400000">
          <a:off x="6669769" y="19804743"/>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161925</xdr:colOff>
      <xdr:row>99</xdr:row>
      <xdr:rowOff>152400</xdr:rowOff>
    </xdr:from>
    <xdr:to>
      <xdr:col>7</xdr:col>
      <xdr:colOff>228600</xdr:colOff>
      <xdr:row>103</xdr:row>
      <xdr:rowOff>85725</xdr:rowOff>
    </xdr:to>
    <xdr:sp macro="" textlink="">
      <xdr:nvSpPr>
        <xdr:cNvPr id="13" name="AutoShape 318">
          <a:extLst>
            <a:ext uri="{FF2B5EF4-FFF2-40B4-BE49-F238E27FC236}">
              <a16:creationId xmlns:a16="http://schemas.microsoft.com/office/drawing/2014/main" xmlns="" id="{00000000-0008-0000-1C00-00000D000000}"/>
            </a:ext>
          </a:extLst>
        </xdr:cNvPr>
        <xdr:cNvSpPr>
          <a:spLocks/>
        </xdr:cNvSpPr>
      </xdr:nvSpPr>
      <xdr:spPr bwMode="auto">
        <a:xfrm>
          <a:off x="4514850" y="18126075"/>
          <a:ext cx="66675" cy="657225"/>
        </a:xfrm>
        <a:prstGeom prst="rightBrace">
          <a:avLst>
            <a:gd name="adj1" fmla="val 3452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22</xdr:col>
      <xdr:colOff>914399</xdr:colOff>
      <xdr:row>6</xdr:row>
      <xdr:rowOff>38100</xdr:rowOff>
    </xdr:from>
    <xdr:to>
      <xdr:col>22</xdr:col>
      <xdr:colOff>1114424</xdr:colOff>
      <xdr:row>7</xdr:row>
      <xdr:rowOff>120650</xdr:rowOff>
    </xdr:to>
    <xdr:pic>
      <xdr:nvPicPr>
        <xdr:cNvPr id="2" name="Picture 1">
          <a:extLst>
            <a:ext uri="{FF2B5EF4-FFF2-40B4-BE49-F238E27FC236}">
              <a16:creationId xmlns:a16="http://schemas.microsoft.com/office/drawing/2014/main" xmlns=""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1649" y="1152525"/>
          <a:ext cx="200025" cy="244475"/>
        </a:xfrm>
        <a:prstGeom prst="rect">
          <a:avLst/>
        </a:prstGeom>
      </xdr:spPr>
    </xdr:pic>
    <xdr:clientData/>
  </xdr:twoCellAnchor>
  <xdr:oneCellAnchor>
    <xdr:from>
      <xdr:col>27</xdr:col>
      <xdr:colOff>48986</xdr:colOff>
      <xdr:row>114</xdr:row>
      <xdr:rowOff>42182</xdr:rowOff>
    </xdr:from>
    <xdr:ext cx="66675" cy="157150"/>
    <xdr:pic>
      <xdr:nvPicPr>
        <xdr:cNvPr id="23" name="Picture 9">
          <a:extLst>
            <a:ext uri="{FF2B5EF4-FFF2-40B4-BE49-F238E27FC236}">
              <a16:creationId xmlns:a16="http://schemas.microsoft.com/office/drawing/2014/main" xmlns="" id="{00000000-0008-0000-1C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966851" y="29987317"/>
          <a:ext cx="66675" cy="1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9525</xdr:colOff>
      <xdr:row>118</xdr:row>
      <xdr:rowOff>0</xdr:rowOff>
    </xdr:from>
    <xdr:ext cx="95250" cy="161193"/>
    <xdr:pic>
      <xdr:nvPicPr>
        <xdr:cNvPr id="24" name="Picture 10">
          <a:extLst>
            <a:ext uri="{FF2B5EF4-FFF2-40B4-BE49-F238E27FC236}">
              <a16:creationId xmlns:a16="http://schemas.microsoft.com/office/drawing/2014/main" xmlns="" id="{00000000-0008-0000-1C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927390" y="30604558"/>
          <a:ext cx="95250" cy="1611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28</xdr:col>
      <xdr:colOff>575128</xdr:colOff>
      <xdr:row>88</xdr:row>
      <xdr:rowOff>144236</xdr:rowOff>
    </xdr:from>
    <xdr:ext cx="345274" cy="340272"/>
    <xdr:pic>
      <xdr:nvPicPr>
        <xdr:cNvPr id="25" name="Picture 24">
          <a:extLst>
            <a:ext uri="{FF2B5EF4-FFF2-40B4-BE49-F238E27FC236}">
              <a16:creationId xmlns:a16="http://schemas.microsoft.com/office/drawing/2014/main" xmlns="" id="{00000000-0008-0000-1C00-00001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786070" y="25810448"/>
          <a:ext cx="345274" cy="340272"/>
        </a:xfrm>
        <a:prstGeom prst="rect">
          <a:avLst/>
        </a:prstGeom>
      </xdr:spPr>
    </xdr:pic>
    <xdr:clientData/>
  </xdr:oneCellAnchor>
  <xdr:oneCellAnchor>
    <xdr:from>
      <xdr:col>28</xdr:col>
      <xdr:colOff>337735</xdr:colOff>
      <xdr:row>122</xdr:row>
      <xdr:rowOff>83424</xdr:rowOff>
    </xdr:from>
    <xdr:ext cx="343808" cy="340272"/>
    <xdr:pic>
      <xdr:nvPicPr>
        <xdr:cNvPr id="26" name="Picture 25">
          <a:extLst>
            <a:ext uri="{FF2B5EF4-FFF2-40B4-BE49-F238E27FC236}">
              <a16:creationId xmlns:a16="http://schemas.microsoft.com/office/drawing/2014/main" xmlns="" id="{00000000-0008-0000-1C00-00001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680562" y="22218059"/>
          <a:ext cx="343808" cy="340272"/>
        </a:xfrm>
        <a:prstGeom prst="rect">
          <a:avLst/>
        </a:prstGeom>
      </xdr:spPr>
    </xdr:pic>
    <xdr:clientData/>
  </xdr:oneCellAnchor>
  <xdr:twoCellAnchor>
    <xdr:from>
      <xdr:col>27</xdr:col>
      <xdr:colOff>117230</xdr:colOff>
      <xdr:row>135</xdr:row>
      <xdr:rowOff>81329</xdr:rowOff>
    </xdr:from>
    <xdr:to>
      <xdr:col>27</xdr:col>
      <xdr:colOff>209549</xdr:colOff>
      <xdr:row>143</xdr:row>
      <xdr:rowOff>176579</xdr:rowOff>
    </xdr:to>
    <xdr:sp macro="" textlink="">
      <xdr:nvSpPr>
        <xdr:cNvPr id="27" name="AutoShape 7">
          <a:extLst>
            <a:ext uri="{FF2B5EF4-FFF2-40B4-BE49-F238E27FC236}">
              <a16:creationId xmlns:a16="http://schemas.microsoft.com/office/drawing/2014/main" xmlns="" id="{00000000-0008-0000-1C00-00001B000000}"/>
            </a:ext>
          </a:extLst>
        </xdr:cNvPr>
        <xdr:cNvSpPr>
          <a:spLocks/>
        </xdr:cNvSpPr>
      </xdr:nvSpPr>
      <xdr:spPr bwMode="auto">
        <a:xfrm>
          <a:off x="17115692" y="24582560"/>
          <a:ext cx="92319" cy="1494692"/>
        </a:xfrm>
        <a:prstGeom prst="rightBrace">
          <a:avLst>
            <a:gd name="adj1" fmla="val 7060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22</xdr:col>
      <xdr:colOff>866775</xdr:colOff>
      <xdr:row>125</xdr:row>
      <xdr:rowOff>9526</xdr:rowOff>
    </xdr:from>
    <xdr:to>
      <xdr:col>22</xdr:col>
      <xdr:colOff>990600</xdr:colOff>
      <xdr:row>125</xdr:row>
      <xdr:rowOff>160868</xdr:rowOff>
    </xdr:to>
    <xdr:pic>
      <xdr:nvPicPr>
        <xdr:cNvPr id="16" name="Picture 15">
          <a:extLst>
            <a:ext uri="{FF2B5EF4-FFF2-40B4-BE49-F238E27FC236}">
              <a16:creationId xmlns:a16="http://schemas.microsoft.com/office/drawing/2014/main" xmlns="" id="{00000000-0008-0000-1C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154025" y="22640926"/>
          <a:ext cx="123825" cy="15134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115081" name="Picture 4">
          <a:extLst>
            <a:ext uri="{FF2B5EF4-FFF2-40B4-BE49-F238E27FC236}">
              <a16:creationId xmlns:a16="http://schemas.microsoft.com/office/drawing/2014/main" xmlns="" id="{00000000-0008-0000-1D00-000089C1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120616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115082" name="Picture 5">
          <a:extLst>
            <a:ext uri="{FF2B5EF4-FFF2-40B4-BE49-F238E27FC236}">
              <a16:creationId xmlns:a16="http://schemas.microsoft.com/office/drawing/2014/main" xmlns="" id="{00000000-0008-0000-1D00-00008AC1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5687" y="22702838"/>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7" name="Picture 3">
          <a:extLst>
            <a:ext uri="{FF2B5EF4-FFF2-40B4-BE49-F238E27FC236}">
              <a16:creationId xmlns:a16="http://schemas.microsoft.com/office/drawing/2014/main" xmlns="" id="{00000000-0008-0000-1D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6426" y="1162049"/>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8" name="Picture 3">
          <a:extLst>
            <a:ext uri="{FF2B5EF4-FFF2-40B4-BE49-F238E27FC236}">
              <a16:creationId xmlns:a16="http://schemas.microsoft.com/office/drawing/2014/main" xmlns="" id="{00000000-0008-0000-1D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301" y="852487"/>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a:extLst>
            <a:ext uri="{FF2B5EF4-FFF2-40B4-BE49-F238E27FC236}">
              <a16:creationId xmlns:a16="http://schemas.microsoft.com/office/drawing/2014/main" xmlns="" id="{00000000-0008-0000-1D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2" name="Picture 4">
          <a:extLst>
            <a:ext uri="{FF2B5EF4-FFF2-40B4-BE49-F238E27FC236}">
              <a16:creationId xmlns:a16="http://schemas.microsoft.com/office/drawing/2014/main" xmlns="" id="{00000000-0008-0000-1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004411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3" name="Picture 5">
          <a:extLst>
            <a:ext uri="{FF2B5EF4-FFF2-40B4-BE49-F238E27FC236}">
              <a16:creationId xmlns:a16="http://schemas.microsoft.com/office/drawing/2014/main" xmlns="" id="{00000000-0008-0000-1E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5687" y="2170271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4" name="Picture 3">
          <a:extLst>
            <a:ext uri="{FF2B5EF4-FFF2-40B4-BE49-F238E27FC236}">
              <a16:creationId xmlns:a16="http://schemas.microsoft.com/office/drawing/2014/main" xmlns="" id="{00000000-0008-0000-1E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1" y="1085849"/>
          <a:ext cx="96440" cy="106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5" name="Picture 3">
          <a:extLst>
            <a:ext uri="{FF2B5EF4-FFF2-40B4-BE49-F238E27FC236}">
              <a16:creationId xmlns:a16="http://schemas.microsoft.com/office/drawing/2014/main" xmlns="" id="{00000000-0008-0000-1E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2626" y="957262"/>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a:extLst>
            <a:ext uri="{FF2B5EF4-FFF2-40B4-BE49-F238E27FC236}">
              <a16:creationId xmlns:a16="http://schemas.microsoft.com/office/drawing/2014/main" xmlns="" id="{00000000-0008-0000-1E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7" name="Picture 6">
          <a:extLst>
            <a:ext uri="{FF2B5EF4-FFF2-40B4-BE49-F238E27FC236}">
              <a16:creationId xmlns:a16="http://schemas.microsoft.com/office/drawing/2014/main" xmlns="" id="{00000000-0008-0000-1E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2" name="Picture 4">
          <a:extLst>
            <a:ext uri="{FF2B5EF4-FFF2-40B4-BE49-F238E27FC236}">
              <a16:creationId xmlns:a16="http://schemas.microsoft.com/office/drawing/2014/main" xmlns="" id="{00000000-0008-0000-1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004411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4" name="Picture 3">
          <a:extLst>
            <a:ext uri="{FF2B5EF4-FFF2-40B4-BE49-F238E27FC236}">
              <a16:creationId xmlns:a16="http://schemas.microsoft.com/office/drawing/2014/main" xmlns="" id="{00000000-0008-0000-1F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1" y="1085849"/>
          <a:ext cx="96440" cy="106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5" name="Picture 3">
          <a:extLst>
            <a:ext uri="{FF2B5EF4-FFF2-40B4-BE49-F238E27FC236}">
              <a16:creationId xmlns:a16="http://schemas.microsoft.com/office/drawing/2014/main" xmlns="" id="{00000000-0008-0000-1F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2626" y="957262"/>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a:extLst>
            <a:ext uri="{FF2B5EF4-FFF2-40B4-BE49-F238E27FC236}">
              <a16:creationId xmlns:a16="http://schemas.microsoft.com/office/drawing/2014/main" xmlns="" id="{00000000-0008-0000-1F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7" name="Picture 6">
          <a:extLst>
            <a:ext uri="{FF2B5EF4-FFF2-40B4-BE49-F238E27FC236}">
              <a16:creationId xmlns:a16="http://schemas.microsoft.com/office/drawing/2014/main" xmlns="" id="{00000000-0008-0000-1F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8" name="Picture 7">
          <a:extLst>
            <a:ext uri="{FF2B5EF4-FFF2-40B4-BE49-F238E27FC236}">
              <a16:creationId xmlns:a16="http://schemas.microsoft.com/office/drawing/2014/main" xmlns="" id="{00000000-0008-0000-1F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26</xdr:col>
      <xdr:colOff>733425</xdr:colOff>
      <xdr:row>35</xdr:row>
      <xdr:rowOff>47625</xdr:rowOff>
    </xdr:from>
    <xdr:to>
      <xdr:col>27</xdr:col>
      <xdr:colOff>180975</xdr:colOff>
      <xdr:row>37</xdr:row>
      <xdr:rowOff>133350</xdr:rowOff>
    </xdr:to>
    <xdr:pic>
      <xdr:nvPicPr>
        <xdr:cNvPr id="2" name="Picture 2" descr="pencil">
          <a:extLst>
            <a:ext uri="{FF2B5EF4-FFF2-40B4-BE49-F238E27FC236}">
              <a16:creationId xmlns:a16="http://schemas.microsoft.com/office/drawing/2014/main" xmlns="" id="{00000000-0008-0000-2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44925" y="6038850"/>
          <a:ext cx="4667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12</xdr:col>
      <xdr:colOff>219075</xdr:colOff>
      <xdr:row>6</xdr:row>
      <xdr:rowOff>38100</xdr:rowOff>
    </xdr:from>
    <xdr:to>
      <xdr:col>13</xdr:col>
      <xdr:colOff>67865</xdr:colOff>
      <xdr:row>6</xdr:row>
      <xdr:rowOff>138113</xdr:rowOff>
    </xdr:to>
    <xdr:pic>
      <xdr:nvPicPr>
        <xdr:cNvPr id="2" name="Picture 3">
          <a:extLst>
            <a:ext uri="{FF2B5EF4-FFF2-40B4-BE49-F238E27FC236}">
              <a16:creationId xmlns:a16="http://schemas.microsoft.com/office/drawing/2014/main" xmlns="" id="{00000000-0008-0000-2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90875" y="1104900"/>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7</xdr:row>
      <xdr:rowOff>38100</xdr:rowOff>
    </xdr:from>
    <xdr:to>
      <xdr:col>9</xdr:col>
      <xdr:colOff>20240</xdr:colOff>
      <xdr:row>7</xdr:row>
      <xdr:rowOff>138113</xdr:rowOff>
    </xdr:to>
    <xdr:pic>
      <xdr:nvPicPr>
        <xdr:cNvPr id="3" name="Picture 3">
          <a:extLst>
            <a:ext uri="{FF2B5EF4-FFF2-40B4-BE49-F238E27FC236}">
              <a16:creationId xmlns:a16="http://schemas.microsoft.com/office/drawing/2014/main" xmlns="" id="{00000000-0008-0000-2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650" y="1606550"/>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2533650</xdr:colOff>
      <xdr:row>33</xdr:row>
      <xdr:rowOff>66675</xdr:rowOff>
    </xdr:from>
    <xdr:to>
      <xdr:col>6</xdr:col>
      <xdr:colOff>2638425</xdr:colOff>
      <xdr:row>36</xdr:row>
      <xdr:rowOff>9525</xdr:rowOff>
    </xdr:to>
    <xdr:sp macro="" textlink="">
      <xdr:nvSpPr>
        <xdr:cNvPr id="107799" name="AutoShape 7">
          <a:extLst>
            <a:ext uri="{FF2B5EF4-FFF2-40B4-BE49-F238E27FC236}">
              <a16:creationId xmlns:a16="http://schemas.microsoft.com/office/drawing/2014/main" xmlns="" id="{00000000-0008-0000-0500-000017A50100}"/>
            </a:ext>
          </a:extLst>
        </xdr:cNvPr>
        <xdr:cNvSpPr>
          <a:spLocks/>
        </xdr:cNvSpPr>
      </xdr:nvSpPr>
      <xdr:spPr bwMode="auto">
        <a:xfrm>
          <a:off x="4276725" y="5229225"/>
          <a:ext cx="104775" cy="476250"/>
        </a:xfrm>
        <a:prstGeom prst="rightBrace">
          <a:avLst>
            <a:gd name="adj1" fmla="val 3787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2352675</xdr:colOff>
      <xdr:row>37</xdr:row>
      <xdr:rowOff>161925</xdr:rowOff>
    </xdr:from>
    <xdr:to>
      <xdr:col>6</xdr:col>
      <xdr:colOff>2447925</xdr:colOff>
      <xdr:row>42</xdr:row>
      <xdr:rowOff>114300</xdr:rowOff>
    </xdr:to>
    <xdr:sp macro="" textlink="">
      <xdr:nvSpPr>
        <xdr:cNvPr id="107800" name="AutoShape 8">
          <a:extLst>
            <a:ext uri="{FF2B5EF4-FFF2-40B4-BE49-F238E27FC236}">
              <a16:creationId xmlns:a16="http://schemas.microsoft.com/office/drawing/2014/main" xmlns="" id="{00000000-0008-0000-0500-000018A50100}"/>
            </a:ext>
          </a:extLst>
        </xdr:cNvPr>
        <xdr:cNvSpPr>
          <a:spLocks/>
        </xdr:cNvSpPr>
      </xdr:nvSpPr>
      <xdr:spPr bwMode="auto">
        <a:xfrm>
          <a:off x="4095750" y="6048375"/>
          <a:ext cx="95250" cy="828675"/>
        </a:xfrm>
        <a:prstGeom prst="rightBrace">
          <a:avLst>
            <a:gd name="adj1" fmla="val 3906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11</xdr:col>
      <xdr:colOff>695325</xdr:colOff>
      <xdr:row>21</xdr:row>
      <xdr:rowOff>9525</xdr:rowOff>
    </xdr:from>
    <xdr:to>
      <xdr:col>12</xdr:col>
      <xdr:colOff>142875</xdr:colOff>
      <xdr:row>21</xdr:row>
      <xdr:rowOff>371475</xdr:rowOff>
    </xdr:to>
    <xdr:pic>
      <xdr:nvPicPr>
        <xdr:cNvPr id="107801" name="Picture 10" descr="E:\My Documents\Excel\03_1040\Pencil - Black.jpg">
          <a:extLst>
            <a:ext uri="{FF2B5EF4-FFF2-40B4-BE49-F238E27FC236}">
              <a16:creationId xmlns:a16="http://schemas.microsoft.com/office/drawing/2014/main" xmlns="" id="{00000000-0008-0000-0500-000019A5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256222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485775</xdr:colOff>
      <xdr:row>29</xdr:row>
      <xdr:rowOff>28575</xdr:rowOff>
    </xdr:from>
    <xdr:to>
      <xdr:col>12</xdr:col>
      <xdr:colOff>104775</xdr:colOff>
      <xdr:row>30</xdr:row>
      <xdr:rowOff>28575</xdr:rowOff>
    </xdr:to>
    <xdr:pic>
      <xdr:nvPicPr>
        <xdr:cNvPr id="108736" name="Picture 2" descr="pencil">
          <a:extLst>
            <a:ext uri="{FF2B5EF4-FFF2-40B4-BE49-F238E27FC236}">
              <a16:creationId xmlns:a16="http://schemas.microsoft.com/office/drawing/2014/main" xmlns="" id="{00000000-0008-0000-0600-0000C0A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62775" y="2952750"/>
          <a:ext cx="4667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800100</xdr:colOff>
      <xdr:row>59</xdr:row>
      <xdr:rowOff>19050</xdr:rowOff>
    </xdr:from>
    <xdr:to>
      <xdr:col>3</xdr:col>
      <xdr:colOff>1209675</xdr:colOff>
      <xdr:row>61</xdr:row>
      <xdr:rowOff>85725</xdr:rowOff>
    </xdr:to>
    <xdr:sp macro="" textlink="">
      <xdr:nvSpPr>
        <xdr:cNvPr id="108737" name="AutoShape 87">
          <a:extLst>
            <a:ext uri="{FF2B5EF4-FFF2-40B4-BE49-F238E27FC236}">
              <a16:creationId xmlns:a16="http://schemas.microsoft.com/office/drawing/2014/main" xmlns="" id="{00000000-0008-0000-0600-0000C1A80100}"/>
            </a:ext>
          </a:extLst>
        </xdr:cNvPr>
        <xdr:cNvSpPr>
          <a:spLocks noChangeArrowheads="1"/>
        </xdr:cNvSpPr>
      </xdr:nvSpPr>
      <xdr:spPr bwMode="auto">
        <a:xfrm>
          <a:off x="1400175" y="8162925"/>
          <a:ext cx="409575" cy="3333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xdr:colOff>
      <xdr:row>53</xdr:row>
      <xdr:rowOff>38100</xdr:rowOff>
    </xdr:from>
    <xdr:to>
      <xdr:col>4</xdr:col>
      <xdr:colOff>85725</xdr:colOff>
      <xdr:row>56</xdr:row>
      <xdr:rowOff>66675</xdr:rowOff>
    </xdr:to>
    <xdr:pic>
      <xdr:nvPicPr>
        <xdr:cNvPr id="110033" name="Picture 98">
          <a:extLst>
            <a:ext uri="{FF2B5EF4-FFF2-40B4-BE49-F238E27FC236}">
              <a16:creationId xmlns:a16="http://schemas.microsoft.com/office/drawing/2014/main" xmlns="" id="{00000000-0008-0000-0700-0000D1AD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9124950"/>
          <a:ext cx="457200" cy="4476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228600</xdr:colOff>
      <xdr:row>28</xdr:row>
      <xdr:rowOff>133350</xdr:rowOff>
    </xdr:from>
    <xdr:to>
      <xdr:col>6</xdr:col>
      <xdr:colOff>400050</xdr:colOff>
      <xdr:row>36</xdr:row>
      <xdr:rowOff>133350</xdr:rowOff>
    </xdr:to>
    <xdr:sp macro="" textlink="">
      <xdr:nvSpPr>
        <xdr:cNvPr id="110034" name="AutoShape 99">
          <a:extLst>
            <a:ext uri="{FF2B5EF4-FFF2-40B4-BE49-F238E27FC236}">
              <a16:creationId xmlns:a16="http://schemas.microsoft.com/office/drawing/2014/main" xmlns="" id="{00000000-0008-0000-0700-0000D2AD0100}"/>
            </a:ext>
          </a:extLst>
        </xdr:cNvPr>
        <xdr:cNvSpPr>
          <a:spLocks/>
        </xdr:cNvSpPr>
      </xdr:nvSpPr>
      <xdr:spPr bwMode="auto">
        <a:xfrm>
          <a:off x="4876800" y="5143500"/>
          <a:ext cx="171450" cy="1295400"/>
        </a:xfrm>
        <a:prstGeom prst="rightBrace">
          <a:avLst>
            <a:gd name="adj1" fmla="val 6296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9</xdr:col>
      <xdr:colOff>647700</xdr:colOff>
      <xdr:row>1</xdr:row>
      <xdr:rowOff>38100</xdr:rowOff>
    </xdr:from>
    <xdr:to>
      <xdr:col>9</xdr:col>
      <xdr:colOff>990600</xdr:colOff>
      <xdr:row>1</xdr:row>
      <xdr:rowOff>400050</xdr:rowOff>
    </xdr:to>
    <xdr:pic>
      <xdr:nvPicPr>
        <xdr:cNvPr id="110035" name="Picture 100" descr="E:\My Documents\Excel\03_1040\Pencil - Black.jpg">
          <a:extLst>
            <a:ext uri="{FF2B5EF4-FFF2-40B4-BE49-F238E27FC236}">
              <a16:creationId xmlns:a16="http://schemas.microsoft.com/office/drawing/2014/main" xmlns="" id="{00000000-0008-0000-0700-0000D3A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91350" y="20002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352425</xdr:colOff>
      <xdr:row>23</xdr:row>
      <xdr:rowOff>47625</xdr:rowOff>
    </xdr:from>
    <xdr:to>
      <xdr:col>4</xdr:col>
      <xdr:colOff>752475</xdr:colOff>
      <xdr:row>25</xdr:row>
      <xdr:rowOff>76200</xdr:rowOff>
    </xdr:to>
    <xdr:sp macro="" textlink="">
      <xdr:nvSpPr>
        <xdr:cNvPr id="110036" name="AutoShape 205">
          <a:extLst>
            <a:ext uri="{FF2B5EF4-FFF2-40B4-BE49-F238E27FC236}">
              <a16:creationId xmlns:a16="http://schemas.microsoft.com/office/drawing/2014/main" xmlns="" id="{00000000-0008-0000-0700-0000D4AD0100}"/>
            </a:ext>
          </a:extLst>
        </xdr:cNvPr>
        <xdr:cNvSpPr>
          <a:spLocks noChangeArrowheads="1"/>
        </xdr:cNvSpPr>
      </xdr:nvSpPr>
      <xdr:spPr bwMode="auto">
        <a:xfrm>
          <a:off x="1009650" y="4152900"/>
          <a:ext cx="400050" cy="3714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314325</xdr:colOff>
      <xdr:row>37</xdr:row>
      <xdr:rowOff>0</xdr:rowOff>
    </xdr:from>
    <xdr:to>
      <xdr:col>4</xdr:col>
      <xdr:colOff>714375</xdr:colOff>
      <xdr:row>39</xdr:row>
      <xdr:rowOff>57150</xdr:rowOff>
    </xdr:to>
    <xdr:sp macro="" textlink="">
      <xdr:nvSpPr>
        <xdr:cNvPr id="110037" name="AutoShape 205">
          <a:extLst>
            <a:ext uri="{FF2B5EF4-FFF2-40B4-BE49-F238E27FC236}">
              <a16:creationId xmlns:a16="http://schemas.microsoft.com/office/drawing/2014/main" xmlns="" id="{00000000-0008-0000-0700-0000D5AD0100}"/>
            </a:ext>
          </a:extLst>
        </xdr:cNvPr>
        <xdr:cNvSpPr>
          <a:spLocks noChangeArrowheads="1"/>
        </xdr:cNvSpPr>
      </xdr:nvSpPr>
      <xdr:spPr bwMode="auto">
        <a:xfrm>
          <a:off x="971550" y="6467475"/>
          <a:ext cx="400050" cy="3333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28575</xdr:colOff>
      <xdr:row>20</xdr:row>
      <xdr:rowOff>238125</xdr:rowOff>
    </xdr:from>
    <xdr:to>
      <xdr:col>9</xdr:col>
      <xdr:colOff>200025</xdr:colOff>
      <xdr:row>28</xdr:row>
      <xdr:rowOff>19050</xdr:rowOff>
    </xdr:to>
    <xdr:sp macro="" textlink="">
      <xdr:nvSpPr>
        <xdr:cNvPr id="111150" name="AutoShape 24">
          <a:extLst>
            <a:ext uri="{FF2B5EF4-FFF2-40B4-BE49-F238E27FC236}">
              <a16:creationId xmlns:a16="http://schemas.microsoft.com/office/drawing/2014/main" xmlns="" id="{00000000-0008-0000-0800-00002EB20100}"/>
            </a:ext>
          </a:extLst>
        </xdr:cNvPr>
        <xdr:cNvSpPr>
          <a:spLocks/>
        </xdr:cNvSpPr>
      </xdr:nvSpPr>
      <xdr:spPr bwMode="auto">
        <a:xfrm>
          <a:off x="5610225" y="4352925"/>
          <a:ext cx="171450" cy="1171575"/>
        </a:xfrm>
        <a:prstGeom prst="rightBrace">
          <a:avLst>
            <a:gd name="adj1" fmla="val 5574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xdr:col>
      <xdr:colOff>104775</xdr:colOff>
      <xdr:row>90</xdr:row>
      <xdr:rowOff>57150</xdr:rowOff>
    </xdr:from>
    <xdr:to>
      <xdr:col>4</xdr:col>
      <xdr:colOff>238125</xdr:colOff>
      <xdr:row>94</xdr:row>
      <xdr:rowOff>38100</xdr:rowOff>
    </xdr:to>
    <xdr:pic>
      <xdr:nvPicPr>
        <xdr:cNvPr id="111151" name="Picture 105" descr="caution">
          <a:extLst>
            <a:ext uri="{FF2B5EF4-FFF2-40B4-BE49-F238E27FC236}">
              <a16:creationId xmlns:a16="http://schemas.microsoft.com/office/drawing/2014/main" xmlns="" id="{00000000-0008-0000-0800-00002FB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5706725"/>
          <a:ext cx="6667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257175</xdr:colOff>
      <xdr:row>73</xdr:row>
      <xdr:rowOff>85725</xdr:rowOff>
    </xdr:from>
    <xdr:to>
      <xdr:col>7</xdr:col>
      <xdr:colOff>352425</xdr:colOff>
      <xdr:row>81</xdr:row>
      <xdr:rowOff>38100</xdr:rowOff>
    </xdr:to>
    <xdr:sp macro="" textlink="">
      <xdr:nvSpPr>
        <xdr:cNvPr id="111152" name="AutoShape 517">
          <a:extLst>
            <a:ext uri="{FF2B5EF4-FFF2-40B4-BE49-F238E27FC236}">
              <a16:creationId xmlns:a16="http://schemas.microsoft.com/office/drawing/2014/main" xmlns="" id="{00000000-0008-0000-0800-000030B20100}"/>
            </a:ext>
          </a:extLst>
        </xdr:cNvPr>
        <xdr:cNvSpPr>
          <a:spLocks/>
        </xdr:cNvSpPr>
      </xdr:nvSpPr>
      <xdr:spPr bwMode="auto">
        <a:xfrm>
          <a:off x="4714875" y="12553950"/>
          <a:ext cx="95250" cy="1247775"/>
        </a:xfrm>
        <a:prstGeom prst="rightBrace">
          <a:avLst>
            <a:gd name="adj1" fmla="val 10916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xdr:col>
      <xdr:colOff>57150</xdr:colOff>
      <xdr:row>2</xdr:row>
      <xdr:rowOff>47625</xdr:rowOff>
    </xdr:from>
    <xdr:to>
      <xdr:col>3</xdr:col>
      <xdr:colOff>304800</xdr:colOff>
      <xdr:row>5</xdr:row>
      <xdr:rowOff>104775</xdr:rowOff>
    </xdr:to>
    <xdr:pic>
      <xdr:nvPicPr>
        <xdr:cNvPr id="111153" name="Picture 578" descr="caution">
          <a:extLst>
            <a:ext uri="{FF2B5EF4-FFF2-40B4-BE49-F238E27FC236}">
              <a16:creationId xmlns:a16="http://schemas.microsoft.com/office/drawing/2014/main" xmlns="" id="{00000000-0008-0000-0800-000031B2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19125"/>
          <a:ext cx="6667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342900</xdr:colOff>
      <xdr:row>1</xdr:row>
      <xdr:rowOff>66675</xdr:rowOff>
    </xdr:from>
    <xdr:to>
      <xdr:col>18</xdr:col>
      <xdr:colOff>66675</xdr:colOff>
      <xdr:row>1</xdr:row>
      <xdr:rowOff>428625</xdr:rowOff>
    </xdr:to>
    <xdr:pic>
      <xdr:nvPicPr>
        <xdr:cNvPr id="111154" name="Picture 579" descr="Pencil - Black">
          <a:extLst>
            <a:ext uri="{FF2B5EF4-FFF2-40B4-BE49-F238E27FC236}">
              <a16:creationId xmlns:a16="http://schemas.microsoft.com/office/drawing/2014/main" xmlns="" id="{00000000-0008-0000-0800-000032B2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43875" y="190500"/>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371475</xdr:colOff>
      <xdr:row>40</xdr:row>
      <xdr:rowOff>38100</xdr:rowOff>
    </xdr:from>
    <xdr:to>
      <xdr:col>9</xdr:col>
      <xdr:colOff>552450</xdr:colOff>
      <xdr:row>52</xdr:row>
      <xdr:rowOff>133350</xdr:rowOff>
    </xdr:to>
    <xdr:sp macro="" textlink="">
      <xdr:nvSpPr>
        <xdr:cNvPr id="111155" name="AutoShape 645">
          <a:extLst>
            <a:ext uri="{FF2B5EF4-FFF2-40B4-BE49-F238E27FC236}">
              <a16:creationId xmlns:a16="http://schemas.microsoft.com/office/drawing/2014/main" xmlns="" id="{00000000-0008-0000-0800-000033B20100}"/>
            </a:ext>
          </a:extLst>
        </xdr:cNvPr>
        <xdr:cNvSpPr>
          <a:spLocks/>
        </xdr:cNvSpPr>
      </xdr:nvSpPr>
      <xdr:spPr bwMode="auto">
        <a:xfrm>
          <a:off x="5953125" y="7610475"/>
          <a:ext cx="180975" cy="1924050"/>
        </a:xfrm>
        <a:prstGeom prst="rightBrace">
          <a:avLst>
            <a:gd name="adj1" fmla="val 8859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23</xdr:col>
      <xdr:colOff>409575</xdr:colOff>
      <xdr:row>30</xdr:row>
      <xdr:rowOff>19050</xdr:rowOff>
    </xdr:from>
    <xdr:to>
      <xdr:col>23</xdr:col>
      <xdr:colOff>600075</xdr:colOff>
      <xdr:row>30</xdr:row>
      <xdr:rowOff>133350</xdr:rowOff>
    </xdr:to>
    <xdr:sp macro="" textlink="">
      <xdr:nvSpPr>
        <xdr:cNvPr id="8" name="AutoShape 344">
          <a:extLst>
            <a:ext uri="{FF2B5EF4-FFF2-40B4-BE49-F238E27FC236}">
              <a16:creationId xmlns:a16="http://schemas.microsoft.com/office/drawing/2014/main" xmlns="" id="{00000000-0008-0000-0800-000008000000}"/>
            </a:ext>
          </a:extLst>
        </xdr:cNvPr>
        <xdr:cNvSpPr>
          <a:spLocks noChangeArrowheads="1"/>
        </xdr:cNvSpPr>
      </xdr:nvSpPr>
      <xdr:spPr bwMode="auto">
        <a:xfrm rot="10800000">
          <a:off x="9686925" y="5648325"/>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409575</xdr:colOff>
      <xdr:row>75</xdr:row>
      <xdr:rowOff>19050</xdr:rowOff>
    </xdr:from>
    <xdr:to>
      <xdr:col>23</xdr:col>
      <xdr:colOff>600075</xdr:colOff>
      <xdr:row>75</xdr:row>
      <xdr:rowOff>133350</xdr:rowOff>
    </xdr:to>
    <xdr:sp macro="" textlink="">
      <xdr:nvSpPr>
        <xdr:cNvPr id="9" name="AutoShape 344">
          <a:extLst>
            <a:ext uri="{FF2B5EF4-FFF2-40B4-BE49-F238E27FC236}">
              <a16:creationId xmlns:a16="http://schemas.microsoft.com/office/drawing/2014/main" xmlns="" id="{00000000-0008-0000-0800-000009000000}"/>
            </a:ext>
          </a:extLst>
        </xdr:cNvPr>
        <xdr:cNvSpPr>
          <a:spLocks noChangeArrowheads="1"/>
        </xdr:cNvSpPr>
      </xdr:nvSpPr>
      <xdr:spPr bwMode="auto">
        <a:xfrm rot="10800000">
          <a:off x="9686925" y="5648325"/>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409575</xdr:colOff>
      <xdr:row>99</xdr:row>
      <xdr:rowOff>19050</xdr:rowOff>
    </xdr:from>
    <xdr:to>
      <xdr:col>23</xdr:col>
      <xdr:colOff>600075</xdr:colOff>
      <xdr:row>99</xdr:row>
      <xdr:rowOff>133350</xdr:rowOff>
    </xdr:to>
    <xdr:sp macro="" textlink="">
      <xdr:nvSpPr>
        <xdr:cNvPr id="10" name="AutoShape 344">
          <a:extLst>
            <a:ext uri="{FF2B5EF4-FFF2-40B4-BE49-F238E27FC236}">
              <a16:creationId xmlns:a16="http://schemas.microsoft.com/office/drawing/2014/main" xmlns="" id="{00000000-0008-0000-0800-00000A000000}"/>
            </a:ext>
          </a:extLst>
        </xdr:cNvPr>
        <xdr:cNvSpPr>
          <a:spLocks noChangeArrowheads="1"/>
        </xdr:cNvSpPr>
      </xdr:nvSpPr>
      <xdr:spPr bwMode="auto">
        <a:xfrm rot="10800000">
          <a:off x="9686925" y="5648325"/>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409575</xdr:colOff>
      <xdr:row>44</xdr:row>
      <xdr:rowOff>19050</xdr:rowOff>
    </xdr:from>
    <xdr:to>
      <xdr:col>23</xdr:col>
      <xdr:colOff>600075</xdr:colOff>
      <xdr:row>44</xdr:row>
      <xdr:rowOff>133350</xdr:rowOff>
    </xdr:to>
    <xdr:sp macro="" textlink="">
      <xdr:nvSpPr>
        <xdr:cNvPr id="11" name="AutoShape 344">
          <a:extLst>
            <a:ext uri="{FF2B5EF4-FFF2-40B4-BE49-F238E27FC236}">
              <a16:creationId xmlns:a16="http://schemas.microsoft.com/office/drawing/2014/main" xmlns="" id="{00000000-0008-0000-0800-00000B000000}"/>
            </a:ext>
          </a:extLst>
        </xdr:cNvPr>
        <xdr:cNvSpPr>
          <a:spLocks noChangeArrowheads="1"/>
        </xdr:cNvSpPr>
      </xdr:nvSpPr>
      <xdr:spPr bwMode="auto">
        <a:xfrm rot="10800000">
          <a:off x="9686925" y="5648325"/>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409575</xdr:colOff>
      <xdr:row>64</xdr:row>
      <xdr:rowOff>19050</xdr:rowOff>
    </xdr:from>
    <xdr:to>
      <xdr:col>23</xdr:col>
      <xdr:colOff>600075</xdr:colOff>
      <xdr:row>64</xdr:row>
      <xdr:rowOff>133350</xdr:rowOff>
    </xdr:to>
    <xdr:sp macro="" textlink="">
      <xdr:nvSpPr>
        <xdr:cNvPr id="12" name="AutoShape 344">
          <a:extLst>
            <a:ext uri="{FF2B5EF4-FFF2-40B4-BE49-F238E27FC236}">
              <a16:creationId xmlns:a16="http://schemas.microsoft.com/office/drawing/2014/main" xmlns="" id="{00000000-0008-0000-0800-00000C000000}"/>
            </a:ext>
          </a:extLst>
        </xdr:cNvPr>
        <xdr:cNvSpPr>
          <a:spLocks noChangeArrowheads="1"/>
        </xdr:cNvSpPr>
      </xdr:nvSpPr>
      <xdr:spPr bwMode="auto">
        <a:xfrm rot="10800000">
          <a:off x="9686925" y="7829550"/>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20</xdr:col>
      <xdr:colOff>209550</xdr:colOff>
      <xdr:row>1</xdr:row>
      <xdr:rowOff>152400</xdr:rowOff>
    </xdr:from>
    <xdr:to>
      <xdr:col>20</xdr:col>
      <xdr:colOff>552450</xdr:colOff>
      <xdr:row>3</xdr:row>
      <xdr:rowOff>95250</xdr:rowOff>
    </xdr:to>
    <xdr:pic>
      <xdr:nvPicPr>
        <xdr:cNvPr id="37" name="Picture 10" descr="E:\My Documents\Excel\03_1040\Pencil - Black.jpg">
          <a:extLst>
            <a:ext uri="{FF2B5EF4-FFF2-40B4-BE49-F238E27FC236}">
              <a16:creationId xmlns:a16="http://schemas.microsoft.com/office/drawing/2014/main" xmlns="" id="{00000000-0008-0000-09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26325" y="555307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342900</xdr:colOff>
      <xdr:row>18</xdr:row>
      <xdr:rowOff>47625</xdr:rowOff>
    </xdr:from>
    <xdr:to>
      <xdr:col>16</xdr:col>
      <xdr:colOff>447675</xdr:colOff>
      <xdr:row>21</xdr:row>
      <xdr:rowOff>38100</xdr:rowOff>
    </xdr:to>
    <xdr:sp macro="" textlink="">
      <xdr:nvSpPr>
        <xdr:cNvPr id="38" name="AutoShape 973">
          <a:extLst>
            <a:ext uri="{FF2B5EF4-FFF2-40B4-BE49-F238E27FC236}">
              <a16:creationId xmlns:a16="http://schemas.microsoft.com/office/drawing/2014/main" xmlns="" id="{00000000-0008-0000-0900-000026000000}"/>
            </a:ext>
          </a:extLst>
        </xdr:cNvPr>
        <xdr:cNvSpPr>
          <a:spLocks/>
        </xdr:cNvSpPr>
      </xdr:nvSpPr>
      <xdr:spPr bwMode="auto">
        <a:xfrm>
          <a:off x="17487900" y="8582025"/>
          <a:ext cx="104775" cy="533400"/>
        </a:xfrm>
        <a:prstGeom prst="rightBrace">
          <a:avLst>
            <a:gd name="adj1" fmla="val 61181"/>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333375</xdr:colOff>
      <xdr:row>7</xdr:row>
      <xdr:rowOff>47625</xdr:rowOff>
    </xdr:from>
    <xdr:to>
      <xdr:col>7</xdr:col>
      <xdr:colOff>400050</xdr:colOff>
      <xdr:row>9</xdr:row>
      <xdr:rowOff>142875</xdr:rowOff>
    </xdr:to>
    <xdr:sp macro="" textlink="">
      <xdr:nvSpPr>
        <xdr:cNvPr id="29" name="AutoShape 973">
          <a:extLst>
            <a:ext uri="{FF2B5EF4-FFF2-40B4-BE49-F238E27FC236}">
              <a16:creationId xmlns:a16="http://schemas.microsoft.com/office/drawing/2014/main" xmlns="" id="{00000000-0008-0000-0A00-00001D000000}"/>
            </a:ext>
          </a:extLst>
        </xdr:cNvPr>
        <xdr:cNvSpPr>
          <a:spLocks/>
        </xdr:cNvSpPr>
      </xdr:nvSpPr>
      <xdr:spPr bwMode="auto">
        <a:xfrm>
          <a:off x="17478375" y="13249275"/>
          <a:ext cx="66675" cy="438150"/>
        </a:xfrm>
        <a:prstGeom prst="rightBrace">
          <a:avLst>
            <a:gd name="adj1" fmla="val 61181"/>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342900</xdr:colOff>
      <xdr:row>11</xdr:row>
      <xdr:rowOff>47625</xdr:rowOff>
    </xdr:from>
    <xdr:to>
      <xdr:col>7</xdr:col>
      <xdr:colOff>428625</xdr:colOff>
      <xdr:row>14</xdr:row>
      <xdr:rowOff>47625</xdr:rowOff>
    </xdr:to>
    <xdr:sp macro="" textlink="">
      <xdr:nvSpPr>
        <xdr:cNvPr id="30" name="AutoShape 973">
          <a:extLst>
            <a:ext uri="{FF2B5EF4-FFF2-40B4-BE49-F238E27FC236}">
              <a16:creationId xmlns:a16="http://schemas.microsoft.com/office/drawing/2014/main" xmlns="" id="{00000000-0008-0000-0A00-00001E000000}"/>
            </a:ext>
          </a:extLst>
        </xdr:cNvPr>
        <xdr:cNvSpPr>
          <a:spLocks/>
        </xdr:cNvSpPr>
      </xdr:nvSpPr>
      <xdr:spPr bwMode="auto">
        <a:xfrm>
          <a:off x="17487900" y="13935075"/>
          <a:ext cx="85725" cy="514350"/>
        </a:xfrm>
        <a:prstGeom prst="rightBrace">
          <a:avLst>
            <a:gd name="adj1" fmla="val 61194"/>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11</xdr:col>
      <xdr:colOff>276225</xdr:colOff>
      <xdr:row>1</xdr:row>
      <xdr:rowOff>85725</xdr:rowOff>
    </xdr:from>
    <xdr:to>
      <xdr:col>11</xdr:col>
      <xdr:colOff>619125</xdr:colOff>
      <xdr:row>3</xdr:row>
      <xdr:rowOff>95250</xdr:rowOff>
    </xdr:to>
    <xdr:pic>
      <xdr:nvPicPr>
        <xdr:cNvPr id="40" name="Picture 10" descr="E:\My Documents\Excel\03_1040\Pencil - Black.jpg">
          <a:extLst>
            <a:ext uri="{FF2B5EF4-FFF2-40B4-BE49-F238E27FC236}">
              <a16:creationId xmlns:a16="http://schemas.microsoft.com/office/drawing/2014/main" xmlns="" id="{00000000-0008-0000-0A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93000" y="1225867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16</xdr:col>
      <xdr:colOff>514350</xdr:colOff>
      <xdr:row>15</xdr:row>
      <xdr:rowOff>142875</xdr:rowOff>
    </xdr:from>
    <xdr:to>
      <xdr:col>16</xdr:col>
      <xdr:colOff>600075</xdr:colOff>
      <xdr:row>19</xdr:row>
      <xdr:rowOff>142875</xdr:rowOff>
    </xdr:to>
    <xdr:sp macro="" textlink="">
      <xdr:nvSpPr>
        <xdr:cNvPr id="32" name="AutoShape 973">
          <a:extLst>
            <a:ext uri="{FF2B5EF4-FFF2-40B4-BE49-F238E27FC236}">
              <a16:creationId xmlns:a16="http://schemas.microsoft.com/office/drawing/2014/main" xmlns="" id="{00000000-0008-0000-0B00-000020000000}"/>
            </a:ext>
          </a:extLst>
        </xdr:cNvPr>
        <xdr:cNvSpPr>
          <a:spLocks/>
        </xdr:cNvSpPr>
      </xdr:nvSpPr>
      <xdr:spPr bwMode="auto">
        <a:xfrm>
          <a:off x="17659350" y="19135725"/>
          <a:ext cx="85725" cy="685800"/>
        </a:xfrm>
        <a:prstGeom prst="rightBrace">
          <a:avLst>
            <a:gd name="adj1" fmla="val 61194"/>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273050</xdr:colOff>
      <xdr:row>21</xdr:row>
      <xdr:rowOff>177801</xdr:rowOff>
    </xdr:from>
    <xdr:to>
      <xdr:col>16</xdr:col>
      <xdr:colOff>733425</xdr:colOff>
      <xdr:row>23</xdr:row>
      <xdr:rowOff>57151</xdr:rowOff>
    </xdr:to>
    <xdr:sp macro="" textlink="">
      <xdr:nvSpPr>
        <xdr:cNvPr id="33" name="AutoShape 4">
          <a:extLst>
            <a:ext uri="{FF2B5EF4-FFF2-40B4-BE49-F238E27FC236}">
              <a16:creationId xmlns:a16="http://schemas.microsoft.com/office/drawing/2014/main" xmlns="" id="{00000000-0008-0000-0B00-000021000000}"/>
            </a:ext>
          </a:extLst>
        </xdr:cNvPr>
        <xdr:cNvSpPr>
          <a:spLocks noChangeArrowheads="1"/>
        </xdr:cNvSpPr>
      </xdr:nvSpPr>
      <xdr:spPr bwMode="auto">
        <a:xfrm>
          <a:off x="17418050" y="20256501"/>
          <a:ext cx="460375" cy="298450"/>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20</xdr:col>
      <xdr:colOff>304800</xdr:colOff>
      <xdr:row>1</xdr:row>
      <xdr:rowOff>123825</xdr:rowOff>
    </xdr:from>
    <xdr:to>
      <xdr:col>20</xdr:col>
      <xdr:colOff>647700</xdr:colOff>
      <xdr:row>3</xdr:row>
      <xdr:rowOff>152400</xdr:rowOff>
    </xdr:to>
    <xdr:pic>
      <xdr:nvPicPr>
        <xdr:cNvPr id="39" name="Picture 10" descr="E:\My Documents\Excel\03_1040\Pencil - Black.jpg">
          <a:extLst>
            <a:ext uri="{FF2B5EF4-FFF2-40B4-BE49-F238E27FC236}">
              <a16:creationId xmlns:a16="http://schemas.microsoft.com/office/drawing/2014/main" xmlns="" id="{00000000-0008-0000-0B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21575" y="1675447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aypal.com/us/webapps/mpp/send-money-onlin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irs.gov/pub/irs-pdf/f1040sei.pdf" TargetMode="External"/><Relationship Id="rId1" Type="http://schemas.openxmlformats.org/officeDocument/2006/relationships/hyperlink" Target="https://www.irs.gov/pub/irs-pdf/f1040sei.pdf" TargetMode="External"/><Relationship Id="rId4"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irs.gov/pub/irs-pdf/i1040sca.pdf" TargetMode="External"/><Relationship Id="rId1" Type="http://schemas.openxmlformats.org/officeDocument/2006/relationships/hyperlink" Target="http://www.irs.gov/pub/irs-pdf/f1040sa.pdf" TargetMode="External"/><Relationship Id="rId4"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8.bin"/><Relationship Id="rId1" Type="http://schemas.openxmlformats.org/officeDocument/2006/relationships/hyperlink" Target="http://www.irs.gov/pub/irs-pdf/f1040sb.pdf"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irs.gov/pub/irs-pdf/i1040sc.pdf" TargetMode="External"/><Relationship Id="rId1" Type="http://schemas.openxmlformats.org/officeDocument/2006/relationships/hyperlink" Target="http://www.irs.gov/pub/irs-pdf/f1040sc.pdf" TargetMode="External"/><Relationship Id="rId4"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irs.gov/pub/irs-pdf/i1040sd.pdf" TargetMode="External"/><Relationship Id="rId1" Type="http://schemas.openxmlformats.org/officeDocument/2006/relationships/hyperlink" Target="http://www.irs.gov/pub/irs-pdf/f1040sd.pdf" TargetMode="External"/><Relationship Id="rId4"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www.irs.gov/pub/irs-pdf/i1040sd.pdf" TargetMode="External"/><Relationship Id="rId1" Type="http://schemas.openxmlformats.org/officeDocument/2006/relationships/hyperlink" Target="http://www.irs.gov/pub/irs-pdf/f1040sd.pdf" TargetMode="External"/><Relationship Id="rId4"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www.irs.gov/pub/irs-pdf/i1040se.pdf" TargetMode="External"/><Relationship Id="rId1" Type="http://schemas.openxmlformats.org/officeDocument/2006/relationships/hyperlink" Target="http://www.irs.gov/pub/irs-pdf/f1040se.pdf"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www.irs.gov/pub/irs-pdf/i1040se.pdf" TargetMode="External"/><Relationship Id="rId1" Type="http://schemas.openxmlformats.org/officeDocument/2006/relationships/hyperlink" Target="http://www.irs.gov/pub/irs-pdf/f1040se.pdf"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www.irs.gov/pub/irs-pdf/i1040sf.pdf" TargetMode="External"/><Relationship Id="rId1" Type="http://schemas.openxmlformats.org/officeDocument/2006/relationships/hyperlink" Target="http://www.irs.gov/pub/irs-pdf/f1040sf.pdf" TargetMode="External"/><Relationship Id="rId4"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www.irs.gov/pub/irs-pdf/i1040sse.pdf" TargetMode="External"/><Relationship Id="rId1" Type="http://schemas.openxmlformats.org/officeDocument/2006/relationships/hyperlink" Target="http://www.irs.gov/pub/irs-pdf/f1040sse.pdf" TargetMode="External"/><Relationship Id="rId4"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3" Type="http://schemas.openxmlformats.org/officeDocument/2006/relationships/hyperlink" Target="http://www.irs.gov/pub/irs-pdf/f2210.pdf" TargetMode="External"/><Relationship Id="rId2" Type="http://schemas.openxmlformats.org/officeDocument/2006/relationships/hyperlink" Target="http://www.irs.gov/pub/irs-pdf/i1040sse.pdf" TargetMode="External"/><Relationship Id="rId1" Type="http://schemas.openxmlformats.org/officeDocument/2006/relationships/hyperlink" Target="http://www.irs.gov/pub/irs-pdf/f1040sse.pdf" TargetMode="External"/><Relationship Id="rId6" Type="http://schemas.openxmlformats.org/officeDocument/2006/relationships/drawing" Target="../drawings/drawing21.xml"/><Relationship Id="rId5" Type="http://schemas.openxmlformats.org/officeDocument/2006/relationships/printerSettings" Target="../printerSettings/printerSettings26.bin"/><Relationship Id="rId4" Type="http://schemas.openxmlformats.org/officeDocument/2006/relationships/hyperlink" Target="http://www.irs.gov/pub/irs-pdf/i2210.pdf"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www.irs.gov/pub/irs-pdf/i2441.pdf" TargetMode="External"/><Relationship Id="rId1" Type="http://schemas.openxmlformats.org/officeDocument/2006/relationships/hyperlink" Target="http://www.irs.gov/pub/irs-pdf/f2441.pdf" TargetMode="External"/><Relationship Id="rId4"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irs.gov/pub/irs-pdf/i6251.pdf" TargetMode="External"/><Relationship Id="rId1" Type="http://schemas.openxmlformats.org/officeDocument/2006/relationships/hyperlink" Target="http://www.irs.gov/pub/irs-pdf/f6251.pdf" TargetMode="External"/><Relationship Id="rId4"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www.irs.gov/pub/irs-pdf/i8959.pdf" TargetMode="External"/><Relationship Id="rId1" Type="http://schemas.openxmlformats.org/officeDocument/2006/relationships/hyperlink" Target="http://www.irs.gov/pub/irs-pdf/f8959.pdf"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www.irs.gov/pub/irs-dft/i8960--dft.pdf" TargetMode="External"/><Relationship Id="rId1" Type="http://schemas.openxmlformats.org/officeDocument/2006/relationships/hyperlink" Target="http://www.irs.gov/pub/irs-pdf/f8960.pdf" TargetMode="External"/><Relationship Id="rId4" Type="http://schemas.openxmlformats.org/officeDocument/2006/relationships/drawing" Target="../drawings/drawing28.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www.excel1040.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irs.gov/pub/irs-pdf/f1040.pdf" TargetMode="External"/><Relationship Id="rId7" Type="http://schemas.openxmlformats.org/officeDocument/2006/relationships/drawing" Target="../drawings/drawing2.xml"/><Relationship Id="rId2" Type="http://schemas.openxmlformats.org/officeDocument/2006/relationships/hyperlink" Target="http://www.irs.gov/pub/irs-pdf/i1040gi.pdf" TargetMode="External"/><Relationship Id="rId1" Type="http://schemas.openxmlformats.org/officeDocument/2006/relationships/hyperlink" Target="http://www.excel1040.com/" TargetMode="External"/><Relationship Id="rId6" Type="http://schemas.openxmlformats.org/officeDocument/2006/relationships/printerSettings" Target="../printerSettings/printerSettings5.bin"/><Relationship Id="rId5" Type="http://schemas.openxmlformats.org/officeDocument/2006/relationships/hyperlink" Target="http://www.irs.gov/pub/irs-pdf/f1040.pdf" TargetMode="External"/><Relationship Id="rId4" Type="http://schemas.openxmlformats.org/officeDocument/2006/relationships/hyperlink" Target="http://www.irs.gov/pub/irs-pdf/f1040.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Normal="100" workbookViewId="0"/>
  </sheetViews>
  <sheetFormatPr defaultColWidth="9.140625" defaultRowHeight="12.75"/>
  <cols>
    <col min="1" max="1" width="5.140625" style="2117" customWidth="1"/>
    <col min="2" max="2" width="12.42578125" style="2117" customWidth="1"/>
    <col min="3" max="3" width="9.140625" style="2117"/>
    <col min="4" max="4" width="7.5703125" style="2117" customWidth="1"/>
    <col min="5" max="7" width="9.140625" style="2117"/>
    <col min="8" max="8" width="6.28515625" style="2117" customWidth="1"/>
    <col min="9" max="9" width="9.140625" style="2117"/>
    <col min="10" max="10" width="5.7109375" style="2117" customWidth="1"/>
    <col min="11" max="11" width="7.140625" style="2117" customWidth="1"/>
    <col min="12" max="16384" width="9.140625" style="2117"/>
  </cols>
  <sheetData>
    <row r="1" spans="2:11" ht="21.75" customHeight="1" thickBot="1"/>
    <row r="2" spans="2:11" ht="13.5" thickTop="1">
      <c r="B2" s="2759"/>
      <c r="C2" s="2760"/>
      <c r="D2" s="2760"/>
      <c r="E2" s="2760"/>
      <c r="F2" s="2760"/>
      <c r="G2" s="2760"/>
      <c r="H2" s="2760"/>
      <c r="I2" s="2760"/>
      <c r="J2" s="2760"/>
      <c r="K2" s="2761"/>
    </row>
    <row r="3" spans="2:11" ht="18">
      <c r="B3" s="4553"/>
      <c r="C3" s="4554"/>
      <c r="D3" s="4554"/>
      <c r="E3" s="4554"/>
      <c r="F3" s="4554"/>
      <c r="G3" s="4554"/>
      <c r="H3" s="4554"/>
      <c r="I3" s="4554"/>
      <c r="J3" s="4554"/>
      <c r="K3" s="4555"/>
    </row>
    <row r="4" spans="2:11" ht="21">
      <c r="B4" s="3814"/>
      <c r="C4" s="3815"/>
      <c r="D4" s="3815"/>
      <c r="E4" s="3813"/>
      <c r="F4" s="3817" t="s">
        <v>1674</v>
      </c>
      <c r="G4" s="3815"/>
      <c r="H4" s="3815"/>
      <c r="I4" s="3815"/>
      <c r="J4" s="3815"/>
      <c r="K4" s="3816"/>
    </row>
    <row r="5" spans="2:11">
      <c r="B5" s="2762"/>
      <c r="C5" s="2399"/>
      <c r="D5" s="2399"/>
      <c r="E5" s="2399"/>
      <c r="F5" s="2399"/>
      <c r="G5" s="2399"/>
      <c r="H5" s="2399"/>
      <c r="I5" s="2399"/>
      <c r="J5" s="2399"/>
      <c r="K5" s="2763"/>
    </row>
    <row r="6" spans="2:11" ht="13.5">
      <c r="B6" s="2762"/>
      <c r="C6" s="2399"/>
      <c r="D6" s="2399"/>
      <c r="E6" s="2399"/>
      <c r="F6" s="2764" t="s">
        <v>1675</v>
      </c>
      <c r="G6" s="2399"/>
      <c r="H6" s="2399"/>
      <c r="I6" s="2399"/>
      <c r="J6" s="2399"/>
      <c r="K6" s="2763"/>
    </row>
    <row r="7" spans="2:11" ht="13.5">
      <c r="B7" s="2762"/>
      <c r="C7" s="2399"/>
      <c r="D7" s="2399"/>
      <c r="E7" s="2399"/>
      <c r="F7" s="2764" t="s">
        <v>1676</v>
      </c>
      <c r="G7" s="2399"/>
      <c r="H7" s="2399"/>
      <c r="I7" s="2399"/>
      <c r="J7" s="2399"/>
      <c r="K7" s="2763"/>
    </row>
    <row r="8" spans="2:11" ht="13.5">
      <c r="B8" s="2762"/>
      <c r="C8" s="2399"/>
      <c r="D8" s="2399"/>
      <c r="E8" s="2399"/>
      <c r="F8" s="2764" t="s">
        <v>1677</v>
      </c>
      <c r="G8" s="2399"/>
      <c r="H8" s="2399"/>
      <c r="I8" s="2399"/>
      <c r="J8" s="2399"/>
      <c r="K8" s="2763"/>
    </row>
    <row r="9" spans="2:11" ht="13.5">
      <c r="B9" s="2762"/>
      <c r="C9" s="2399"/>
      <c r="D9" s="2399"/>
      <c r="E9" s="2399"/>
      <c r="F9" s="2764" t="s">
        <v>1678</v>
      </c>
      <c r="G9" s="2399"/>
      <c r="H9" s="2399"/>
      <c r="I9" s="2399"/>
      <c r="J9" s="2399"/>
      <c r="K9" s="2763"/>
    </row>
    <row r="10" spans="2:11" ht="13.5">
      <c r="B10" s="2762"/>
      <c r="C10" s="2399"/>
      <c r="D10" s="2399"/>
      <c r="E10" s="2399"/>
      <c r="F10" s="2764" t="s">
        <v>1679</v>
      </c>
      <c r="G10" s="2399"/>
      <c r="H10" s="2399"/>
      <c r="I10" s="2399"/>
      <c r="J10" s="2399"/>
      <c r="K10" s="2763"/>
    </row>
    <row r="11" spans="2:11">
      <c r="B11" s="2762"/>
      <c r="C11" s="2399"/>
      <c r="D11" s="2399"/>
      <c r="E11" s="2399"/>
      <c r="F11" s="2765"/>
      <c r="G11" s="2399"/>
      <c r="H11" s="2399"/>
      <c r="I11" s="2399"/>
      <c r="J11" s="2399"/>
      <c r="K11" s="2763"/>
    </row>
    <row r="12" spans="2:11" ht="13.5">
      <c r="B12" s="2762"/>
      <c r="C12" s="2399"/>
      <c r="D12" s="2399"/>
      <c r="E12" s="2399"/>
      <c r="F12" s="2764" t="s">
        <v>1680</v>
      </c>
      <c r="G12" s="2399"/>
      <c r="H12" s="2399"/>
      <c r="I12" s="2399"/>
      <c r="J12" s="2399"/>
      <c r="K12" s="2763"/>
    </row>
    <row r="13" spans="2:11" ht="13.5">
      <c r="B13" s="2762"/>
      <c r="C13" s="2399"/>
      <c r="D13" s="2399"/>
      <c r="E13" s="2399"/>
      <c r="F13" s="2764" t="s">
        <v>1681</v>
      </c>
      <c r="G13" s="2399"/>
      <c r="H13" s="2399"/>
      <c r="I13" s="2399"/>
      <c r="J13" s="2399"/>
      <c r="K13" s="2763"/>
    </row>
    <row r="14" spans="2:11" ht="13.5">
      <c r="B14" s="2762"/>
      <c r="C14" s="2399"/>
      <c r="D14" s="2399"/>
      <c r="E14" s="2399"/>
      <c r="F14" s="2764" t="s">
        <v>1682</v>
      </c>
      <c r="G14" s="2399"/>
      <c r="H14" s="2399"/>
      <c r="I14" s="2399"/>
      <c r="J14" s="2399"/>
      <c r="K14" s="2763"/>
    </row>
    <row r="15" spans="2:11">
      <c r="B15" s="2762"/>
      <c r="C15" s="2399"/>
      <c r="D15" s="2399"/>
      <c r="E15" s="2399"/>
      <c r="F15" s="2765"/>
      <c r="G15" s="2399"/>
      <c r="H15" s="2399"/>
      <c r="I15" s="2399"/>
      <c r="J15" s="2399"/>
      <c r="K15" s="2763"/>
    </row>
    <row r="16" spans="2:11" ht="13.5">
      <c r="B16" s="2762"/>
      <c r="C16" s="2399"/>
      <c r="D16" s="2399"/>
      <c r="E16" s="2399"/>
      <c r="F16" s="2764" t="s">
        <v>1683</v>
      </c>
      <c r="G16" s="2399"/>
      <c r="H16" s="2399"/>
      <c r="I16" s="2399"/>
      <c r="J16" s="2399"/>
      <c r="K16" s="2763"/>
    </row>
    <row r="17" spans="2:11" ht="13.5">
      <c r="B17" s="2762"/>
      <c r="C17" s="2399"/>
      <c r="D17" s="2399"/>
      <c r="E17" s="2399"/>
      <c r="F17" s="2764" t="s">
        <v>1684</v>
      </c>
      <c r="G17" s="2399"/>
      <c r="H17" s="2399"/>
      <c r="I17" s="2399"/>
      <c r="J17" s="2399"/>
      <c r="K17" s="2763"/>
    </row>
    <row r="18" spans="2:11" ht="13.5">
      <c r="B18" s="2762"/>
      <c r="C18" s="2399"/>
      <c r="D18" s="2399"/>
      <c r="E18" s="2399"/>
      <c r="F18" s="2764"/>
      <c r="G18" s="2399"/>
      <c r="H18" s="2399"/>
      <c r="I18" s="2399"/>
      <c r="J18" s="2399"/>
      <c r="K18" s="2763"/>
    </row>
    <row r="19" spans="2:11" ht="13.5" thickBot="1">
      <c r="B19" s="2766"/>
      <c r="C19" s="2767"/>
      <c r="D19" s="2767"/>
      <c r="E19" s="2767"/>
      <c r="F19" s="2767"/>
      <c r="G19" s="2767"/>
      <c r="H19" s="2767"/>
      <c r="I19" s="2767"/>
      <c r="J19" s="2767"/>
      <c r="K19" s="2768"/>
    </row>
    <row r="20" spans="2:11" ht="14.25" thickTop="1" thickBot="1"/>
    <row r="21" spans="2:11">
      <c r="B21" s="4536" t="s">
        <v>2440</v>
      </c>
      <c r="C21" s="4537"/>
      <c r="D21" s="4537"/>
      <c r="E21" s="4537"/>
      <c r="F21" s="4537"/>
      <c r="G21" s="4537"/>
      <c r="H21" s="4537"/>
      <c r="I21" s="4537"/>
      <c r="J21" s="4537"/>
      <c r="K21" s="4538"/>
    </row>
    <row r="22" spans="2:11">
      <c r="B22" s="4539"/>
      <c r="C22" s="4540"/>
      <c r="D22" s="4540"/>
      <c r="E22" s="4540"/>
      <c r="F22" s="4540"/>
      <c r="G22" s="4540"/>
      <c r="H22" s="4540"/>
      <c r="I22" s="4540"/>
      <c r="J22" s="4540"/>
      <c r="K22" s="4541"/>
    </row>
    <row r="23" spans="2:11">
      <c r="B23" s="4539"/>
      <c r="C23" s="4540"/>
      <c r="D23" s="4540"/>
      <c r="E23" s="4540"/>
      <c r="F23" s="4540"/>
      <c r="G23" s="4540"/>
      <c r="H23" s="4540"/>
      <c r="I23" s="4540"/>
      <c r="J23" s="4540"/>
      <c r="K23" s="4541"/>
    </row>
    <row r="24" spans="2:11">
      <c r="B24" s="4539"/>
      <c r="C24" s="4540"/>
      <c r="D24" s="4540"/>
      <c r="E24" s="4540"/>
      <c r="F24" s="4540"/>
      <c r="G24" s="4540"/>
      <c r="H24" s="4540"/>
      <c r="I24" s="4540"/>
      <c r="J24" s="4540"/>
      <c r="K24" s="4541"/>
    </row>
    <row r="25" spans="2:11">
      <c r="B25" s="4539"/>
      <c r="C25" s="4540"/>
      <c r="D25" s="4540"/>
      <c r="E25" s="4540"/>
      <c r="F25" s="4540"/>
      <c r="G25" s="4540"/>
      <c r="H25" s="4540"/>
      <c r="I25" s="4540"/>
      <c r="J25" s="4540"/>
      <c r="K25" s="4541"/>
    </row>
    <row r="26" spans="2:11">
      <c r="B26" s="4539"/>
      <c r="C26" s="4540"/>
      <c r="D26" s="4540"/>
      <c r="E26" s="4540"/>
      <c r="F26" s="4540"/>
      <c r="G26" s="4540"/>
      <c r="H26" s="4540"/>
      <c r="I26" s="4540"/>
      <c r="J26" s="4540"/>
      <c r="K26" s="4541"/>
    </row>
    <row r="27" spans="2:11">
      <c r="B27" s="4539"/>
      <c r="C27" s="4540"/>
      <c r="D27" s="4540"/>
      <c r="E27" s="4540"/>
      <c r="F27" s="4540"/>
      <c r="G27" s="4540"/>
      <c r="H27" s="4540"/>
      <c r="I27" s="4540"/>
      <c r="J27" s="4540"/>
      <c r="K27" s="4541"/>
    </row>
    <row r="28" spans="2:11">
      <c r="B28" s="4539"/>
      <c r="C28" s="4540"/>
      <c r="D28" s="4540"/>
      <c r="E28" s="4540"/>
      <c r="F28" s="4540"/>
      <c r="G28" s="4540"/>
      <c r="H28" s="4540"/>
      <c r="I28" s="4540"/>
      <c r="J28" s="4540"/>
      <c r="K28" s="4541"/>
    </row>
    <row r="29" spans="2:11" ht="13.5" thickBot="1">
      <c r="B29" s="4542"/>
      <c r="C29" s="4543"/>
      <c r="D29" s="4543"/>
      <c r="E29" s="4543"/>
      <c r="F29" s="4543"/>
      <c r="G29" s="4543"/>
      <c r="H29" s="4543"/>
      <c r="I29" s="4543"/>
      <c r="J29" s="4543"/>
      <c r="K29" s="4544"/>
    </row>
    <row r="30" spans="2:11" ht="13.5">
      <c r="B30" s="3345"/>
      <c r="C30" s="3345"/>
      <c r="D30" s="3345"/>
      <c r="E30" s="3345"/>
      <c r="F30" s="3345"/>
      <c r="G30" s="3345"/>
      <c r="H30" s="3345"/>
      <c r="I30" s="3345"/>
      <c r="J30" s="3345"/>
      <c r="K30" s="3345"/>
    </row>
    <row r="31" spans="2:11" ht="14.25" thickBot="1">
      <c r="B31" s="3345"/>
      <c r="C31" s="3345"/>
      <c r="D31" s="3345"/>
      <c r="E31" s="3345"/>
      <c r="F31" s="3345"/>
      <c r="G31" s="3345"/>
      <c r="H31" s="3345"/>
      <c r="I31" s="3345"/>
      <c r="J31" s="3345"/>
      <c r="K31" s="3345"/>
    </row>
    <row r="32" spans="2:11" ht="28.5" customHeight="1">
      <c r="B32" s="3354" t="s">
        <v>2213</v>
      </c>
      <c r="C32" s="2595"/>
      <c r="D32" s="2595"/>
      <c r="E32" s="2595"/>
      <c r="F32" s="3346"/>
      <c r="G32" s="2595"/>
      <c r="H32" s="2595"/>
      <c r="I32" s="2595"/>
      <c r="J32" s="2595"/>
      <c r="K32" s="2596"/>
    </row>
    <row r="33" spans="1:11">
      <c r="B33" s="3351" t="s">
        <v>2206</v>
      </c>
      <c r="C33" s="2399"/>
      <c r="D33" s="2399"/>
      <c r="E33" s="3347">
        <f>Adj_Gross_Inc</f>
        <v>0</v>
      </c>
      <c r="F33" s="2399"/>
      <c r="G33" s="2598" t="s">
        <v>2208</v>
      </c>
      <c r="H33" s="2399"/>
      <c r="I33" s="2399"/>
      <c r="J33" s="2399"/>
      <c r="K33" s="2477"/>
    </row>
    <row r="34" spans="1:11" ht="15">
      <c r="A34" s="2769"/>
      <c r="B34" s="3351" t="s">
        <v>1643</v>
      </c>
      <c r="C34" s="2399"/>
      <c r="D34" s="2399"/>
      <c r="E34" s="3348" t="str">
        <f>Taxable_Inc</f>
        <v/>
      </c>
      <c r="F34" s="3349"/>
      <c r="G34" s="2598" t="s">
        <v>2209</v>
      </c>
      <c r="H34" s="2399"/>
      <c r="I34" s="2399"/>
      <c r="J34" s="2399"/>
      <c r="K34" s="2477"/>
    </row>
    <row r="35" spans="1:11" ht="15">
      <c r="B35" s="3351" t="s">
        <v>2207</v>
      </c>
      <c r="C35" s="2399"/>
      <c r="D35" s="2399"/>
      <c r="E35" s="3348">
        <f>Tot_Tax</f>
        <v>0</v>
      </c>
      <c r="F35" s="3349"/>
      <c r="G35" s="2598" t="s">
        <v>2211</v>
      </c>
      <c r="H35" s="2399"/>
      <c r="I35" s="2399"/>
      <c r="J35" s="2399"/>
      <c r="K35" s="2477"/>
    </row>
    <row r="36" spans="1:11" ht="15">
      <c r="B36" s="3351" t="s">
        <v>2210</v>
      </c>
      <c r="C36" s="2399"/>
      <c r="D36" s="2399"/>
      <c r="E36" s="3348">
        <f>Tot_Payments</f>
        <v>0</v>
      </c>
      <c r="F36" s="3349"/>
      <c r="G36" s="2598" t="s">
        <v>2212</v>
      </c>
      <c r="H36" s="2399"/>
      <c r="I36" s="2399"/>
      <c r="J36" s="2399"/>
      <c r="K36" s="2477"/>
    </row>
    <row r="37" spans="1:11">
      <c r="B37" s="3351" t="str">
        <f>IF(Overpaid&gt;0,"Amount To be Refunded","Amount You Owe")</f>
        <v>Amount You Owe</v>
      </c>
      <c r="C37" s="2399"/>
      <c r="D37" s="2399"/>
      <c r="E37" s="3348">
        <f>IF(Overpaid&gt;0,Overpaid,You_Owe)</f>
        <v>0</v>
      </c>
      <c r="F37" s="2399"/>
      <c r="G37" s="2598" t="str">
        <f>IF(Overpaid&gt;0,"Form 1040, Line 75","Form 1040, Line 78")</f>
        <v>Form 1040, Line 78</v>
      </c>
      <c r="H37" s="2399"/>
      <c r="I37" s="2399"/>
      <c r="J37" s="2399"/>
      <c r="K37" s="2477"/>
    </row>
    <row r="38" spans="1:11">
      <c r="B38" s="3352"/>
      <c r="C38" s="2399"/>
      <c r="D38" s="2399"/>
      <c r="E38" s="2399"/>
      <c r="F38" s="2399"/>
      <c r="G38" s="2399"/>
      <c r="H38" s="2399"/>
      <c r="I38" s="2399"/>
      <c r="J38" s="2399"/>
      <c r="K38" s="2477"/>
    </row>
    <row r="39" spans="1:11">
      <c r="B39" s="3351" t="s">
        <v>2214</v>
      </c>
      <c r="C39" s="2399"/>
      <c r="D39" s="2399"/>
      <c r="E39" s="3350" t="str">
        <f>IF(ISERROR(E35/E34),"---",E35/E34)</f>
        <v>---</v>
      </c>
      <c r="F39" s="2399"/>
      <c r="G39" s="2598" t="s">
        <v>2215</v>
      </c>
      <c r="H39" s="2399"/>
      <c r="I39" s="2399"/>
      <c r="J39" s="2399"/>
      <c r="K39" s="2477"/>
    </row>
    <row r="40" spans="1:11" ht="13.5" thickBot="1">
      <c r="B40" s="3353"/>
      <c r="C40" s="2603"/>
      <c r="D40" s="2603"/>
      <c r="E40" s="2603"/>
      <c r="F40" s="2603"/>
      <c r="G40" s="2603"/>
      <c r="H40" s="2603"/>
      <c r="I40" s="2603"/>
      <c r="J40" s="2603"/>
      <c r="K40" s="2604"/>
    </row>
    <row r="41" spans="1:11" ht="13.5" thickBot="1"/>
    <row r="42" spans="1:11">
      <c r="B42" s="2594"/>
      <c r="C42" s="2595"/>
      <c r="D42" s="2595"/>
      <c r="E42" s="2595"/>
      <c r="F42" s="2595"/>
      <c r="G42" s="2595"/>
      <c r="H42" s="2595"/>
      <c r="I42" s="2595"/>
      <c r="J42" s="2595"/>
      <c r="K42" s="2596"/>
    </row>
    <row r="43" spans="1:11" ht="21.75" customHeight="1">
      <c r="B43" s="4545" t="s">
        <v>2513</v>
      </c>
      <c r="C43" s="4546"/>
      <c r="D43" s="4546"/>
      <c r="E43" s="4546"/>
      <c r="F43" s="4546"/>
      <c r="G43" s="4546"/>
      <c r="H43" s="4546"/>
      <c r="I43" s="4546"/>
      <c r="J43" s="4546"/>
      <c r="K43" s="4547"/>
    </row>
    <row r="44" spans="1:11" ht="21.75" customHeight="1">
      <c r="B44" s="4548"/>
      <c r="C44" s="4546"/>
      <c r="D44" s="4546"/>
      <c r="E44" s="4546"/>
      <c r="F44" s="4546"/>
      <c r="G44" s="4546"/>
      <c r="H44" s="4546"/>
      <c r="I44" s="4546"/>
      <c r="J44" s="4546"/>
      <c r="K44" s="4547"/>
    </row>
    <row r="45" spans="1:11" ht="21.75" customHeight="1">
      <c r="B45" s="4548"/>
      <c r="C45" s="4546"/>
      <c r="D45" s="4546"/>
      <c r="E45" s="4546"/>
      <c r="F45" s="4546"/>
      <c r="G45" s="4546"/>
      <c r="H45" s="4546"/>
      <c r="I45" s="4546"/>
      <c r="J45" s="4546"/>
      <c r="K45" s="4547"/>
    </row>
    <row r="46" spans="1:11" ht="21.75" customHeight="1">
      <c r="B46" s="4548"/>
      <c r="C46" s="4546"/>
      <c r="D46" s="4546"/>
      <c r="E46" s="4546"/>
      <c r="F46" s="4546"/>
      <c r="G46" s="4546"/>
      <c r="H46" s="4546"/>
      <c r="I46" s="4546"/>
      <c r="J46" s="4546"/>
      <c r="K46" s="4547"/>
    </row>
    <row r="47" spans="1:11">
      <c r="B47" s="4548"/>
      <c r="C47" s="4546"/>
      <c r="D47" s="4546"/>
      <c r="E47" s="4546"/>
      <c r="F47" s="4546"/>
      <c r="G47" s="4546"/>
      <c r="H47" s="4546"/>
      <c r="I47" s="4546"/>
      <c r="J47" s="4546"/>
      <c r="K47" s="4547"/>
    </row>
    <row r="48" spans="1:11">
      <c r="B48" s="4549" t="s">
        <v>2512</v>
      </c>
      <c r="C48" s="4546"/>
      <c r="D48" s="4546"/>
      <c r="E48" s="4546"/>
      <c r="F48" s="4546"/>
      <c r="G48" s="4546"/>
      <c r="H48" s="4546"/>
      <c r="I48" s="4546"/>
      <c r="J48" s="4546"/>
      <c r="K48" s="4547"/>
    </row>
    <row r="49" spans="2:11">
      <c r="B49" s="3396"/>
      <c r="C49" s="3397"/>
      <c r="D49" s="3397"/>
      <c r="E49" s="3397"/>
      <c r="F49" s="3397"/>
      <c r="G49" s="3397"/>
      <c r="H49" s="3397"/>
      <c r="I49" s="3397"/>
      <c r="J49" s="3397"/>
      <c r="K49" s="3398"/>
    </row>
    <row r="50" spans="2:11" ht="12.75" customHeight="1">
      <c r="B50" s="4550" t="s">
        <v>2514</v>
      </c>
      <c r="C50" s="4551"/>
      <c r="D50" s="4551"/>
      <c r="E50" s="4551"/>
      <c r="F50" s="4551"/>
      <c r="G50" s="4551"/>
      <c r="H50" s="4551"/>
      <c r="I50" s="4551"/>
      <c r="J50" s="4551"/>
      <c r="K50" s="4552"/>
    </row>
    <row r="51" spans="2:11" ht="13.5" thickBot="1">
      <c r="B51" s="2602"/>
      <c r="C51" s="2603"/>
      <c r="D51" s="2603"/>
      <c r="E51" s="2603"/>
      <c r="F51" s="2603"/>
      <c r="G51" s="2603"/>
      <c r="H51" s="2603"/>
      <c r="I51" s="2603"/>
      <c r="J51" s="2603"/>
      <c r="K51" s="2604"/>
    </row>
  </sheetData>
  <sheetProtection password="F07E" sheet="1" objects="1" scenarios="1"/>
  <mergeCells count="5">
    <mergeCell ref="B21:K29"/>
    <mergeCell ref="B43:K47"/>
    <mergeCell ref="B48:K48"/>
    <mergeCell ref="B50:K50"/>
    <mergeCell ref="B3:K3"/>
  </mergeCells>
  <conditionalFormatting sqref="A34">
    <cfRule type="expression" dxfId="1967" priority="4">
      <formula>IF(Disclaimer,TRUE,FALSE)</formula>
    </cfRule>
  </conditionalFormatting>
  <conditionalFormatting sqref="F34">
    <cfRule type="expression" dxfId="1966" priority="3">
      <formula>IF(Disclaimer,TRUE,FALSE)</formula>
    </cfRule>
  </conditionalFormatting>
  <conditionalFormatting sqref="F35">
    <cfRule type="expression" dxfId="1965" priority="2">
      <formula>IF(Disclaimer,TRUE,FALSE)</formula>
    </cfRule>
  </conditionalFormatting>
  <conditionalFormatting sqref="F36">
    <cfRule type="expression" dxfId="1964" priority="1">
      <formula>IF(Disclaimer,TRUE,FALSE)</formula>
    </cfRule>
  </conditionalFormatting>
  <hyperlinks>
    <hyperlink ref="B48" r:id="rId1"/>
  </hyperlinks>
  <pageMargins left="0.5" right="0.25" top="0.36" bottom="0.28999999999999998" header="0.36" footer="0.21"/>
  <pageSetup orientation="portrait" horizontalDpi="4294967293" verticalDpi="4294967293"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9"/>
  <sheetViews>
    <sheetView topLeftCell="J1" zoomScaleNormal="100" workbookViewId="0">
      <selection activeCell="U10" sqref="U10"/>
    </sheetView>
  </sheetViews>
  <sheetFormatPr defaultRowHeight="12.75"/>
  <cols>
    <col min="1" max="1" width="12.28515625" hidden="1" customWidth="1"/>
    <col min="2" max="2" width="12.5703125" hidden="1" customWidth="1"/>
    <col min="3" max="3" width="11.140625" hidden="1" customWidth="1"/>
    <col min="4" max="4" width="13.28515625" hidden="1" customWidth="1"/>
    <col min="5" max="5" width="12.85546875" hidden="1" customWidth="1"/>
    <col min="6" max="6" width="10.28515625" hidden="1" customWidth="1"/>
    <col min="7" max="7" width="10.5703125" hidden="1" customWidth="1"/>
    <col min="8" max="8" width="11.42578125" hidden="1" customWidth="1"/>
    <col min="9" max="9" width="10.140625" hidden="1" customWidth="1"/>
    <col min="10" max="10" width="3.140625" customWidth="1"/>
    <col min="11" max="11" width="8.140625" style="64" customWidth="1"/>
    <col min="12" max="12" width="2.7109375" style="64" customWidth="1"/>
    <col min="13" max="13" width="8.85546875" style="64" customWidth="1"/>
    <col min="14" max="14" width="13.85546875" style="64" customWidth="1"/>
    <col min="15" max="15" width="10.140625" style="64" customWidth="1"/>
    <col min="16" max="16" width="13.5703125" style="64" customWidth="1"/>
    <col min="17" max="17" width="15.140625" style="64" customWidth="1"/>
    <col min="18" max="18" width="3.28515625" style="64" customWidth="1"/>
    <col min="19" max="19" width="12.85546875" style="64" customWidth="1"/>
    <col min="20" max="20" width="10.28515625" style="64" customWidth="1"/>
    <col min="21" max="21" width="10.5703125" style="64" customWidth="1"/>
    <col min="22" max="22" width="2.7109375" style="64" customWidth="1"/>
    <col min="23" max="23" width="3.5703125" customWidth="1"/>
    <col min="24" max="24" width="11.7109375" customWidth="1"/>
  </cols>
  <sheetData>
    <row r="1" spans="1:22" ht="13.5" customHeight="1" thickBot="1">
      <c r="A1" s="10"/>
      <c r="B1" s="64"/>
      <c r="C1" s="64"/>
      <c r="D1" s="64"/>
      <c r="E1" s="64"/>
      <c r="F1" s="64"/>
      <c r="G1" s="64"/>
      <c r="H1" s="64"/>
      <c r="I1" s="64"/>
      <c r="J1" s="64"/>
    </row>
    <row r="2" spans="1:22" ht="18.75" customHeight="1">
      <c r="A2" s="64"/>
      <c r="B2" s="64"/>
      <c r="C2" s="64"/>
      <c r="D2" s="64"/>
      <c r="E2" s="64"/>
      <c r="F2" s="64"/>
      <c r="G2" s="64"/>
      <c r="H2" s="64"/>
      <c r="I2" s="64"/>
      <c r="J2" s="64"/>
      <c r="K2" s="1354"/>
      <c r="L2" s="1426"/>
      <c r="M2" s="1350"/>
      <c r="N2" s="1350"/>
      <c r="O2" s="1350"/>
      <c r="P2" s="1350"/>
      <c r="Q2" s="1350"/>
      <c r="R2" s="1350"/>
      <c r="S2" s="1355"/>
      <c r="T2" s="1355"/>
      <c r="U2" s="1350"/>
      <c r="V2" s="134"/>
    </row>
    <row r="3" spans="1:22" ht="14.25" customHeight="1">
      <c r="F3" s="64"/>
      <c r="G3" s="64"/>
      <c r="H3" s="64"/>
      <c r="K3" s="1472" t="s">
        <v>3119</v>
      </c>
      <c r="L3" s="419"/>
      <c r="M3" s="344"/>
      <c r="N3" s="344"/>
      <c r="O3" s="344"/>
      <c r="P3" s="344"/>
      <c r="Q3" s="344"/>
      <c r="R3" s="344"/>
      <c r="S3" s="1583"/>
      <c r="T3" s="3649" t="s">
        <v>290</v>
      </c>
      <c r="U3" s="344"/>
      <c r="V3" s="135"/>
    </row>
    <row r="4" spans="1:22" ht="14.25" customHeight="1">
      <c r="A4" s="64"/>
      <c r="B4" s="64"/>
      <c r="C4" s="64"/>
      <c r="D4" s="64"/>
      <c r="E4" s="64"/>
      <c r="F4" s="64"/>
      <c r="G4" s="64"/>
      <c r="H4" s="64"/>
      <c r="I4" s="64"/>
      <c r="J4" s="64"/>
      <c r="K4" s="1430"/>
      <c r="L4" s="68" t="s">
        <v>348</v>
      </c>
      <c r="M4" s="55"/>
      <c r="N4" s="344"/>
      <c r="O4" s="1351"/>
      <c r="P4" s="1353"/>
      <c r="Q4" s="1584"/>
      <c r="R4" s="1585"/>
      <c r="S4" s="1585"/>
      <c r="T4" s="1585"/>
      <c r="U4" s="1586"/>
      <c r="V4" s="135"/>
    </row>
    <row r="5" spans="1:22" ht="14.25" customHeight="1">
      <c r="A5" s="64"/>
      <c r="B5" s="64"/>
      <c r="C5" s="64"/>
      <c r="D5" s="64"/>
      <c r="E5" s="64"/>
      <c r="F5" s="64"/>
      <c r="G5" s="64"/>
      <c r="H5" s="64"/>
      <c r="I5" s="64"/>
      <c r="J5" s="64"/>
      <c r="K5" s="3668" t="s">
        <v>72</v>
      </c>
      <c r="L5" s="344" t="s">
        <v>1182</v>
      </c>
      <c r="M5" s="55"/>
      <c r="N5" s="344"/>
      <c r="O5" s="1351"/>
      <c r="P5" s="1353"/>
      <c r="Q5" s="1584"/>
      <c r="R5" s="1585"/>
      <c r="S5" s="1585"/>
      <c r="T5" s="1585"/>
      <c r="U5" s="1586"/>
      <c r="V5" s="135"/>
    </row>
    <row r="6" spans="1:22" ht="14.25" customHeight="1">
      <c r="A6" s="64"/>
      <c r="B6" s="64"/>
      <c r="C6" s="64"/>
      <c r="D6" s="64"/>
      <c r="E6" s="64"/>
      <c r="F6" s="64"/>
      <c r="G6" s="64"/>
      <c r="H6" s="64"/>
      <c r="I6" s="64"/>
      <c r="J6" s="64"/>
      <c r="K6" s="3668" t="s">
        <v>72</v>
      </c>
      <c r="L6" s="178" t="s">
        <v>3121</v>
      </c>
      <c r="M6" s="55"/>
      <c r="N6" s="344"/>
      <c r="O6" s="1351"/>
      <c r="P6" s="1353"/>
      <c r="Q6" s="1584"/>
      <c r="R6" s="1585"/>
      <c r="S6" s="1585"/>
      <c r="T6" s="1585"/>
      <c r="U6" s="1586"/>
      <c r="V6" s="135"/>
    </row>
    <row r="7" spans="1:22" ht="14.25" customHeight="1">
      <c r="A7" s="64"/>
      <c r="B7" s="64"/>
      <c r="C7" s="64"/>
      <c r="D7" s="64"/>
      <c r="E7" s="64"/>
      <c r="F7" s="64"/>
      <c r="G7" s="64"/>
      <c r="H7" s="64"/>
      <c r="I7" s="64"/>
      <c r="J7" s="64"/>
      <c r="K7" s="3669"/>
      <c r="L7" s="2464" t="s">
        <v>3120</v>
      </c>
      <c r="M7" s="3670"/>
      <c r="N7" s="401"/>
      <c r="O7" s="3671"/>
      <c r="P7" s="3680" t="str">
        <f>IF(U10="","",IF(NumFileStatusBoxes=0,"Indicate filing status.",IF(NumFileStatusBoxes&gt;1,"Too many filing status boxes are checked.",IF(Form2555_Used,"Use Pub. 974 to figure your deduction if you file Form 2555.",IF(File_Marr_Sep&lt;&gt;"","Cannot claim deduction if filing - Married Filing Separate return.",IF(OR(DependentYOU&lt;&gt;"",DependentSPOUSE&lt;&gt;""),"Cannot claim deduction if you (or spouse) are claimed as a dependent.",""))))))</f>
        <v/>
      </c>
      <c r="Q7" s="3672"/>
      <c r="R7" s="3673"/>
      <c r="S7" s="3673"/>
      <c r="T7" s="3673"/>
      <c r="U7" s="3674"/>
      <c r="V7" s="3675"/>
    </row>
    <row r="8" spans="1:22" ht="14.25" customHeight="1">
      <c r="A8" s="64"/>
      <c r="B8" s="64"/>
      <c r="C8" s="64"/>
      <c r="D8" s="64"/>
      <c r="E8" s="64"/>
      <c r="F8" s="64"/>
      <c r="G8" s="64"/>
      <c r="H8" s="64"/>
      <c r="I8" s="64"/>
      <c r="J8" s="64"/>
      <c r="K8" s="1430"/>
      <c r="L8" s="344"/>
      <c r="M8" s="55"/>
      <c r="N8" s="344"/>
      <c r="O8" s="1351"/>
      <c r="P8" s="1353"/>
      <c r="Q8" s="1584"/>
      <c r="R8" s="1585"/>
      <c r="S8" s="1585"/>
      <c r="T8" s="1585"/>
      <c r="U8" s="1586" t="b">
        <f>OR(U10="",NumFileStatusBoxes&lt;&gt;1,File_Marr_Sep&lt;&gt;"",Form2555_Used,DependentYOU&lt;&gt;"",DependentSPOUSE&lt;&gt;"")</f>
        <v>1</v>
      </c>
      <c r="V8" s="135"/>
    </row>
    <row r="9" spans="1:22" ht="14.25" customHeight="1">
      <c r="A9" s="64"/>
      <c r="B9" s="64"/>
      <c r="C9" s="64"/>
      <c r="D9" s="64"/>
      <c r="E9" s="64"/>
      <c r="F9" s="64"/>
      <c r="G9" s="64"/>
      <c r="H9" s="64"/>
      <c r="I9" s="64"/>
      <c r="J9" s="64"/>
      <c r="K9" s="1429" t="s">
        <v>476</v>
      </c>
      <c r="L9" s="1427"/>
      <c r="M9" s="178" t="str">
        <f>"Enter the total interest you paid in "&amp;TaxYear&amp;" on qualified student loans (see the instructions for line 33). "</f>
        <v xml:space="preserve">Enter the total interest you paid in 2016 on qualified student loans (see the instructions for line 33). </v>
      </c>
      <c r="N9" s="344"/>
      <c r="O9" s="344"/>
      <c r="P9" s="1353"/>
      <c r="Q9" s="1585"/>
      <c r="R9" s="1585"/>
      <c r="S9" s="1586"/>
      <c r="T9" s="1586"/>
      <c r="U9" s="1586"/>
      <c r="V9" s="135"/>
    </row>
    <row r="10" spans="1:22" ht="14.25" customHeight="1">
      <c r="A10" s="64"/>
      <c r="B10" s="64"/>
      <c r="C10" s="64"/>
      <c r="D10" s="64"/>
      <c r="E10" s="64"/>
      <c r="F10" s="64"/>
      <c r="G10" s="64"/>
      <c r="H10" s="64"/>
      <c r="I10" s="64"/>
      <c r="J10" s="64"/>
      <c r="K10" s="1429"/>
      <c r="L10" s="1427"/>
      <c r="M10" s="178" t="str">
        <f>"Do not enter more than "&amp;TEXT(U11,"$0,000")</f>
        <v>Do not enter more than $2,500</v>
      </c>
      <c r="N10" s="344"/>
      <c r="O10" s="344"/>
      <c r="P10" s="1353"/>
      <c r="Q10" s="415"/>
      <c r="R10" s="415"/>
      <c r="S10" s="21"/>
      <c r="T10" s="1571" t="str">
        <f>".   .   .   .   .   .   .   .   .   .   .   .   .   .   .   .   .   .   .   .   .   .   .   .   .   1."</f>
        <v>.   .   .   .   .   .   .   .   .   .   .   .   .   .   .   .   .   .   .   .   .   .   .   .   .   1.</v>
      </c>
      <c r="U10" s="3682"/>
      <c r="V10" s="135"/>
    </row>
    <row r="11" spans="1:22" ht="14.25" customHeight="1">
      <c r="A11" s="64"/>
      <c r="B11" s="64"/>
      <c r="C11" s="64"/>
      <c r="D11" s="64"/>
      <c r="E11" s="64"/>
      <c r="F11" s="64"/>
      <c r="G11" s="64"/>
      <c r="H11" s="64"/>
      <c r="I11" s="64"/>
      <c r="J11" s="64"/>
      <c r="K11" s="1429"/>
      <c r="L11" s="68"/>
      <c r="M11" s="68"/>
      <c r="N11" s="44"/>
      <c r="O11" s="44"/>
      <c r="P11" s="44"/>
      <c r="Q11" s="1585"/>
      <c r="R11" s="1585"/>
      <c r="S11" s="1586"/>
      <c r="T11" s="1586" t="b">
        <f>IF(U10&gt;U11,TRUE,FALSE)</f>
        <v>0</v>
      </c>
      <c r="U11" s="1586">
        <v>2500</v>
      </c>
      <c r="V11" s="135"/>
    </row>
    <row r="12" spans="1:22" ht="14.25" customHeight="1">
      <c r="A12" s="64"/>
      <c r="B12" s="64"/>
      <c r="C12" s="64"/>
      <c r="D12" s="64"/>
      <c r="E12" s="64"/>
      <c r="F12" s="64"/>
      <c r="G12" s="64"/>
      <c r="H12" s="64"/>
      <c r="I12" s="64"/>
      <c r="J12" s="64"/>
      <c r="K12" s="2695" t="s">
        <v>0</v>
      </c>
      <c r="L12" s="1427"/>
      <c r="M12" s="178" t="s">
        <v>3122</v>
      </c>
      <c r="N12" s="344"/>
      <c r="O12" s="344"/>
      <c r="P12" s="1353"/>
      <c r="Q12" s="415"/>
      <c r="R12" s="1571" t="str">
        <f>" .   .   .   .   .   .   .   .   .   .   .   .   2."</f>
        <v xml:space="preserve"> .   .   .   .   .   .   .   .   .   .   .   .   2.</v>
      </c>
      <c r="S12" s="3659" t="str">
        <f>IF(OR(T11,Line33_NOT),"",Total_Income)</f>
        <v/>
      </c>
      <c r="T12" s="1571"/>
      <c r="U12" s="1269"/>
      <c r="V12" s="135"/>
    </row>
    <row r="13" spans="1:22" ht="14.25" customHeight="1">
      <c r="A13" s="64"/>
      <c r="B13" s="64"/>
      <c r="C13" s="64"/>
      <c r="D13" s="64"/>
      <c r="E13" s="64"/>
      <c r="F13" s="64"/>
      <c r="G13" s="64"/>
      <c r="H13" s="64"/>
      <c r="I13" s="64"/>
      <c r="J13" s="64"/>
      <c r="K13" s="1429"/>
      <c r="L13" s="68"/>
      <c r="M13" s="68"/>
      <c r="N13" s="44"/>
      <c r="O13" s="44"/>
      <c r="P13" s="44"/>
      <c r="Q13" s="1585"/>
      <c r="R13" s="1585"/>
      <c r="S13" s="1586"/>
      <c r="T13" s="1586"/>
      <c r="U13" s="1586"/>
      <c r="V13" s="135"/>
    </row>
    <row r="14" spans="1:22" ht="14.25" customHeight="1">
      <c r="A14" s="64"/>
      <c r="B14" s="64"/>
      <c r="C14" s="64"/>
      <c r="D14" s="64"/>
      <c r="E14" s="64"/>
      <c r="F14" s="64"/>
      <c r="G14" s="64"/>
      <c r="H14" s="64"/>
      <c r="I14" s="64"/>
      <c r="J14" s="64"/>
      <c r="K14" s="2695" t="s">
        <v>1</v>
      </c>
      <c r="L14" s="68"/>
      <c r="M14" s="178" t="s">
        <v>3125</v>
      </c>
      <c r="N14" s="44"/>
      <c r="O14" s="44"/>
      <c r="P14" s="44"/>
      <c r="Q14" s="1585"/>
      <c r="R14" s="1585"/>
      <c r="S14" s="1586"/>
      <c r="T14" s="1586"/>
      <c r="U14" s="1586"/>
      <c r="V14" s="135"/>
    </row>
    <row r="15" spans="1:22" ht="14.25" customHeight="1">
      <c r="A15" s="64"/>
      <c r="B15" s="64"/>
      <c r="C15" s="64"/>
      <c r="D15" s="64"/>
      <c r="E15" s="64"/>
      <c r="F15" s="64"/>
      <c r="G15" s="64"/>
      <c r="H15" s="64"/>
      <c r="I15" s="64"/>
      <c r="J15" s="64"/>
      <c r="K15" s="1429"/>
      <c r="L15" s="68"/>
      <c r="M15" s="178" t="s">
        <v>3124</v>
      </c>
      <c r="N15" s="44"/>
      <c r="O15" s="44"/>
      <c r="P15" s="44"/>
      <c r="Q15" s="1585"/>
      <c r="R15" s="1571" t="str">
        <f>".   .   3."</f>
        <v>.   .   3.</v>
      </c>
      <c r="S15" s="3659" t="str">
        <f>IF(OR(T11,Line33_NOT),"",SUM('1040'!V56:Y65,Dotted_Line))</f>
        <v/>
      </c>
      <c r="T15" s="1586"/>
      <c r="U15" s="1586"/>
      <c r="V15" s="135"/>
    </row>
    <row r="16" spans="1:22" ht="14.25" customHeight="1">
      <c r="A16" s="64"/>
      <c r="B16" s="64"/>
      <c r="C16" s="64"/>
      <c r="D16" s="64"/>
      <c r="E16" s="64"/>
      <c r="F16" s="64"/>
      <c r="G16" s="64"/>
      <c r="H16" s="64"/>
      <c r="I16" s="64"/>
      <c r="J16" s="64"/>
      <c r="K16" s="1429"/>
      <c r="L16" s="68"/>
      <c r="M16" s="68"/>
      <c r="N16" s="44"/>
      <c r="O16" s="44"/>
      <c r="P16" s="44"/>
      <c r="Q16" s="1585"/>
      <c r="R16" s="1585"/>
      <c r="S16" s="1586"/>
      <c r="T16" s="1586"/>
      <c r="U16" s="1586"/>
      <c r="V16" s="135"/>
    </row>
    <row r="17" spans="1:22" ht="14.25" customHeight="1">
      <c r="A17" s="64"/>
      <c r="B17" s="64"/>
      <c r="C17" s="64"/>
      <c r="D17" s="64"/>
      <c r="E17" s="64"/>
      <c r="I17" s="64"/>
      <c r="J17" s="64"/>
      <c r="K17" s="2695" t="s">
        <v>642</v>
      </c>
      <c r="L17" s="1427"/>
      <c r="M17" s="178" t="s">
        <v>3123</v>
      </c>
      <c r="N17" s="344"/>
      <c r="O17" s="344"/>
      <c r="P17" s="1353"/>
      <c r="Q17" s="415"/>
      <c r="R17" s="1571" t="str">
        <f>" .   .   .   .   .   .   .   .   .   .   .   .   4."</f>
        <v xml:space="preserve"> .   .   .   .   .   .   .   .   .   .   .   .   4.</v>
      </c>
      <c r="S17" s="3659" t="str">
        <f>IF(OR(T11,Line33_NOT),"",SUM(S12,-S15))</f>
        <v/>
      </c>
      <c r="T17" s="1571"/>
      <c r="U17" s="1269"/>
      <c r="V17" s="135"/>
    </row>
    <row r="18" spans="1:22" ht="14.25" customHeight="1">
      <c r="A18" s="64"/>
      <c r="B18" s="64"/>
      <c r="C18" s="64"/>
      <c r="D18" s="64"/>
      <c r="E18" s="64"/>
      <c r="F18" s="64"/>
      <c r="G18" s="64"/>
      <c r="H18" s="64"/>
      <c r="I18" s="64"/>
      <c r="J18" s="64"/>
      <c r="K18" s="1429"/>
      <c r="L18" s="68"/>
      <c r="M18" s="68"/>
      <c r="N18" s="44"/>
      <c r="O18" s="44"/>
      <c r="P18" s="44"/>
      <c r="Q18" s="1585"/>
      <c r="R18" s="1585"/>
      <c r="S18" s="1586"/>
      <c r="T18" s="1586"/>
      <c r="U18" s="1586"/>
      <c r="V18" s="135"/>
    </row>
    <row r="19" spans="1:22" ht="14.25" customHeight="1">
      <c r="A19" s="64"/>
      <c r="B19" s="64"/>
      <c r="C19" s="64"/>
      <c r="D19" s="64"/>
      <c r="E19" s="64"/>
      <c r="F19" s="64"/>
      <c r="G19" s="64"/>
      <c r="H19" s="64"/>
      <c r="I19" s="64"/>
      <c r="J19" s="64"/>
      <c r="K19" s="2695" t="s">
        <v>53</v>
      </c>
      <c r="L19" s="68"/>
      <c r="M19" s="178" t="s">
        <v>314</v>
      </c>
      <c r="N19" s="44"/>
      <c r="O19" s="44"/>
      <c r="P19" s="44"/>
      <c r="Q19" s="1585"/>
      <c r="R19" s="1585"/>
      <c r="S19" s="1586"/>
      <c r="T19" s="1586"/>
      <c r="U19" s="1586"/>
      <c r="V19" s="135"/>
    </row>
    <row r="20" spans="1:22" ht="14.25" customHeight="1">
      <c r="A20" s="64"/>
      <c r="B20" s="64"/>
      <c r="C20" s="64"/>
      <c r="D20" s="64"/>
      <c r="E20" s="64"/>
      <c r="F20" s="64"/>
      <c r="G20" s="64"/>
      <c r="H20" s="64"/>
      <c r="I20" s="64"/>
      <c r="J20" s="64"/>
      <c r="K20" s="1429"/>
      <c r="L20" s="68"/>
      <c r="M20" s="178" t="str">
        <f>"Single, head of household, or qualifying widow(er) — "&amp;TEXT(U20,"$0,000")</f>
        <v>Single, head of household, or qualifying widow(er) — $65,000</v>
      </c>
      <c r="N20" s="44"/>
      <c r="O20" s="44"/>
      <c r="P20" s="44"/>
      <c r="Q20" s="74"/>
      <c r="R20" s="1571" t="str">
        <f>".   .   .   .   5."</f>
        <v>.   .   .   .   5.</v>
      </c>
      <c r="S20" s="3659" t="str">
        <f>IF(Line33_NOT,"",IF(NumFileStatusBoxes&lt;&gt;1,"Filing status?",IF(OR(T11,Line33_NOT),"",IF(File_Marr_Joint&lt;&gt;"",U21,IF(OR(File_Single&lt;&gt;"",File_Head&lt;&gt;"",File_Qual_Widow&lt;&gt;""),U20,IF(File_Marr_Sep&lt;&gt;"","","Filing status?"))))))</f>
        <v/>
      </c>
      <c r="T20" s="1586"/>
      <c r="U20" s="1586">
        <v>65000</v>
      </c>
      <c r="V20" s="135"/>
    </row>
    <row r="21" spans="1:22" ht="14.25" customHeight="1">
      <c r="A21" s="64"/>
      <c r="B21" s="64"/>
      <c r="C21" s="64"/>
      <c r="D21" s="64"/>
      <c r="E21" s="64"/>
      <c r="F21" s="64"/>
      <c r="G21" s="64"/>
      <c r="H21" s="64"/>
      <c r="I21" s="64"/>
      <c r="J21" s="64"/>
      <c r="K21" s="1429"/>
      <c r="L21" s="68"/>
      <c r="M21" s="1509" t="str">
        <f>"Married filing jointly — "&amp;TEXT(U21,"$0,000")</f>
        <v>Married filing jointly — $130,000</v>
      </c>
      <c r="N21" s="44"/>
      <c r="O21" s="1509"/>
      <c r="P21" s="44"/>
      <c r="Q21" s="1509"/>
      <c r="R21" s="1585"/>
      <c r="S21" s="1586"/>
      <c r="T21" s="1586"/>
      <c r="U21" s="3676">
        <v>130000</v>
      </c>
      <c r="V21" s="135"/>
    </row>
    <row r="22" spans="1:22" ht="25.5" customHeight="1">
      <c r="A22" s="64"/>
      <c r="B22" s="64"/>
      <c r="C22" s="64"/>
      <c r="D22" s="64"/>
      <c r="E22" s="64"/>
      <c r="F22" s="64"/>
      <c r="G22" s="64"/>
      <c r="H22" s="64"/>
      <c r="I22" s="64"/>
      <c r="J22" s="64"/>
      <c r="K22" s="2695" t="s">
        <v>122</v>
      </c>
      <c r="L22" s="68"/>
      <c r="M22" s="178" t="s">
        <v>1209</v>
      </c>
      <c r="N22" s="44"/>
      <c r="O22" s="44"/>
      <c r="P22" s="44"/>
      <c r="Q22" s="1585"/>
      <c r="R22" s="1585"/>
      <c r="S22" s="1586" t="b">
        <f>S17&gt;S20</f>
        <v>0</v>
      </c>
      <c r="T22" s="1586"/>
      <c r="U22" s="1586"/>
      <c r="V22" s="135"/>
    </row>
    <row r="23" spans="1:22" ht="14.25" customHeight="1">
      <c r="A23" s="64"/>
      <c r="B23" s="64"/>
      <c r="C23" s="64"/>
      <c r="D23" s="64"/>
      <c r="E23" s="64"/>
      <c r="F23" s="64"/>
      <c r="G23" s="64"/>
      <c r="H23" s="64"/>
      <c r="I23" s="64"/>
      <c r="J23" s="64"/>
      <c r="K23" s="1429"/>
      <c r="L23" s="68"/>
      <c r="M23" s="68"/>
      <c r="N23" s="44"/>
      <c r="O23" s="44"/>
      <c r="P23" s="44"/>
      <c r="Q23" s="1585"/>
      <c r="R23" s="1585"/>
      <c r="S23" s="1586"/>
      <c r="T23" s="1586"/>
      <c r="U23" s="1586"/>
      <c r="V23" s="135"/>
    </row>
    <row r="24" spans="1:22" ht="14.25" customHeight="1">
      <c r="A24" s="64">
        <v>1</v>
      </c>
      <c r="B24" s="1473" t="s">
        <v>2516</v>
      </c>
      <c r="C24" s="64"/>
      <c r="D24" s="64"/>
      <c r="E24" s="64"/>
      <c r="F24" s="64"/>
      <c r="G24" s="64"/>
      <c r="H24" s="64"/>
      <c r="I24" s="64"/>
      <c r="J24" s="64"/>
      <c r="K24" s="1429"/>
      <c r="L24" s="3660" t="str">
        <f>IF(OR(NumFileStatusBoxes&lt;&gt;1,T11,Line33_NOT),"",IF(S22,"","X"))</f>
        <v/>
      </c>
      <c r="M24" s="68" t="s">
        <v>1613</v>
      </c>
      <c r="N24" s="178" t="s">
        <v>3126</v>
      </c>
      <c r="O24" s="44"/>
      <c r="P24" s="44"/>
      <c r="Q24" s="1585"/>
      <c r="R24" s="1585"/>
      <c r="S24" s="1586"/>
      <c r="T24" s="1586"/>
      <c r="U24" s="1586"/>
      <c r="V24" s="135"/>
    </row>
    <row r="25" spans="1:22" ht="14.25" customHeight="1">
      <c r="A25" s="64">
        <v>2</v>
      </c>
      <c r="B25" s="1473" t="s">
        <v>2517</v>
      </c>
      <c r="C25" s="64"/>
      <c r="D25" s="64"/>
      <c r="E25" s="64"/>
      <c r="F25" s="64"/>
      <c r="G25" s="64"/>
      <c r="H25" s="64"/>
      <c r="I25" s="64"/>
      <c r="J25" s="64"/>
      <c r="K25" s="1429"/>
      <c r="L25" s="68"/>
      <c r="M25" s="68"/>
      <c r="N25" s="44"/>
      <c r="O25" s="44"/>
      <c r="P25" s="44"/>
      <c r="Q25" s="1585"/>
      <c r="R25" s="1585"/>
      <c r="S25" s="1586"/>
      <c r="T25" s="1586"/>
      <c r="U25" s="1586"/>
      <c r="V25" s="135"/>
    </row>
    <row r="26" spans="1:22" ht="14.25" customHeight="1">
      <c r="A26" s="64">
        <v>3</v>
      </c>
      <c r="B26" s="1473" t="s">
        <v>2518</v>
      </c>
      <c r="C26" s="64"/>
      <c r="D26" s="64"/>
      <c r="E26" s="64"/>
      <c r="I26" s="64"/>
      <c r="J26" s="64"/>
      <c r="K26" s="1429"/>
      <c r="L26" s="3660" t="str">
        <f>IF(OR(NumFileStatusBoxes&lt;&gt;1,T11,Line33_NOT),"",IF(S22,"X",""))</f>
        <v/>
      </c>
      <c r="M26" s="68" t="s">
        <v>668</v>
      </c>
      <c r="N26" s="178" t="s">
        <v>3127</v>
      </c>
      <c r="O26" s="44"/>
      <c r="P26" s="44"/>
      <c r="Q26" s="1566"/>
      <c r="R26" s="1571" t="str">
        <f>" .   .   .   .   .   .   .   .   .   .   .   .   6."</f>
        <v xml:space="preserve"> .   .   .   .   .   .   .   .   .   .   .   .   6.</v>
      </c>
      <c r="S26" s="3681" t="str">
        <f>IF(OR(NumFileStatusBoxes&lt;&gt;1,T11,Line33_NOT,L24="X"),"",SUM(S17,-S20))</f>
        <v/>
      </c>
      <c r="T26" s="1571"/>
      <c r="U26" s="2694"/>
      <c r="V26" s="135"/>
    </row>
    <row r="27" spans="1:22" ht="14.25" customHeight="1">
      <c r="A27" s="64">
        <v>4</v>
      </c>
      <c r="B27" s="1473" t="s">
        <v>2519</v>
      </c>
      <c r="C27" s="64"/>
      <c r="D27" s="64"/>
      <c r="E27" s="64"/>
      <c r="I27" s="64"/>
      <c r="J27" s="64"/>
      <c r="K27" s="1429"/>
      <c r="L27" s="1427"/>
      <c r="M27" s="344"/>
      <c r="N27" s="344"/>
      <c r="O27" s="344"/>
      <c r="P27" s="1353"/>
      <c r="Q27" s="415"/>
      <c r="R27" s="415"/>
      <c r="S27" s="21"/>
      <c r="T27" s="44"/>
      <c r="U27" s="21">
        <v>15000</v>
      </c>
      <c r="V27" s="135"/>
    </row>
    <row r="28" spans="1:22" ht="14.25" customHeight="1">
      <c r="A28" s="64">
        <v>5</v>
      </c>
      <c r="B28" s="1473" t="s">
        <v>2245</v>
      </c>
      <c r="C28" s="64"/>
      <c r="D28" s="64"/>
      <c r="E28" s="64"/>
      <c r="I28" s="64"/>
      <c r="J28" s="64"/>
      <c r="K28" s="2695" t="s">
        <v>123</v>
      </c>
      <c r="L28" s="68"/>
      <c r="M28" s="178" t="str">
        <f>"Divide line 6 by "&amp;TEXT(U27,"$0,000")&amp;" ("&amp;TEXT(U28,"$0,000")&amp;" if married filing jointly). Enter the result as a decimal"</f>
        <v>Divide line 6 by $15,000 ($30,000 if married filing jointly). Enter the result as a decimal</v>
      </c>
      <c r="N28" s="178"/>
      <c r="O28" s="44"/>
      <c r="P28" s="44"/>
      <c r="Q28" s="1585"/>
      <c r="R28" s="1585"/>
      <c r="S28" s="1586"/>
      <c r="T28" s="1586"/>
      <c r="U28" s="1586">
        <v>30000</v>
      </c>
      <c r="V28" s="135"/>
    </row>
    <row r="29" spans="1:22" ht="14.25" customHeight="1">
      <c r="A29" s="64">
        <v>6</v>
      </c>
      <c r="B29" s="3400" t="s">
        <v>2520</v>
      </c>
      <c r="C29" s="64"/>
      <c r="D29" s="64"/>
      <c r="E29" s="64"/>
      <c r="I29" s="64"/>
      <c r="J29" s="64"/>
      <c r="K29" s="1429"/>
      <c r="L29" s="1427"/>
      <c r="M29" s="178" t="s">
        <v>3128</v>
      </c>
      <c r="N29" s="344"/>
      <c r="O29" s="344"/>
      <c r="P29" s="1353"/>
      <c r="Q29" s="415"/>
      <c r="R29" s="415"/>
      <c r="S29" s="21"/>
      <c r="T29" s="1571" t="str">
        <f>".   .   .   .   .   .   .   .   7."</f>
        <v>.   .   .   .   .   .   .   .   7.</v>
      </c>
      <c r="U29" s="3683" t="str">
        <f>IF(OR(NumFileStatusBoxes&lt;&gt;1,T11,Line33_NOT,L24="X"),"",IF(File_Marr_Joint&lt;&gt;"",Q30,P30))</f>
        <v/>
      </c>
      <c r="V29" s="135"/>
    </row>
    <row r="30" spans="1:22" ht="14.25" customHeight="1">
      <c r="A30" s="64">
        <v>7</v>
      </c>
      <c r="B30" s="3400" t="s">
        <v>2521</v>
      </c>
      <c r="C30" s="64"/>
      <c r="D30" s="64"/>
      <c r="E30" s="64"/>
      <c r="I30" s="64"/>
      <c r="J30" s="64"/>
      <c r="K30" s="1429"/>
      <c r="L30" s="1427"/>
      <c r="M30" s="344"/>
      <c r="N30" s="344"/>
      <c r="O30" s="344"/>
      <c r="P30" s="3684" t="e">
        <f>IF(ROUND(S26/U27,3)&gt;1,1,ROUND(S26/U27,3))</f>
        <v>#VALUE!</v>
      </c>
      <c r="Q30" s="3684" t="e">
        <f>IF(ROUND(S26/U28,3)&gt;1,1,ROUND(S26/U28,3))</f>
        <v>#VALUE!</v>
      </c>
      <c r="R30" s="415"/>
      <c r="S30" s="21"/>
      <c r="T30" s="44"/>
      <c r="U30" s="21"/>
      <c r="V30" s="135"/>
    </row>
    <row r="31" spans="1:22" ht="14.25" customHeight="1">
      <c r="A31" s="64">
        <v>8</v>
      </c>
      <c r="B31" s="3400" t="s">
        <v>2522</v>
      </c>
      <c r="C31" s="64"/>
      <c r="D31" s="64"/>
      <c r="E31" s="64"/>
      <c r="I31" s="64"/>
      <c r="J31" s="64"/>
      <c r="K31" s="2695" t="s">
        <v>338</v>
      </c>
      <c r="L31" s="68"/>
      <c r="M31" s="178" t="s">
        <v>3129</v>
      </c>
      <c r="N31" s="44"/>
      <c r="O31" s="44"/>
      <c r="P31" s="44"/>
      <c r="Q31" s="1585"/>
      <c r="R31" s="1585"/>
      <c r="S31" s="1586"/>
      <c r="T31" s="1571" t="str">
        <f>".   .   .   .   .   .   .   .   .   .   .   .   .   .   .   .   .   .   .   .   .   .   .   .   .   .   .   .   .   8."</f>
        <v>.   .   .   .   .   .   .   .   .   .   .   .   .   .   .   .   .   .   .   .   .   .   .   .   .   .   .   .   .   8.</v>
      </c>
      <c r="U31" s="3659" t="str">
        <f>IF(OR(NumFileStatusBoxes&lt;&gt;1,T11,Line33_NOT),"",IF(L24="X",0,ROUND(U10*U29,0)))</f>
        <v/>
      </c>
      <c r="V31" s="135"/>
    </row>
    <row r="32" spans="1:22" ht="14.25" customHeight="1">
      <c r="A32" s="64">
        <v>9</v>
      </c>
      <c r="B32" s="1473" t="s">
        <v>2523</v>
      </c>
      <c r="C32" s="64"/>
      <c r="D32" s="64"/>
      <c r="E32" s="64"/>
      <c r="I32" s="64"/>
      <c r="J32" s="64"/>
      <c r="K32" s="1429"/>
      <c r="L32" s="1427"/>
      <c r="M32" s="344"/>
      <c r="N32" s="344"/>
      <c r="O32" s="344"/>
      <c r="P32" s="1353"/>
      <c r="Q32" s="415"/>
      <c r="R32" s="415"/>
      <c r="S32" s="21"/>
      <c r="T32" s="44"/>
      <c r="U32" s="21"/>
      <c r="V32" s="135"/>
    </row>
    <row r="33" spans="1:22" ht="14.25" customHeight="1">
      <c r="A33" s="64">
        <v>10</v>
      </c>
      <c r="B33" s="1473" t="s">
        <v>2524</v>
      </c>
      <c r="C33" s="64"/>
      <c r="D33" s="64"/>
      <c r="E33" s="64"/>
      <c r="I33" s="64"/>
      <c r="J33" s="64"/>
      <c r="K33" s="2695" t="s">
        <v>339</v>
      </c>
      <c r="L33" s="1427"/>
      <c r="M33" s="178" t="s">
        <v>3131</v>
      </c>
      <c r="N33" s="344"/>
      <c r="O33" s="344"/>
      <c r="P33" s="1353"/>
      <c r="Q33" s="415"/>
      <c r="R33" s="415"/>
      <c r="S33" s="21"/>
      <c r="T33" s="44"/>
      <c r="U33" s="21"/>
      <c r="V33" s="135"/>
    </row>
    <row r="34" spans="1:22" ht="14.25" customHeight="1">
      <c r="A34" s="64">
        <v>11</v>
      </c>
      <c r="B34" s="1473" t="s">
        <v>2525</v>
      </c>
      <c r="C34" s="64"/>
      <c r="D34" s="64"/>
      <c r="E34" s="64"/>
      <c r="I34" s="64"/>
      <c r="J34" s="64"/>
      <c r="K34" s="1429"/>
      <c r="L34" s="1427"/>
      <c r="M34" s="178" t="s">
        <v>3132</v>
      </c>
      <c r="N34" s="344"/>
      <c r="O34" s="344"/>
      <c r="P34" s="1353"/>
      <c r="Q34" s="415"/>
      <c r="R34" s="415"/>
      <c r="S34" s="21"/>
      <c r="T34" s="44"/>
      <c r="U34" s="21"/>
      <c r="V34" s="135"/>
    </row>
    <row r="35" spans="1:22" ht="14.25" customHeight="1">
      <c r="A35" s="3739">
        <v>12</v>
      </c>
      <c r="B35" s="1473" t="s">
        <v>2526</v>
      </c>
      <c r="C35" s="64"/>
      <c r="D35" s="3739"/>
      <c r="E35" s="3739"/>
      <c r="I35" s="3739"/>
      <c r="J35" s="3739"/>
      <c r="K35" s="1429"/>
      <c r="L35" s="1427"/>
      <c r="M35" s="178" t="s">
        <v>3130</v>
      </c>
      <c r="N35" s="344"/>
      <c r="O35" s="344"/>
      <c r="P35" s="1353"/>
      <c r="Q35" s="415"/>
      <c r="R35" s="415"/>
      <c r="S35" s="21"/>
      <c r="T35" s="1571" t="str">
        <f>".   .   .   .   .   .   .   .   .   .   .   .   .   .   .   .   .   .   .   .   .   .   .   .   .   .   .   .   .   9."</f>
        <v>.   .   .   .   .   .   .   .   .   .   .   .   .   .   .   .   .   .   .   .   .   .   .   .   .   .   .   .   .   9.</v>
      </c>
      <c r="U35" s="3659" t="str">
        <f>IF(OR(NumFileStatusBoxes&lt;&gt;1,T11,Line33_NOT),"",SUM(U10,-U31))</f>
        <v/>
      </c>
      <c r="V35" s="135"/>
    </row>
    <row r="36" spans="1:22" ht="13.5" customHeight="1" thickBot="1">
      <c r="A36" s="3743" t="e">
        <f>LOOKUP(#REF!,A24:A35,B24:B35)</f>
        <v>#REF!</v>
      </c>
      <c r="B36" s="3401"/>
      <c r="C36" s="64"/>
      <c r="D36" s="64"/>
      <c r="E36" s="64"/>
      <c r="I36" s="64"/>
      <c r="J36" s="64"/>
      <c r="K36" s="3650"/>
      <c r="L36" s="3677"/>
      <c r="M36" s="3652"/>
      <c r="N36" s="3652"/>
      <c r="O36" s="3652"/>
      <c r="P36" s="3653"/>
      <c r="Q36" s="3678"/>
      <c r="R36" s="3678"/>
      <c r="S36" s="3679"/>
      <c r="T36" s="52"/>
      <c r="U36" s="3679"/>
      <c r="V36" s="136"/>
    </row>
    <row r="37" spans="1:22" ht="19.5" customHeight="1">
      <c r="A37" s="3399" t="e">
        <f>#REF!&amp;"-"&amp;A36&amp;"-"&amp;#REF!</f>
        <v>#REF!</v>
      </c>
      <c r="B37" s="64"/>
      <c r="C37" s="64">
        <f>ItemizeAnyway</f>
        <v>0</v>
      </c>
      <c r="D37" s="3024"/>
      <c r="E37" s="3025"/>
      <c r="F37" s="3026" t="s">
        <v>1528</v>
      </c>
      <c r="G37" s="3027"/>
      <c r="H37" s="3028"/>
      <c r="I37" s="10"/>
      <c r="J37" s="10"/>
    </row>
    <row r="39" spans="1:22" ht="13.5" customHeight="1"/>
  </sheetData>
  <sheetProtection password="F07E" sheet="1" objects="1" scenarios="1"/>
  <conditionalFormatting sqref="L24">
    <cfRule type="expression" dxfId="1667" priority="16">
      <formula>IF(NoColor,1,0)</formula>
    </cfRule>
  </conditionalFormatting>
  <conditionalFormatting sqref="L26">
    <cfRule type="expression" dxfId="1666" priority="15">
      <formula>IF(NoColor,1,0)</formula>
    </cfRule>
  </conditionalFormatting>
  <conditionalFormatting sqref="U29">
    <cfRule type="expression" dxfId="1665" priority="14">
      <formula>IF(NoColor,1,0)</formula>
    </cfRule>
  </conditionalFormatting>
  <conditionalFormatting sqref="S12">
    <cfRule type="expression" dxfId="1664" priority="13">
      <formula>IF(NoColor,1,0)</formula>
    </cfRule>
  </conditionalFormatting>
  <conditionalFormatting sqref="U10">
    <cfRule type="expression" dxfId="1663" priority="12">
      <formula>IF(NoColor,1,0)</formula>
    </cfRule>
  </conditionalFormatting>
  <conditionalFormatting sqref="S15">
    <cfRule type="expression" dxfId="1662" priority="11">
      <formula>IF(NoColor,1,0)</formula>
    </cfRule>
  </conditionalFormatting>
  <conditionalFormatting sqref="S17">
    <cfRule type="expression" dxfId="1661" priority="10">
      <formula>IF(NoColor,1,0)</formula>
    </cfRule>
  </conditionalFormatting>
  <conditionalFormatting sqref="S20">
    <cfRule type="expression" dxfId="1660" priority="9">
      <formula>IF(NoColor,1,0)</formula>
    </cfRule>
  </conditionalFormatting>
  <conditionalFormatting sqref="S26">
    <cfRule type="expression" dxfId="1659" priority="8">
      <formula>IF(NoColor,1,0)</formula>
    </cfRule>
  </conditionalFormatting>
  <conditionalFormatting sqref="U31">
    <cfRule type="expression" dxfId="1658" priority="7">
      <formula>IF(NoColor,1,0)</formula>
    </cfRule>
  </conditionalFormatting>
  <conditionalFormatting sqref="U35">
    <cfRule type="expression" dxfId="1657" priority="6">
      <formula>IF(NoColor,1,0)</formula>
    </cfRule>
  </conditionalFormatting>
  <conditionalFormatting sqref="M10">
    <cfRule type="expression" dxfId="1656" priority="5">
      <formula>IF($T$11,1,0)</formula>
    </cfRule>
  </conditionalFormatting>
  <printOptions horizontalCentered="1"/>
  <pageMargins left="0.3" right="0.42" top="0.39" bottom="0.56000000000000005" header="0" footer="0"/>
  <pageSetup scale="87" fitToHeight="0" orientation="portrait" horizontalDpi="4294967293" verticalDpi="4294967293"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6"/>
  <sheetViews>
    <sheetView zoomScaleNormal="100" workbookViewId="0">
      <selection activeCell="C8" sqref="C8"/>
    </sheetView>
  </sheetViews>
  <sheetFormatPr defaultRowHeight="12.75"/>
  <cols>
    <col min="1" max="1" width="3.140625" customWidth="1"/>
    <col min="2" max="2" width="8.140625" style="64" customWidth="1"/>
    <col min="3" max="3" width="4.140625" style="64" customWidth="1"/>
    <col min="4" max="4" width="8.85546875" style="64" customWidth="1"/>
    <col min="5" max="5" width="13.85546875" style="64" customWidth="1"/>
    <col min="6" max="6" width="10.140625" style="64" customWidth="1"/>
    <col min="7" max="7" width="13.5703125" style="64" customWidth="1"/>
    <col min="8" max="8" width="15.140625" style="64" customWidth="1"/>
    <col min="9" max="9" width="3.28515625" style="64" customWidth="1"/>
    <col min="10" max="10" width="12.85546875" style="64" customWidth="1"/>
    <col min="11" max="11" width="10.28515625" style="64" customWidth="1"/>
    <col min="12" max="12" width="10.5703125" style="64" customWidth="1"/>
    <col min="13" max="13" width="2.7109375" style="64" customWidth="1"/>
    <col min="14" max="14" width="3.5703125" customWidth="1"/>
    <col min="15" max="15" width="11.7109375" customWidth="1"/>
  </cols>
  <sheetData>
    <row r="1" spans="1:14" ht="14.25" customHeight="1" thickBot="1">
      <c r="A1" s="10"/>
    </row>
    <row r="2" spans="1:14" ht="14.25" customHeight="1">
      <c r="A2" s="10"/>
      <c r="B2" s="1354"/>
      <c r="C2" s="1426"/>
      <c r="D2" s="1350"/>
      <c r="E2" s="1350"/>
      <c r="F2" s="1350"/>
      <c r="G2" s="1350"/>
      <c r="H2" s="1350"/>
      <c r="I2" s="1350"/>
      <c r="J2" s="1355"/>
      <c r="K2" s="1355"/>
      <c r="L2" s="1350"/>
      <c r="M2" s="134"/>
    </row>
    <row r="3" spans="1:14" ht="13.5" customHeight="1">
      <c r="A3" s="10"/>
      <c r="B3" s="1472" t="s">
        <v>1048</v>
      </c>
      <c r="C3" s="419"/>
      <c r="D3" s="344"/>
      <c r="E3" s="344"/>
      <c r="F3" s="344"/>
      <c r="G3" s="344"/>
      <c r="H3" s="344"/>
      <c r="I3" s="344"/>
      <c r="J3" s="1583" t="s">
        <v>383</v>
      </c>
      <c r="K3" s="1356"/>
      <c r="L3" s="344"/>
      <c r="M3" s="135"/>
      <c r="N3" s="1189"/>
    </row>
    <row r="4" spans="1:14" ht="12.75" customHeight="1">
      <c r="A4" s="10"/>
      <c r="B4" s="1428"/>
      <c r="C4" s="344"/>
      <c r="D4" s="55"/>
      <c r="E4" s="344"/>
      <c r="F4" s="344"/>
      <c r="G4" s="573"/>
      <c r="H4" s="44"/>
      <c r="I4" s="44"/>
      <c r="J4" s="73" t="str">
        <f>IF(K4,"Yes","No")</f>
        <v>No</v>
      </c>
      <c r="K4" s="2704" t="b">
        <f>IF(OR(DependentYOU&lt;&gt;"",DependentSPOUSE&lt;&gt;""),TRUE,FALSE)</f>
        <v>0</v>
      </c>
      <c r="L4" s="21"/>
      <c r="M4" s="135"/>
    </row>
    <row r="5" spans="1:14" ht="13.5" customHeight="1">
      <c r="A5" s="11"/>
      <c r="B5" s="1575"/>
      <c r="C5" s="1582" t="s">
        <v>1049</v>
      </c>
      <c r="D5" s="1576"/>
      <c r="E5" s="1577"/>
      <c r="F5" s="1577"/>
      <c r="G5" s="1578"/>
      <c r="H5" s="1503"/>
      <c r="I5" s="1503"/>
      <c r="J5" s="1579"/>
      <c r="K5" s="1579"/>
      <c r="L5" s="1580"/>
      <c r="M5" s="1581"/>
    </row>
    <row r="6" spans="1:14" ht="13.5" customHeight="1">
      <c r="A6" s="11"/>
      <c r="B6" s="1430"/>
      <c r="C6" s="344"/>
      <c r="D6" s="55"/>
      <c r="E6" s="344"/>
      <c r="F6" s="1351"/>
      <c r="G6" s="1353"/>
      <c r="H6" s="1584">
        <f>IF(ISERROR(SUM(Wages,#REF!,#REF!,-#REF!)),0,SUM(Wages,#REF!,#REF!,-#REF!))</f>
        <v>0</v>
      </c>
      <c r="I6" s="1585"/>
      <c r="J6" s="1585"/>
      <c r="K6" s="1585"/>
      <c r="L6" s="1586">
        <v>1250</v>
      </c>
      <c r="M6" s="135"/>
    </row>
    <row r="7" spans="1:14" ht="13.5" customHeight="1">
      <c r="A7" s="11"/>
      <c r="B7" s="1429" t="s">
        <v>476</v>
      </c>
      <c r="C7" s="1427"/>
      <c r="D7" s="344" t="s">
        <v>28</v>
      </c>
      <c r="E7" s="344"/>
      <c r="F7" s="344" t="str">
        <f>"more than "&amp;TEXT(J7,"$0")&amp;"?"</f>
        <v>more than $700?</v>
      </c>
      <c r="G7" s="1353"/>
      <c r="H7" s="1585">
        <v>1050</v>
      </c>
      <c r="I7" s="1585"/>
      <c r="J7" s="1586">
        <v>700</v>
      </c>
      <c r="K7" s="1586"/>
      <c r="L7" s="1586">
        <v>1550</v>
      </c>
      <c r="M7" s="135"/>
    </row>
    <row r="8" spans="1:14" ht="13.5" customHeight="1">
      <c r="A8" s="11"/>
      <c r="B8" s="1429"/>
      <c r="C8" s="3660" t="str">
        <f>IF(NOT(K4),"",IF(Earned_Income&gt;J7,"X",""))</f>
        <v/>
      </c>
      <c r="D8" s="55" t="s">
        <v>26</v>
      </c>
      <c r="E8" s="44" t="str">
        <f>TEXT(H8,"$0")&amp;" to your earned income. Enter the total"</f>
        <v>$350 to your earned income. Enter the total</v>
      </c>
      <c r="F8" s="44"/>
      <c r="G8" s="44"/>
      <c r="H8" s="1585">
        <v>350</v>
      </c>
      <c r="I8" s="1585"/>
      <c r="J8" s="1586"/>
      <c r="K8" s="1586"/>
      <c r="L8" s="1586"/>
      <c r="M8" s="135"/>
    </row>
    <row r="9" spans="1:14" ht="13.5" customHeight="1">
      <c r="A9" s="11"/>
      <c r="B9" s="1429"/>
      <c r="C9" s="3660" t="str">
        <f>IF(NOT(K4),"",IF(Earned_Income&gt;J7,"","X"))</f>
        <v/>
      </c>
      <c r="D9" s="55" t="s">
        <v>27</v>
      </c>
      <c r="E9" s="44" t="str">
        <f>TEXT(H7,"$0,000")</f>
        <v>$1,050</v>
      </c>
      <c r="F9" s="44"/>
      <c r="G9" s="44"/>
      <c r="H9" s="1566"/>
      <c r="I9" s="71"/>
      <c r="J9" s="71"/>
      <c r="K9" s="1571" t="str">
        <f>" .   .   .   .   .   .   .   .   .   .   .   .   .   .   1."</f>
        <v xml:space="preserve"> .   .   .   .   .   .   .   .   .   .   .   .   .   .   1.</v>
      </c>
      <c r="L9" s="3659" t="str">
        <f>IF(NOT(K4),"",IF(C8="X",SUM(H8,Earned_Income),H7))</f>
        <v/>
      </c>
      <c r="M9" s="135"/>
    </row>
    <row r="10" spans="1:14" ht="13.5" customHeight="1">
      <c r="A10" s="11"/>
      <c r="B10" s="1429"/>
      <c r="C10" s="1427"/>
      <c r="D10" s="344"/>
      <c r="E10" s="344"/>
      <c r="F10" s="344"/>
      <c r="G10" s="1353"/>
      <c r="H10" s="415"/>
      <c r="I10" s="415"/>
      <c r="J10" s="21"/>
      <c r="K10" s="44"/>
      <c r="L10" s="21"/>
      <c r="M10" s="135"/>
    </row>
    <row r="11" spans="1:14" ht="13.5" customHeight="1">
      <c r="A11" s="11"/>
      <c r="B11" s="1429" t="s">
        <v>0</v>
      </c>
      <c r="C11" s="1427"/>
      <c r="D11" s="44" t="s">
        <v>314</v>
      </c>
      <c r="E11" s="44"/>
      <c r="F11" s="44"/>
      <c r="G11" s="44"/>
      <c r="H11" s="21"/>
      <c r="I11" s="1565"/>
      <c r="J11" s="21"/>
      <c r="K11" s="1571"/>
      <c r="L11" s="1269"/>
      <c r="M11" s="135"/>
    </row>
    <row r="12" spans="1:14" ht="13.5" customHeight="1">
      <c r="A12" s="11"/>
      <c r="B12" s="1428"/>
      <c r="C12" s="44"/>
      <c r="D12" s="1352" t="str">
        <f>"•  Single or married filing separately -- "&amp;TEXT(SD_Single,"$0,000")</f>
        <v>•  Single or married filing separately -- $6,300</v>
      </c>
      <c r="E12" s="44"/>
      <c r="F12" s="44"/>
      <c r="G12" s="1381"/>
      <c r="H12" s="1381"/>
      <c r="I12" s="1381"/>
      <c r="J12" s="21"/>
      <c r="K12" s="1269"/>
      <c r="L12" s="44"/>
      <c r="M12" s="135"/>
    </row>
    <row r="13" spans="1:14" ht="13.5" customHeight="1">
      <c r="A13" s="656"/>
      <c r="B13" s="1428"/>
      <c r="C13" s="44"/>
      <c r="D13" s="44" t="str">
        <f>"•  Married filing jointly or qualifying widow(er) -- "&amp;TEXT(SD_MFJW,"$0,000")</f>
        <v>•  Married filing jointly or qualifying widow(er) -- $12,600</v>
      </c>
      <c r="E13" s="44"/>
      <c r="F13" s="44"/>
      <c r="G13" s="44"/>
      <c r="H13" s="44"/>
      <c r="I13" s="44"/>
      <c r="J13" s="1269"/>
      <c r="K13" s="1571" t="str">
        <f>" .   .   .   .   .   .   .   .   .   .   .   .   .   .   2."</f>
        <v xml:space="preserve"> .   .   .   .   .   .   .   .   .   .   .   .   .   .   2.</v>
      </c>
      <c r="L13" s="3659" t="str">
        <f>IF(NOT(K4),"",IF(OR(File_Single&lt;&gt;"",File_Marr_Sep&lt;&gt;""),SD_Single,IF(OR(File_Marr_Joint&lt;&gt;"",File_Qual_Widow&lt;&gt;""),SD_MFJW,IF(File_Head&lt;&gt;"",SD_Head,""))))</f>
        <v/>
      </c>
      <c r="M13" s="135"/>
    </row>
    <row r="14" spans="1:14" ht="13.5" customHeight="1">
      <c r="A14" s="656"/>
      <c r="B14" s="1428"/>
      <c r="C14" s="44"/>
      <c r="D14" s="44" t="str">
        <f>"•  Head of household -- "&amp;TEXT(SD_Head,"$0,000")</f>
        <v>•  Head of household -- $9,300</v>
      </c>
      <c r="E14" s="44"/>
      <c r="F14" s="44"/>
      <c r="G14" s="44"/>
      <c r="H14" s="44"/>
      <c r="I14" s="44"/>
      <c r="J14" s="1269"/>
      <c r="K14" s="1269"/>
      <c r="L14" s="44"/>
      <c r="M14" s="135"/>
    </row>
    <row r="15" spans="1:14" ht="13.5" customHeight="1">
      <c r="A15" s="656"/>
      <c r="B15" s="1428"/>
      <c r="C15" s="44"/>
      <c r="D15" s="44"/>
      <c r="E15" s="44"/>
      <c r="F15" s="44"/>
      <c r="G15" s="44"/>
      <c r="H15" s="44"/>
      <c r="I15" s="44"/>
      <c r="J15" s="1269"/>
      <c r="K15" s="1269"/>
      <c r="L15" s="44"/>
      <c r="M15" s="135"/>
    </row>
    <row r="16" spans="1:14" ht="13.5" customHeight="1">
      <c r="A16" s="656"/>
      <c r="B16" s="1429" t="s">
        <v>1</v>
      </c>
      <c r="C16" s="1427"/>
      <c r="D16" s="55" t="s">
        <v>1050</v>
      </c>
      <c r="E16" s="44"/>
      <c r="F16" s="44"/>
      <c r="G16" s="44"/>
      <c r="H16" s="44"/>
      <c r="I16" s="44"/>
      <c r="J16" s="1269"/>
      <c r="K16" s="1269"/>
      <c r="L16" s="1357"/>
      <c r="M16" s="135"/>
    </row>
    <row r="17" spans="1:13" ht="13.5" customHeight="1">
      <c r="A17" s="656"/>
      <c r="B17" s="1429"/>
      <c r="C17" s="1567" t="s">
        <v>1052</v>
      </c>
      <c r="D17" s="178" t="s">
        <v>1057</v>
      </c>
      <c r="E17" s="44"/>
      <c r="F17" s="44"/>
      <c r="G17" s="1569" t="s">
        <v>1058</v>
      </c>
      <c r="H17" s="64" t="str">
        <f>"1, "&amp;TaxYear-64&amp;",  and not"</f>
        <v>1, 1952,  and not</v>
      </c>
      <c r="I17" s="1570" t="s">
        <v>1062</v>
      </c>
      <c r="J17" s="1570"/>
      <c r="K17" s="1269"/>
      <c r="L17" s="1357"/>
      <c r="M17" s="135"/>
    </row>
    <row r="18" spans="1:13" ht="13.5" customHeight="1">
      <c r="A18" s="656"/>
      <c r="B18" s="1429"/>
      <c r="C18" s="1427"/>
      <c r="D18" s="178" t="s">
        <v>1053</v>
      </c>
      <c r="E18" s="44"/>
      <c r="F18" s="44"/>
      <c r="G18" s="44"/>
      <c r="H18" s="44"/>
      <c r="I18" s="44"/>
      <c r="J18" s="1269"/>
      <c r="K18" s="1571" t="s">
        <v>1059</v>
      </c>
      <c r="L18" s="3659" t="str">
        <f>IF(NOT(K4),"",MIN(L9,L13))</f>
        <v/>
      </c>
      <c r="M18" s="135"/>
    </row>
    <row r="19" spans="1:13" ht="13.5" customHeight="1">
      <c r="A19" s="11"/>
      <c r="B19" s="1429"/>
      <c r="C19" s="1567" t="s">
        <v>1054</v>
      </c>
      <c r="D19" s="178" t="str">
        <f>"If born before January 2, "&amp;TaxYear-64&amp;", or blind, multiply the number on Form 1040, line 39a, by "&amp;TEXT(L6,"$0,000")</f>
        <v>If born before January 2, 1952, or blind, multiply the number on Form 1040, line 39a, by $1,250</v>
      </c>
      <c r="E19" s="44"/>
      <c r="F19" s="44"/>
      <c r="G19" s="44"/>
      <c r="H19" s="44"/>
      <c r="I19" s="44"/>
      <c r="J19" s="1269"/>
      <c r="K19" s="1269"/>
      <c r="L19" s="1357"/>
      <c r="M19" s="135"/>
    </row>
    <row r="20" spans="1:13" ht="13.5" customHeight="1">
      <c r="A20" s="304"/>
      <c r="B20" s="1429"/>
      <c r="C20" s="1427"/>
      <c r="D20" s="178" t="str">
        <f>"("&amp;TEXT(L7,"$0,000")&amp;" if single or head of household)"</f>
        <v>($1,550 if single or head of household)</v>
      </c>
      <c r="E20" s="44"/>
      <c r="F20" s="44"/>
      <c r="G20" s="44"/>
      <c r="H20" s="44"/>
      <c r="I20" s="44"/>
      <c r="J20" s="1269"/>
      <c r="K20" s="1571" t="s">
        <v>1060</v>
      </c>
      <c r="L20" s="3659" t="str">
        <f>IF(OR(NOT(K4),AND(you_over_64="",sp_over_64="",you_blind="",sp_blind="")),"",IF(OR(File_Single&lt;&gt;"",File_Head&lt;&gt;""),Over_65_or_Blind*L7,Over_65_or_Blind*L6))</f>
        <v/>
      </c>
      <c r="M20" s="135"/>
    </row>
    <row r="21" spans="1:13" ht="13.5" customHeight="1">
      <c r="A21" s="304"/>
      <c r="B21" s="1429"/>
      <c r="C21" s="1569" t="s">
        <v>1051</v>
      </c>
      <c r="D21" s="178" t="s">
        <v>1055</v>
      </c>
      <c r="E21" s="44"/>
      <c r="F21" s="44"/>
      <c r="G21" s="44"/>
      <c r="H21" s="44"/>
      <c r="I21" s="44"/>
      <c r="J21" s="44"/>
      <c r="K21" s="1571" t="s">
        <v>1061</v>
      </c>
      <c r="L21" s="3659" t="str">
        <f>IF(NOT(K4),"",SUM(L18,L20))</f>
        <v/>
      </c>
      <c r="M21" s="135"/>
    </row>
    <row r="22" spans="1:13" ht="13.5" customHeight="1">
      <c r="A22" s="304"/>
      <c r="B22" s="1429"/>
      <c r="C22" s="178"/>
      <c r="D22" s="178"/>
      <c r="E22" s="44"/>
      <c r="F22" s="44"/>
      <c r="G22" s="44"/>
      <c r="H22" s="44"/>
      <c r="I22" s="44"/>
      <c r="J22" s="44"/>
      <c r="K22" s="71"/>
      <c r="L22" s="1269"/>
      <c r="M22" s="135"/>
    </row>
    <row r="23" spans="1:13" ht="13.5" customHeight="1">
      <c r="A23" s="304"/>
      <c r="B23" s="1572" t="s">
        <v>2202</v>
      </c>
      <c r="C23" s="1427"/>
      <c r="D23" s="44"/>
      <c r="E23" s="44"/>
      <c r="F23" s="44"/>
      <c r="G23" s="44"/>
      <c r="H23" s="44"/>
      <c r="I23" s="44"/>
      <c r="J23" s="44"/>
      <c r="K23" s="44"/>
      <c r="L23" s="44"/>
      <c r="M23" s="135"/>
    </row>
    <row r="24" spans="1:13" ht="13.5" customHeight="1">
      <c r="A24" s="304"/>
      <c r="B24" s="1573" t="s">
        <v>2203</v>
      </c>
      <c r="C24" s="1427"/>
      <c r="D24" s="44"/>
      <c r="E24" s="44"/>
      <c r="F24" s="44"/>
      <c r="G24" s="44"/>
      <c r="H24" s="44"/>
      <c r="I24" s="44"/>
      <c r="J24" s="44"/>
      <c r="K24" s="44"/>
      <c r="L24" s="44"/>
      <c r="M24" s="135"/>
    </row>
    <row r="25" spans="1:13" ht="13.5" customHeight="1" thickBot="1">
      <c r="A25" s="304"/>
      <c r="B25" s="1574" t="s">
        <v>2204</v>
      </c>
      <c r="C25" s="52"/>
      <c r="D25" s="52"/>
      <c r="E25" s="52"/>
      <c r="F25" s="52"/>
      <c r="G25" s="52"/>
      <c r="H25" s="52"/>
      <c r="I25" s="52"/>
      <c r="J25" s="52"/>
      <c r="K25" s="52"/>
      <c r="L25" s="52"/>
      <c r="M25" s="136"/>
    </row>
    <row r="26" spans="1:13" ht="13.5" customHeight="1">
      <c r="A26" s="304"/>
      <c r="B26" s="1431"/>
      <c r="C26" s="1431"/>
      <c r="D26" s="1431"/>
      <c r="E26" s="1431"/>
      <c r="F26" s="1431"/>
      <c r="G26" s="1431"/>
      <c r="H26" s="1431"/>
      <c r="I26" s="1431"/>
      <c r="J26" s="1431"/>
      <c r="K26" s="1431"/>
      <c r="L26" s="1431"/>
      <c r="M26" s="1431"/>
    </row>
  </sheetData>
  <sheetProtection password="F07E" sheet="1" objects="1" scenarios="1"/>
  <conditionalFormatting sqref="C8">
    <cfRule type="expression" dxfId="1655" priority="35">
      <formula>IF(NoColor,1,0)</formula>
    </cfRule>
  </conditionalFormatting>
  <conditionalFormatting sqref="C9">
    <cfRule type="expression" dxfId="1654" priority="34">
      <formula>IF(NoColor,1,0)</formula>
    </cfRule>
  </conditionalFormatting>
  <conditionalFormatting sqref="L9">
    <cfRule type="expression" dxfId="1653" priority="33">
      <formula>IF(NoColor,1,0)</formula>
    </cfRule>
  </conditionalFormatting>
  <conditionalFormatting sqref="L13">
    <cfRule type="expression" dxfId="1652" priority="32">
      <formula>IF(NoColor,1,0)</formula>
    </cfRule>
  </conditionalFormatting>
  <conditionalFormatting sqref="L18">
    <cfRule type="expression" dxfId="1651" priority="31">
      <formula>IF(NoColor,1,0)</formula>
    </cfRule>
  </conditionalFormatting>
  <conditionalFormatting sqref="L20">
    <cfRule type="expression" dxfId="1650" priority="30">
      <formula>IF(NoColor,1,0)</formula>
    </cfRule>
  </conditionalFormatting>
  <conditionalFormatting sqref="L21">
    <cfRule type="expression" dxfId="1649" priority="29">
      <formula>IF(NoColor,1,0)</formula>
    </cfRule>
  </conditionalFormatting>
  <printOptions horizontalCentered="1"/>
  <pageMargins left="0.42" right="0.17" top="0.39" bottom="0.56000000000000005" header="0" footer="0"/>
  <pageSetup scale="91" fitToHeight="0" orientation="portrait" horizontalDpi="4294967293" verticalDpi="4294967293"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7"/>
  <sheetViews>
    <sheetView topLeftCell="J1" zoomScaleNormal="100" workbookViewId="0">
      <selection activeCell="J1" sqref="J1"/>
    </sheetView>
  </sheetViews>
  <sheetFormatPr defaultRowHeight="12.75"/>
  <cols>
    <col min="1" max="1" width="12.28515625" hidden="1" customWidth="1"/>
    <col min="2" max="2" width="12.5703125" hidden="1" customWidth="1"/>
    <col min="3" max="3" width="11.140625" hidden="1" customWidth="1"/>
    <col min="4" max="4" width="13.28515625" hidden="1" customWidth="1"/>
    <col min="5" max="5" width="12.85546875" hidden="1" customWidth="1"/>
    <col min="6" max="6" width="10.28515625" hidden="1" customWidth="1"/>
    <col min="7" max="7" width="10.5703125" hidden="1" customWidth="1"/>
    <col min="8" max="8" width="11.42578125" hidden="1" customWidth="1"/>
    <col min="9" max="9" width="10.140625" hidden="1" customWidth="1"/>
    <col min="10" max="10" width="3.140625" customWidth="1"/>
    <col min="11" max="11" width="8.140625" style="64" customWidth="1"/>
    <col min="12" max="12" width="2.7109375" style="64" customWidth="1"/>
    <col min="13" max="13" width="8.85546875" style="64" customWidth="1"/>
    <col min="14" max="14" width="13.85546875" style="64" customWidth="1"/>
    <col min="15" max="15" width="10.140625" style="64" customWidth="1"/>
    <col min="16" max="16" width="13.5703125" style="64" customWidth="1"/>
    <col min="17" max="17" width="15.140625" style="64" customWidth="1"/>
    <col min="18" max="18" width="3.28515625" style="64" customWidth="1"/>
    <col min="19" max="19" width="12.85546875" style="64" customWidth="1"/>
    <col min="20" max="20" width="10.28515625" style="64" customWidth="1"/>
    <col min="21" max="21" width="10.5703125" style="64" customWidth="1"/>
    <col min="22" max="22" width="2.7109375" style="64" customWidth="1"/>
    <col min="23" max="23" width="3.5703125" customWidth="1"/>
    <col min="24" max="24" width="11.7109375" customWidth="1"/>
  </cols>
  <sheetData>
    <row r="1" spans="1:22" ht="13.5" customHeight="1" thickBot="1">
      <c r="A1" s="1342">
        <v>399000</v>
      </c>
      <c r="B1" s="1342">
        <f>H1</f>
        <v>24623.75</v>
      </c>
      <c r="C1" s="2689">
        <f>G1/100</f>
        <v>0.35</v>
      </c>
      <c r="D1" s="1342">
        <f>ROUND((A1*SectA_b6/100)-SectA_d6,0)</f>
        <v>114912</v>
      </c>
      <c r="E1" s="1420">
        <v>6</v>
      </c>
      <c r="F1" s="1476">
        <v>413200</v>
      </c>
      <c r="G1" s="304">
        <v>35</v>
      </c>
      <c r="H1" s="1482">
        <v>24623.75</v>
      </c>
      <c r="I1" s="304"/>
      <c r="J1" s="304"/>
    </row>
    <row r="2" spans="1:22" ht="12.75" customHeight="1">
      <c r="A2" s="1342">
        <v>555555</v>
      </c>
      <c r="B2" s="1342">
        <f>H2</f>
        <v>43630.95</v>
      </c>
      <c r="C2" s="2689">
        <f>G2/100</f>
        <v>0.39600000000000002</v>
      </c>
      <c r="D2" s="1342">
        <f>ROUND((A2*SectA_b7/100)-SectA_d7,0)</f>
        <v>176170</v>
      </c>
      <c r="E2" s="1420">
        <v>7</v>
      </c>
      <c r="F2" s="1477"/>
      <c r="G2" s="1484">
        <v>39.6</v>
      </c>
      <c r="H2" s="1485">
        <v>43630.95</v>
      </c>
      <c r="I2" s="304"/>
      <c r="J2" s="304"/>
      <c r="K2" s="1354"/>
      <c r="L2" s="1426"/>
      <c r="M2" s="1350"/>
      <c r="N2" s="1350"/>
      <c r="O2" s="1350"/>
      <c r="P2" s="1350"/>
      <c r="Q2" s="1350"/>
      <c r="R2" s="1350"/>
      <c r="S2" s="1355"/>
      <c r="T2" s="1355"/>
      <c r="U2" s="1350"/>
      <c r="V2" s="134"/>
    </row>
    <row r="3" spans="1:22" ht="13.5" customHeight="1">
      <c r="A3" s="437"/>
      <c r="B3" s="437"/>
      <c r="C3" s="437"/>
      <c r="D3" s="437"/>
      <c r="E3" s="437"/>
      <c r="F3" s="437"/>
      <c r="G3" s="437"/>
      <c r="H3" s="437"/>
      <c r="I3" s="304"/>
      <c r="J3" s="304"/>
      <c r="K3" s="1472" t="s">
        <v>1624</v>
      </c>
      <c r="L3" s="419"/>
      <c r="M3" s="344"/>
      <c r="N3" s="344"/>
      <c r="O3" s="344"/>
      <c r="P3" s="344"/>
      <c r="Q3" s="344"/>
      <c r="R3" s="344"/>
      <c r="S3" s="1583"/>
      <c r="T3" s="3649" t="s">
        <v>290</v>
      </c>
      <c r="U3" s="344"/>
      <c r="V3" s="135"/>
    </row>
    <row r="4" spans="1:22" ht="12.75" customHeight="1">
      <c r="A4" s="437"/>
      <c r="B4" s="437"/>
      <c r="C4" s="437"/>
      <c r="D4" s="437"/>
      <c r="E4" s="437"/>
      <c r="F4" s="1486" t="s">
        <v>61</v>
      </c>
      <c r="G4" s="1486" t="s">
        <v>84</v>
      </c>
      <c r="H4" s="1486" t="s">
        <v>151</v>
      </c>
      <c r="I4" s="304"/>
      <c r="J4" s="304"/>
      <c r="K4" s="1430"/>
      <c r="L4" s="344"/>
      <c r="M4" s="55"/>
      <c r="N4" s="344"/>
      <c r="O4" s="1351"/>
      <c r="P4" s="1353"/>
      <c r="Q4" s="1584"/>
      <c r="R4" s="1585"/>
      <c r="S4" s="1585"/>
      <c r="T4" s="1585"/>
      <c r="U4" s="1586"/>
      <c r="V4" s="135"/>
    </row>
    <row r="5" spans="1:22" ht="12.75" customHeight="1">
      <c r="A5" s="437"/>
      <c r="B5" s="437"/>
      <c r="C5" s="437"/>
      <c r="D5" s="437"/>
      <c r="E5" s="437"/>
      <c r="F5" s="1474" t="s">
        <v>888</v>
      </c>
      <c r="G5" s="64"/>
      <c r="H5" s="64"/>
      <c r="I5" s="304"/>
      <c r="J5" s="304"/>
      <c r="K5" s="1429" t="s">
        <v>476</v>
      </c>
      <c r="L5" s="1427"/>
      <c r="M5" s="178" t="s">
        <v>1612</v>
      </c>
      <c r="N5" s="344"/>
      <c r="O5" s="344"/>
      <c r="P5" s="1353"/>
      <c r="Q5" s="1585"/>
      <c r="R5" s="1585"/>
      <c r="S5" s="1586"/>
      <c r="T5" s="1586"/>
      <c r="U5" s="1586"/>
      <c r="V5" s="135"/>
    </row>
    <row r="6" spans="1:22" ht="12.75" customHeight="1">
      <c r="A6" s="437"/>
      <c r="B6" s="437"/>
      <c r="C6" s="437"/>
      <c r="D6" s="437"/>
      <c r="F6" s="1344" t="s">
        <v>715</v>
      </c>
      <c r="G6" s="64"/>
      <c r="H6" s="64"/>
      <c r="I6" s="304"/>
      <c r="J6" s="304"/>
      <c r="K6" s="1429"/>
      <c r="L6" s="1427"/>
      <c r="M6" s="178"/>
      <c r="N6" s="344"/>
      <c r="O6" s="344"/>
      <c r="P6" s="1353"/>
      <c r="Q6" s="1585"/>
      <c r="R6" s="1585"/>
      <c r="S6" s="1586"/>
      <c r="T6" s="1586"/>
      <c r="U6" s="1586"/>
      <c r="V6" s="135"/>
    </row>
    <row r="7" spans="1:22" ht="13.5" customHeight="1">
      <c r="A7" s="1342"/>
      <c r="B7" s="1342"/>
      <c r="C7" s="1342"/>
      <c r="D7" s="1342"/>
      <c r="E7" s="1420">
        <v>1</v>
      </c>
      <c r="F7" s="2690" t="s">
        <v>1610</v>
      </c>
      <c r="G7" s="3740"/>
      <c r="H7" s="1481"/>
      <c r="I7" s="304"/>
      <c r="J7" s="304"/>
      <c r="K7" s="1429"/>
      <c r="L7" s="3660" t="str">
        <f>IF(Adj_Gross_Inc&gt;S18,"","X")</f>
        <v>X</v>
      </c>
      <c r="M7" s="68" t="s">
        <v>1613</v>
      </c>
      <c r="N7" s="44" t="str">
        <f>"Multiply "&amp;TEXT(Deduct_For_Exempts,"$0,000")&amp;" by the total number of exemptions claimed on Form 1040, line 6d, and enter the"</f>
        <v>Multiply $4,050 by the total number of exemptions claimed on Form 1040, line 6d, and enter the</v>
      </c>
      <c r="O7" s="44"/>
      <c r="P7" s="44"/>
      <c r="Q7" s="1585"/>
      <c r="R7" s="1585"/>
      <c r="S7" s="1586"/>
      <c r="T7" s="1586"/>
      <c r="U7" s="1586"/>
      <c r="V7" s="135"/>
    </row>
    <row r="8" spans="1:22" ht="13.5" customHeight="1">
      <c r="A8" s="1342">
        <v>66666</v>
      </c>
      <c r="B8" s="1342">
        <f t="shared" ref="B8:B13" si="0">H8</f>
        <v>0</v>
      </c>
      <c r="C8" s="2689">
        <f t="shared" ref="C8:C13" si="1">G8/100</f>
        <v>0</v>
      </c>
      <c r="D8" s="2691" t="s">
        <v>1395</v>
      </c>
      <c r="E8" s="1420">
        <v>2</v>
      </c>
      <c r="F8" s="1476">
        <v>100000</v>
      </c>
      <c r="G8" s="3741"/>
      <c r="H8" s="1482"/>
      <c r="I8" s="304"/>
      <c r="J8" s="304"/>
      <c r="K8" s="1429"/>
      <c r="L8" s="68"/>
      <c r="M8" s="68"/>
      <c r="N8" s="178" t="s">
        <v>1616</v>
      </c>
      <c r="O8" s="44"/>
      <c r="P8" s="44"/>
      <c r="Q8" s="1585"/>
      <c r="R8" s="1585"/>
      <c r="S8" s="1586"/>
      <c r="T8" s="1586"/>
      <c r="U8" s="1586"/>
      <c r="V8" s="135"/>
    </row>
    <row r="9" spans="1:22" ht="13.5" customHeight="1">
      <c r="A9" s="1342">
        <v>111111</v>
      </c>
      <c r="B9" s="1342">
        <f t="shared" si="0"/>
        <v>8412.5</v>
      </c>
      <c r="C9" s="2689">
        <f t="shared" si="1"/>
        <v>0.25</v>
      </c>
      <c r="D9" s="1342">
        <f>ROUND(((A9*SectB_b3/100)-SectB_d3),0)</f>
        <v>19320</v>
      </c>
      <c r="E9" s="1420">
        <v>3</v>
      </c>
      <c r="F9" s="1476">
        <v>151200</v>
      </c>
      <c r="G9" s="3741">
        <v>25</v>
      </c>
      <c r="H9" s="1482">
        <v>8412.5</v>
      </c>
      <c r="I9" s="64"/>
      <c r="J9" s="304"/>
      <c r="K9" s="1429"/>
      <c r="L9" s="68"/>
      <c r="M9" s="68"/>
      <c r="N9" s="44"/>
      <c r="O9" s="44"/>
      <c r="P9" s="44"/>
      <c r="Q9" s="1585"/>
      <c r="R9" s="1585"/>
      <c r="S9" s="1586"/>
      <c r="T9" s="1586"/>
      <c r="U9" s="1586"/>
      <c r="V9" s="135"/>
    </row>
    <row r="10" spans="1:22" ht="13.5" customHeight="1">
      <c r="A10" s="1342">
        <v>150000</v>
      </c>
      <c r="B10" s="1342">
        <f t="shared" si="0"/>
        <v>12948.5</v>
      </c>
      <c r="C10" s="2689">
        <f t="shared" si="1"/>
        <v>0.28000000000000003</v>
      </c>
      <c r="D10" s="1342">
        <f>ROUND(((A10*SectB_b4/100)-SectB_d4),0)</f>
        <v>28986</v>
      </c>
      <c r="E10" s="1420">
        <v>4</v>
      </c>
      <c r="F10" s="1476">
        <v>230450</v>
      </c>
      <c r="G10" s="3741">
        <v>28</v>
      </c>
      <c r="H10" s="1482">
        <v>12948.5</v>
      </c>
      <c r="I10" s="304"/>
      <c r="J10" s="304"/>
      <c r="K10" s="1429"/>
      <c r="L10" s="3660" t="str">
        <f>IF(Adj_Gross_Inc&gt;S18,"X","")</f>
        <v/>
      </c>
      <c r="M10" s="68" t="s">
        <v>668</v>
      </c>
      <c r="N10" s="68" t="s">
        <v>1614</v>
      </c>
      <c r="O10" s="44"/>
      <c r="P10" s="44"/>
      <c r="Q10" s="1566"/>
      <c r="R10" s="71"/>
      <c r="S10" s="71"/>
      <c r="T10" s="1571"/>
      <c r="U10" s="2694"/>
      <c r="V10" s="135"/>
    </row>
    <row r="11" spans="1:22" ht="13.5" customHeight="1">
      <c r="A11" s="1342">
        <v>333333</v>
      </c>
      <c r="B11" s="1342">
        <f t="shared" si="0"/>
        <v>24471</v>
      </c>
      <c r="C11" s="2689">
        <f t="shared" si="1"/>
        <v>0.33</v>
      </c>
      <c r="D11" s="1342">
        <f>ROUND(((A11*SectB_b5/100)-SectB_d5),0)</f>
        <v>85413</v>
      </c>
      <c r="E11" s="1420">
        <v>5</v>
      </c>
      <c r="F11" s="1476">
        <v>411500</v>
      </c>
      <c r="G11" s="3741">
        <v>33</v>
      </c>
      <c r="H11" s="1483">
        <v>24471</v>
      </c>
      <c r="I11" s="304"/>
      <c r="J11" s="64"/>
      <c r="K11" s="1429"/>
      <c r="L11" s="1427"/>
      <c r="M11" s="344"/>
      <c r="N11" s="344"/>
      <c r="O11" s="344"/>
      <c r="P11" s="1353"/>
      <c r="Q11" s="415"/>
      <c r="R11" s="415"/>
      <c r="S11" s="21"/>
      <c r="T11" s="44"/>
      <c r="U11" s="21"/>
      <c r="V11" s="135"/>
    </row>
    <row r="12" spans="1:22" ht="13.5" customHeight="1">
      <c r="A12" s="1342">
        <v>444444</v>
      </c>
      <c r="B12" s="1342">
        <f t="shared" si="0"/>
        <v>32701</v>
      </c>
      <c r="C12" s="2689">
        <f t="shared" si="1"/>
        <v>0.35</v>
      </c>
      <c r="D12" s="1342">
        <f>ROUND(((A12*SectB_b6/100)-SectB_d6),0)</f>
        <v>122701</v>
      </c>
      <c r="E12" s="1420">
        <v>6</v>
      </c>
      <c r="F12" s="1476">
        <v>464850</v>
      </c>
      <c r="G12" s="3741">
        <v>35</v>
      </c>
      <c r="H12" s="2692">
        <v>32701</v>
      </c>
      <c r="I12" s="304"/>
      <c r="J12" s="304"/>
      <c r="K12" s="1429" t="s">
        <v>0</v>
      </c>
      <c r="L12" s="1427"/>
      <c r="M12" s="344" t="str">
        <f>"Multiply "&amp;TEXT(Deduct_For_Exempts,"$0,000")&amp;" by the total number of exemptions claimed on Form 1040, line 6d"</f>
        <v>Multiply $4,050 by the total number of exemptions claimed on Form 1040, line 6d</v>
      </c>
      <c r="N12" s="344"/>
      <c r="O12" s="344"/>
      <c r="P12" s="1353"/>
      <c r="Q12" s="415"/>
      <c r="R12" s="415"/>
      <c r="S12" s="21"/>
      <c r="T12" s="1571" t="str">
        <f>".   .   .   .   .   .   .   .   2."</f>
        <v>.   .   .   .   .   .   .   .   2.</v>
      </c>
      <c r="U12" s="3659" t="str">
        <f>IF(L10="X",Tot_Exemptions*Deduct_For_Exempts,"")</f>
        <v/>
      </c>
      <c r="V12" s="135"/>
    </row>
    <row r="13" spans="1:22" ht="13.5" customHeight="1">
      <c r="A13" s="1342">
        <v>555555</v>
      </c>
      <c r="B13" s="1342">
        <f t="shared" si="0"/>
        <v>54084.1</v>
      </c>
      <c r="C13" s="2689">
        <f t="shared" si="1"/>
        <v>0.39600000000000002</v>
      </c>
      <c r="D13" s="1342">
        <f>ROUND(((A13*SectB_b7/100)-SectB_d7),0)</f>
        <v>165666</v>
      </c>
      <c r="E13" s="1420">
        <v>7</v>
      </c>
      <c r="F13" s="1477"/>
      <c r="G13" s="3742">
        <v>39.6</v>
      </c>
      <c r="H13" s="1598">
        <v>54084.1</v>
      </c>
      <c r="I13" s="304"/>
      <c r="J13" s="304"/>
      <c r="K13" s="1429"/>
      <c r="L13" s="1427"/>
      <c r="M13" s="344"/>
      <c r="N13" s="344"/>
      <c r="O13" s="344"/>
      <c r="P13" s="1353"/>
      <c r="Q13" s="415"/>
      <c r="R13" s="415"/>
      <c r="S13" s="21"/>
      <c r="T13" s="44"/>
      <c r="U13" s="21"/>
      <c r="V13" s="135"/>
    </row>
    <row r="14" spans="1:22" ht="13.5" customHeight="1">
      <c r="A14" s="437"/>
      <c r="B14" s="437"/>
      <c r="C14" s="437"/>
      <c r="D14" s="437"/>
      <c r="E14" s="437"/>
      <c r="F14" s="437"/>
      <c r="G14" s="437"/>
      <c r="H14" s="1421"/>
      <c r="I14" s="304"/>
      <c r="J14" s="304"/>
      <c r="K14" s="2695" t="s">
        <v>1</v>
      </c>
      <c r="L14" s="1427"/>
      <c r="M14" s="178" t="s">
        <v>1615</v>
      </c>
      <c r="N14" s="344"/>
      <c r="O14" s="344"/>
      <c r="P14" s="1353"/>
      <c r="Q14" s="415"/>
      <c r="R14" s="1571" t="str">
        <f>" .   .   .   .   .   .   .   .   .   .   .   .   3."</f>
        <v xml:space="preserve"> .   .   .   .   .   .   .   .   .   .   .   .   3.</v>
      </c>
      <c r="S14" s="3659" t="str">
        <f>IF(L10="X",Adj_Gross_Inc,"")</f>
        <v/>
      </c>
      <c r="T14" s="1571"/>
      <c r="U14" s="1269"/>
      <c r="V14" s="135"/>
    </row>
    <row r="15" spans="1:22" ht="13.5" customHeight="1">
      <c r="A15" s="1342"/>
      <c r="B15" s="1342"/>
      <c r="C15" s="1342"/>
      <c r="D15" s="1342"/>
      <c r="E15" s="437"/>
      <c r="F15" s="1486" t="s">
        <v>61</v>
      </c>
      <c r="G15" s="1486" t="s">
        <v>84</v>
      </c>
      <c r="H15" s="1486" t="s">
        <v>151</v>
      </c>
      <c r="I15" s="304"/>
      <c r="J15" s="304"/>
      <c r="K15" s="1429"/>
      <c r="L15" s="1427"/>
      <c r="M15" s="344"/>
      <c r="N15" s="344"/>
      <c r="O15" s="344"/>
      <c r="P15" s="1353"/>
      <c r="Q15" s="415"/>
      <c r="R15" s="415"/>
      <c r="S15" s="2696"/>
      <c r="T15" s="44"/>
      <c r="U15" s="2696"/>
      <c r="V15" s="135"/>
    </row>
    <row r="16" spans="1:22" ht="13.5" customHeight="1">
      <c r="A16" s="437"/>
      <c r="B16" s="437"/>
      <c r="C16" s="437"/>
      <c r="D16" s="437"/>
      <c r="E16" s="437"/>
      <c r="F16" s="1474" t="s">
        <v>889</v>
      </c>
      <c r="G16" s="64"/>
      <c r="H16" s="3743"/>
      <c r="I16" s="304"/>
      <c r="J16" s="304"/>
      <c r="K16" s="2695" t="s">
        <v>642</v>
      </c>
      <c r="L16" s="1427"/>
      <c r="M16" s="44" t="s">
        <v>314</v>
      </c>
      <c r="N16" s="44"/>
      <c r="O16" s="44"/>
      <c r="P16" s="44"/>
      <c r="Q16" s="21"/>
      <c r="R16" s="1565"/>
      <c r="S16" s="2696"/>
      <c r="T16" s="1571"/>
      <c r="U16" s="2696"/>
      <c r="V16" s="135"/>
    </row>
    <row r="17" spans="1:25" ht="13.5" customHeight="1">
      <c r="A17" s="437"/>
      <c r="B17" s="437"/>
      <c r="C17" s="437"/>
      <c r="D17" s="437"/>
      <c r="F17" s="1344" t="s">
        <v>490</v>
      </c>
      <c r="G17" s="64"/>
      <c r="H17" s="1422"/>
      <c r="I17" s="304"/>
      <c r="J17" s="304"/>
      <c r="K17" s="1428"/>
      <c r="L17" s="44"/>
      <c r="M17" s="1352" t="str">
        <f>"•  Single -- "&amp;TEXT(U17,"$0,000")</f>
        <v>•  Single -- $259,400</v>
      </c>
      <c r="N17" s="44"/>
      <c r="O17" s="44"/>
      <c r="P17" s="1381"/>
      <c r="Q17" s="1381"/>
      <c r="R17" s="1381"/>
      <c r="S17" s="2699"/>
      <c r="T17" s="1269"/>
      <c r="U17" s="2696">
        <v>259400</v>
      </c>
      <c r="V17" s="135"/>
    </row>
    <row r="18" spans="1:25" ht="13.5" customHeight="1">
      <c r="A18" s="1342"/>
      <c r="B18" s="1342"/>
      <c r="C18" s="1342"/>
      <c r="D18" s="1342"/>
      <c r="E18" s="1420">
        <v>1</v>
      </c>
      <c r="F18" s="2690" t="s">
        <v>1610</v>
      </c>
      <c r="G18" s="3740"/>
      <c r="H18" s="1481"/>
      <c r="I18" s="304"/>
      <c r="J18" s="304"/>
      <c r="K18" s="1428"/>
      <c r="L18" s="44"/>
      <c r="M18" s="44" t="str">
        <f>"•  Married filing jointly or qualifying widow(er) -- "&amp;TEXT(U18,"$0,000")</f>
        <v>•  Married filing jointly or qualifying widow(er) -- $311,300</v>
      </c>
      <c r="N18" s="44"/>
      <c r="O18" s="44"/>
      <c r="P18" s="44"/>
      <c r="Q18" s="44"/>
      <c r="R18" s="1571" t="str">
        <f>" .   .   .   4."</f>
        <v xml:space="preserve"> .   .   .   4.</v>
      </c>
      <c r="S18" s="3659" t="str">
        <f>IF(File_Single&lt;&gt;"",U17,IF(OR(File_Marr_Joint&lt;&gt;"",File_Qual_Widow&lt;&gt;""),U18,IF(File_Marr_Sep&lt;&gt;"",U19,IF(File_Head&lt;&gt;"",U20,""))))</f>
        <v/>
      </c>
      <c r="T18" s="1571"/>
      <c r="U18" s="2696">
        <v>311300</v>
      </c>
      <c r="V18" s="135"/>
    </row>
    <row r="19" spans="1:25" ht="13.5" customHeight="1">
      <c r="A19" s="1342">
        <v>22222</v>
      </c>
      <c r="B19" s="1342">
        <f>H19</f>
        <v>0</v>
      </c>
      <c r="C19" s="1342">
        <f>G19/100</f>
        <v>0</v>
      </c>
      <c r="D19" s="2691" t="s">
        <v>1395</v>
      </c>
      <c r="E19" s="1420">
        <v>2</v>
      </c>
      <c r="F19" s="1479">
        <v>100000</v>
      </c>
      <c r="G19" s="3741"/>
      <c r="H19" s="1482"/>
      <c r="I19" s="304"/>
      <c r="J19" s="304"/>
      <c r="K19" s="1428"/>
      <c r="L19" s="44"/>
      <c r="M19" s="44" t="str">
        <f>"•  Married filing separately -- "&amp;TEXT(U19,"$0,000")</f>
        <v>•  Married filing separately -- $155,650</v>
      </c>
      <c r="N19" s="44"/>
      <c r="O19" s="44"/>
      <c r="P19" s="44"/>
      <c r="Q19" s="44"/>
      <c r="R19" s="44"/>
      <c r="S19" s="2698">
        <v>284050</v>
      </c>
      <c r="T19" s="2698"/>
      <c r="U19" s="2699">
        <f>'1040'!AK78</f>
        <v>155650</v>
      </c>
      <c r="V19" s="135"/>
    </row>
    <row r="20" spans="1:25" ht="13.5" customHeight="1">
      <c r="A20" s="1342">
        <v>111111</v>
      </c>
      <c r="B20" s="1342">
        <f>H20</f>
        <v>6474.25</v>
      </c>
      <c r="C20" s="1342">
        <f>G20/100</f>
        <v>0.28000000000000003</v>
      </c>
      <c r="D20" s="1342">
        <f>ROUND(((A20*SectC_b3/100)-SectC_d3),0)</f>
        <v>24604</v>
      </c>
      <c r="E20" s="1420">
        <v>3</v>
      </c>
      <c r="F20" s="1479">
        <v>115225</v>
      </c>
      <c r="G20" s="3741">
        <v>28</v>
      </c>
      <c r="H20" s="1482">
        <v>6474.25</v>
      </c>
      <c r="I20" s="304"/>
      <c r="J20" s="304"/>
      <c r="K20" s="1428"/>
      <c r="L20" s="44"/>
      <c r="M20" s="44" t="str">
        <f>"•  Head of household -- "&amp;TEXT(U20,"$0,000")</f>
        <v>•  Head of household -- $285,350</v>
      </c>
      <c r="N20" s="44"/>
      <c r="O20" s="44"/>
      <c r="P20" s="44"/>
      <c r="Q20" s="44"/>
      <c r="R20" s="44"/>
      <c r="S20" s="2696"/>
      <c r="T20" s="2698"/>
      <c r="U20" s="2699">
        <v>285350</v>
      </c>
      <c r="V20" s="135"/>
    </row>
    <row r="21" spans="1:25" ht="18" customHeight="1">
      <c r="A21" s="1342">
        <v>111555</v>
      </c>
      <c r="B21" s="1342">
        <f>H21</f>
        <v>12235.5</v>
      </c>
      <c r="C21" s="1342">
        <f>G21/100</f>
        <v>0.33</v>
      </c>
      <c r="D21" s="1342">
        <f>ROUND(((A21*SectC_b4/100)-SectC_d4),0)</f>
        <v>24520</v>
      </c>
      <c r="E21" s="1420">
        <v>4</v>
      </c>
      <c r="F21" s="1476">
        <v>205750</v>
      </c>
      <c r="G21" s="3741">
        <v>33</v>
      </c>
      <c r="H21" s="1483">
        <v>12235.5</v>
      </c>
      <c r="I21" s="304"/>
      <c r="J21" s="304"/>
      <c r="K21" s="1428"/>
      <c r="L21" s="44"/>
      <c r="M21" s="44"/>
      <c r="N21" s="44"/>
      <c r="O21" s="44"/>
      <c r="P21" s="44"/>
      <c r="Q21" s="44"/>
      <c r="R21" s="44"/>
      <c r="S21" s="2696"/>
      <c r="T21" s="2698"/>
      <c r="U21" s="44"/>
      <c r="V21" s="135"/>
    </row>
    <row r="22" spans="1:25" ht="15" customHeight="1">
      <c r="A22" s="1342">
        <v>222222</v>
      </c>
      <c r="B22" s="1342">
        <f>H22</f>
        <v>16350.5</v>
      </c>
      <c r="C22" s="1342">
        <f>G22/100</f>
        <v>0.35</v>
      </c>
      <c r="D22" s="1342">
        <f>ROUND(((A22*SectC_b5/100)-SectC_d5),0)</f>
        <v>61351</v>
      </c>
      <c r="E22" s="1420">
        <v>5</v>
      </c>
      <c r="F22" s="1476">
        <v>232425</v>
      </c>
      <c r="G22" s="3741">
        <v>35</v>
      </c>
      <c r="H22" s="1483">
        <v>16350.5</v>
      </c>
      <c r="I22" s="304"/>
      <c r="J22" s="304"/>
      <c r="K22" s="2695" t="s">
        <v>53</v>
      </c>
      <c r="L22" s="44"/>
      <c r="M22" s="178" t="s">
        <v>1623</v>
      </c>
      <c r="N22" s="44"/>
      <c r="O22" s="44"/>
      <c r="P22" s="44"/>
      <c r="Q22" s="44"/>
      <c r="R22" s="44"/>
      <c r="S22" s="2696">
        <f>IF(File_Marr_Sep&lt;&gt;"",T23,T22)</f>
        <v>122500</v>
      </c>
      <c r="T22" s="2698">
        <v>122500</v>
      </c>
      <c r="U22" s="44"/>
      <c r="V22" s="135"/>
    </row>
    <row r="23" spans="1:25" ht="18" customHeight="1">
      <c r="A23" s="1342">
        <v>333333</v>
      </c>
      <c r="B23" s="1342">
        <f>H23</f>
        <v>27042.05</v>
      </c>
      <c r="C23" s="1342">
        <f>G23/100</f>
        <v>0.39600000000000002</v>
      </c>
      <c r="D23" s="1342">
        <f>ROUND(((A23*SectC_b6/100)-SectC_d6),0)</f>
        <v>104833</v>
      </c>
      <c r="E23" s="1420">
        <v>6</v>
      </c>
      <c r="F23" s="1477"/>
      <c r="G23" s="3742">
        <v>39.6</v>
      </c>
      <c r="H23" s="1485">
        <v>27042.05</v>
      </c>
      <c r="I23" s="304"/>
      <c r="J23" s="304"/>
      <c r="K23" s="1428"/>
      <c r="L23" s="44"/>
      <c r="M23" s="178" t="str">
        <f>"If the result is more than "&amp;TEXT(T22,"$0,000")</f>
        <v>If the result is more than $122,500</v>
      </c>
      <c r="N23" s="44"/>
      <c r="O23" s="44"/>
      <c r="P23" s="2700"/>
      <c r="Q23" s="2704" t="s">
        <v>1617</v>
      </c>
      <c r="R23" s="44"/>
      <c r="S23" s="2696" t="b">
        <f>IF(S24&gt;S22,TRUE,FALSE)</f>
        <v>1</v>
      </c>
      <c r="T23" s="2698">
        <v>61250</v>
      </c>
      <c r="U23" s="44"/>
      <c r="V23" s="135"/>
    </row>
    <row r="24" spans="1:25" ht="13.5" customHeight="1">
      <c r="A24" s="437"/>
      <c r="B24" s="437"/>
      <c r="C24" s="437"/>
      <c r="D24" s="437"/>
      <c r="E24" s="437"/>
      <c r="F24" s="1342"/>
      <c r="G24" s="1342"/>
      <c r="H24" s="1423"/>
      <c r="I24" s="304"/>
      <c r="J24" s="304"/>
      <c r="K24" s="1428"/>
      <c r="L24" s="44"/>
      <c r="M24" s="178" t="str">
        <f>"("&amp;TEXT(T23,"$0,000")&amp;" if married filing separately) , enter -0- on line 42"</f>
        <v>($61,250 if married filing separately) , enter -0- on line 42</v>
      </c>
      <c r="N24" s="44"/>
      <c r="O24" s="44"/>
      <c r="P24" s="44"/>
      <c r="Q24" s="44"/>
      <c r="R24" s="1571" t="str">
        <f>"  .   .   .   .   .   .   .   5."</f>
        <v xml:space="preserve">  .   .   .   .   .   .   .   5.</v>
      </c>
      <c r="S24" s="3659" t="str">
        <f>IF(L10="X",SUM(S14,-S18),"")</f>
        <v/>
      </c>
      <c r="T24" s="2703"/>
      <c r="U24" s="44"/>
      <c r="V24" s="135"/>
    </row>
    <row r="25" spans="1:25" ht="21" customHeight="1">
      <c r="A25" s="437"/>
      <c r="B25" s="437"/>
      <c r="C25" s="437"/>
      <c r="D25" s="437"/>
      <c r="E25" s="437"/>
      <c r="F25" s="1486" t="s">
        <v>61</v>
      </c>
      <c r="G25" s="1486" t="s">
        <v>84</v>
      </c>
      <c r="H25" s="1486" t="s">
        <v>151</v>
      </c>
      <c r="I25" s="304"/>
      <c r="J25" s="304"/>
      <c r="K25" s="2695" t="s">
        <v>122</v>
      </c>
      <c r="L25" s="44"/>
      <c r="M25" s="178" t="str">
        <f>"Divide line 5 by $2,500 ($1,250 if married filing separately). If the"</f>
        <v>Divide line 5 by $2,500 ($1,250 if married filing separately). If the</v>
      </c>
      <c r="N25" s="44"/>
      <c r="O25" s="44"/>
      <c r="P25" s="44"/>
      <c r="Q25" s="44"/>
      <c r="R25" s="44"/>
      <c r="S25" s="2696">
        <f>IF(File_Marr_Sep&lt;&gt;"",T26,T25)</f>
        <v>2500</v>
      </c>
      <c r="T25" s="2698">
        <v>2500</v>
      </c>
      <c r="U25" s="44"/>
      <c r="V25" s="135"/>
    </row>
    <row r="26" spans="1:25" ht="15.75" customHeight="1">
      <c r="A26" s="437"/>
      <c r="B26" s="437"/>
      <c r="C26" s="437"/>
      <c r="D26" s="437"/>
      <c r="F26" s="1473" t="s">
        <v>890</v>
      </c>
      <c r="G26" s="10"/>
      <c r="H26" s="1424"/>
      <c r="I26" s="304"/>
      <c r="J26" s="304"/>
      <c r="K26" s="2695"/>
      <c r="L26" s="44"/>
      <c r="M26" s="178" t="s">
        <v>1618</v>
      </c>
      <c r="N26" s="44"/>
      <c r="O26" s="44"/>
      <c r="P26" s="44"/>
      <c r="Q26" s="44"/>
      <c r="R26" s="44"/>
      <c r="S26" s="2696"/>
      <c r="T26" s="2698">
        <v>1250</v>
      </c>
      <c r="U26" s="44"/>
      <c r="V26" s="135"/>
    </row>
    <row r="27" spans="1:25" ht="15.75" customHeight="1">
      <c r="A27" s="1342"/>
      <c r="B27" s="1342"/>
      <c r="C27" s="1342"/>
      <c r="D27" s="1342"/>
      <c r="E27" s="1420">
        <v>1</v>
      </c>
      <c r="F27" s="2690" t="s">
        <v>1610</v>
      </c>
      <c r="G27" s="3740"/>
      <c r="H27" s="1481"/>
      <c r="I27" s="64"/>
      <c r="J27" s="304"/>
      <c r="K27" s="1428"/>
      <c r="L27" s="44"/>
      <c r="M27" s="44" t="s">
        <v>1619</v>
      </c>
      <c r="N27" s="44"/>
      <c r="O27" s="44"/>
      <c r="P27" s="44"/>
      <c r="Q27" s="44"/>
      <c r="R27" s="1571" t="str">
        <f>" .   .   .   .   .   .   .   .   .   .   .   6."</f>
        <v xml:space="preserve"> .   .   .   .   .   .   .   .   .   .   .   6.</v>
      </c>
      <c r="S27" s="3658" t="str">
        <f>IF(S23,"",ROUNDUP(S24/S25,0))</f>
        <v/>
      </c>
      <c r="T27" s="1269"/>
      <c r="U27" s="44"/>
      <c r="V27" s="135"/>
      <c r="Y27" s="2701"/>
    </row>
    <row r="28" spans="1:25" ht="15.75" customHeight="1">
      <c r="A28" s="1342">
        <v>22222</v>
      </c>
      <c r="B28" s="1342">
        <f t="shared" ref="B28:B33" si="2">H28</f>
        <v>0</v>
      </c>
      <c r="C28" s="1342">
        <f t="shared" ref="C28:C33" si="3">G28/100</f>
        <v>0</v>
      </c>
      <c r="D28" s="2691" t="s">
        <v>1395</v>
      </c>
      <c r="E28" s="1420">
        <v>2</v>
      </c>
      <c r="F28" s="1479">
        <v>100000</v>
      </c>
      <c r="G28" s="3741"/>
      <c r="H28" s="1482"/>
      <c r="I28" s="64"/>
      <c r="J28" s="304"/>
      <c r="K28" s="1429"/>
      <c r="L28" s="1427"/>
      <c r="M28" s="55"/>
      <c r="N28" s="44"/>
      <c r="O28" s="44"/>
      <c r="P28" s="44"/>
      <c r="Q28" s="44"/>
      <c r="R28" s="44"/>
      <c r="S28" s="1269"/>
      <c r="T28" s="1269"/>
      <c r="U28" s="1357"/>
      <c r="V28" s="135"/>
    </row>
    <row r="29" spans="1:25" ht="16.5" customHeight="1">
      <c r="A29" s="1342">
        <v>111111</v>
      </c>
      <c r="B29" s="1342">
        <f t="shared" si="2"/>
        <v>5677.5</v>
      </c>
      <c r="C29" s="1342">
        <f t="shared" si="3"/>
        <v>0.25</v>
      </c>
      <c r="D29" s="1342">
        <f>ROUND(((A29*SectD_b3/100)-SectD_d3),0)</f>
        <v>22075</v>
      </c>
      <c r="E29" s="1420">
        <v>3</v>
      </c>
      <c r="F29" s="1479">
        <v>129600</v>
      </c>
      <c r="G29" s="3741">
        <v>25</v>
      </c>
      <c r="H29" s="1482">
        <v>5677.5</v>
      </c>
      <c r="I29" s="64"/>
      <c r="J29" s="304"/>
      <c r="K29" s="1429"/>
      <c r="L29" s="1567"/>
      <c r="M29" s="178"/>
      <c r="N29" s="44"/>
      <c r="O29" s="44"/>
      <c r="P29" s="1569"/>
      <c r="R29" s="1570"/>
      <c r="S29" s="1570"/>
      <c r="T29" s="1269"/>
      <c r="U29" s="1357"/>
      <c r="V29" s="135"/>
    </row>
    <row r="30" spans="1:25" ht="16.5" customHeight="1">
      <c r="A30" s="1342">
        <v>200000</v>
      </c>
      <c r="B30" s="1342">
        <f t="shared" si="2"/>
        <v>9565.5</v>
      </c>
      <c r="C30" s="1342">
        <f t="shared" si="3"/>
        <v>0.28000000000000003</v>
      </c>
      <c r="D30" s="1342">
        <f>ROUND(((A30*SectD_b4/100)-SectD_d4),0)</f>
        <v>46393</v>
      </c>
      <c r="E30" s="1420">
        <v>4</v>
      </c>
      <c r="F30" s="1479">
        <v>209850</v>
      </c>
      <c r="G30" s="3741">
        <v>28</v>
      </c>
      <c r="H30" s="1482">
        <v>9565.5</v>
      </c>
      <c r="I30" s="64"/>
      <c r="J30" s="64"/>
      <c r="K30" s="2695" t="s">
        <v>123</v>
      </c>
      <c r="L30" s="1427"/>
      <c r="M30" s="178" t="str">
        <f>"Multiply line 6 by "&amp;TEXT(S30,"0%")&amp;" ("&amp;TEXT(S30,"0.00")&amp;") and enter the result as a decimal"</f>
        <v>Multiply line 6 by 2% (0.02) and enter the result as a decimal</v>
      </c>
      <c r="N30" s="44"/>
      <c r="O30" s="44"/>
      <c r="P30" s="44"/>
      <c r="Q30" s="44"/>
      <c r="R30" s="44"/>
      <c r="S30" s="2697">
        <f>0.02</f>
        <v>0.02</v>
      </c>
      <c r="T30" s="2702" t="s">
        <v>123</v>
      </c>
      <c r="U30" s="3659" t="str">
        <f>IF(S23,"",IF(L10="X",TEXT(S27*S30,"0.000"),""))</f>
        <v/>
      </c>
      <c r="V30" s="135"/>
    </row>
    <row r="31" spans="1:25" ht="13.5" customHeight="1">
      <c r="A31" s="1342">
        <v>222222</v>
      </c>
      <c r="B31" s="1342">
        <f t="shared" si="2"/>
        <v>20058</v>
      </c>
      <c r="C31" s="1342">
        <f t="shared" si="3"/>
        <v>0.33</v>
      </c>
      <c r="D31" s="1342">
        <f>ROUND(((A31*SectD_b5/100)-SectD_d5),0)</f>
        <v>53186</v>
      </c>
      <c r="E31" s="1420">
        <v>5</v>
      </c>
      <c r="F31" s="1480">
        <v>411500</v>
      </c>
      <c r="G31" s="3741">
        <v>33</v>
      </c>
      <c r="H31" s="1483">
        <v>20058</v>
      </c>
      <c r="I31" s="64"/>
      <c r="J31" s="64"/>
      <c r="K31" s="1429"/>
      <c r="L31" s="1567"/>
      <c r="M31" s="178"/>
      <c r="N31" s="44"/>
      <c r="O31" s="44"/>
      <c r="P31" s="44"/>
      <c r="Q31" s="44"/>
      <c r="R31" s="44"/>
      <c r="S31" s="1269"/>
      <c r="T31" s="1269"/>
      <c r="U31" s="1357"/>
      <c r="V31" s="135"/>
    </row>
    <row r="32" spans="1:25" ht="13.5" customHeight="1">
      <c r="A32" s="1342">
        <v>400000</v>
      </c>
      <c r="B32" s="1342">
        <f t="shared" si="2"/>
        <v>28288</v>
      </c>
      <c r="C32" s="1342">
        <f t="shared" si="3"/>
        <v>0.35</v>
      </c>
      <c r="D32" s="1342">
        <f>ROUND(((A32*SectD_b6/100)-SectD_d6),0)</f>
        <v>111586</v>
      </c>
      <c r="E32" s="1420">
        <v>6</v>
      </c>
      <c r="F32" s="1480">
        <v>439000</v>
      </c>
      <c r="G32" s="3741">
        <v>35</v>
      </c>
      <c r="H32" s="1482">
        <v>28288</v>
      </c>
      <c r="I32" s="64"/>
      <c r="J32" s="64"/>
      <c r="K32" s="2695" t="s">
        <v>338</v>
      </c>
      <c r="L32" s="1427"/>
      <c r="M32" s="178" t="s">
        <v>1620</v>
      </c>
      <c r="N32" s="44"/>
      <c r="O32" s="44"/>
      <c r="P32" s="44"/>
      <c r="Q32" s="44"/>
      <c r="R32" s="44"/>
      <c r="S32" s="567"/>
      <c r="T32" s="2702" t="s">
        <v>338</v>
      </c>
      <c r="U32" s="3659" t="str">
        <f>IF(S23,"",IF(L10="X",ROUND(U12*U30,0),""))</f>
        <v/>
      </c>
      <c r="V32" s="135"/>
    </row>
    <row r="33" spans="1:22" ht="13.5" customHeight="1">
      <c r="A33" s="1342">
        <v>444444</v>
      </c>
      <c r="B33" s="1342">
        <f t="shared" si="2"/>
        <v>48482</v>
      </c>
      <c r="C33" s="1342">
        <f t="shared" si="3"/>
        <v>0.39600000000000002</v>
      </c>
      <c r="D33" s="1342">
        <f>ROUND(((A33*SectD_b7/100)-SectD_d7),0)</f>
        <v>127300</v>
      </c>
      <c r="E33" s="1420">
        <v>7</v>
      </c>
      <c r="F33" s="1487"/>
      <c r="G33" s="3742">
        <v>39.6</v>
      </c>
      <c r="H33" s="1485">
        <v>48482</v>
      </c>
      <c r="I33" s="64"/>
      <c r="J33" s="64"/>
      <c r="K33" s="1429"/>
      <c r="L33" s="1569"/>
      <c r="M33" s="178"/>
      <c r="N33" s="44"/>
      <c r="O33" s="44"/>
      <c r="P33" s="44"/>
      <c r="Q33" s="44"/>
      <c r="R33" s="44"/>
      <c r="S33" s="44"/>
      <c r="T33" s="44"/>
      <c r="U33" s="44"/>
      <c r="V33" s="135"/>
    </row>
    <row r="34" spans="1:22" ht="15" customHeight="1">
      <c r="A34" s="304"/>
      <c r="B34" s="64"/>
      <c r="C34" s="64"/>
      <c r="D34" s="64"/>
      <c r="E34" s="64"/>
      <c r="F34" s="437"/>
      <c r="G34" s="437"/>
      <c r="H34" s="437"/>
      <c r="I34" s="64"/>
      <c r="J34" s="64"/>
      <c r="K34" s="2695" t="s">
        <v>339</v>
      </c>
      <c r="L34" s="178"/>
      <c r="M34" s="178" t="s">
        <v>1622</v>
      </c>
      <c r="N34" s="44"/>
      <c r="O34" s="44"/>
      <c r="P34" s="44"/>
      <c r="Q34" s="44"/>
      <c r="R34" s="44"/>
      <c r="S34" s="44"/>
      <c r="T34" s="2702"/>
      <c r="U34" s="2694"/>
      <c r="V34" s="135"/>
    </row>
    <row r="35" spans="1:22" ht="15" customHeight="1">
      <c r="A35" s="304"/>
      <c r="B35" s="64"/>
      <c r="C35" s="64"/>
      <c r="D35" s="64"/>
      <c r="E35" s="64"/>
      <c r="F35" s="64"/>
      <c r="G35" s="64"/>
      <c r="H35" s="64"/>
      <c r="I35" s="64"/>
      <c r="J35" s="64"/>
      <c r="K35" s="2695"/>
      <c r="L35" s="178"/>
      <c r="M35" s="178" t="s">
        <v>1621</v>
      </c>
      <c r="N35" s="44"/>
      <c r="O35" s="44"/>
      <c r="P35" s="44"/>
      <c r="Q35" s="44"/>
      <c r="R35" s="44"/>
      <c r="S35" s="44"/>
      <c r="T35" s="2702" t="s">
        <v>339</v>
      </c>
      <c r="U35" s="3659" t="str">
        <f>IF(S23,"",IF(L10="X",SUM(U12,-U32),""))</f>
        <v/>
      </c>
      <c r="V35" s="135"/>
    </row>
    <row r="36" spans="1:22" ht="15" customHeight="1" thickBot="1">
      <c r="A36" s="1475"/>
      <c r="B36" s="342"/>
      <c r="C36" s="342"/>
      <c r="D36" s="342"/>
      <c r="E36" s="64"/>
      <c r="F36" s="64"/>
      <c r="G36" s="64"/>
      <c r="H36" s="64"/>
      <c r="I36" s="64"/>
      <c r="J36" s="64"/>
      <c r="K36" s="1574"/>
      <c r="L36" s="52"/>
      <c r="M36" s="52"/>
      <c r="N36" s="52"/>
      <c r="O36" s="52"/>
      <c r="P36" s="52"/>
      <c r="Q36" s="52"/>
      <c r="R36" s="52"/>
      <c r="S36" s="52"/>
      <c r="T36" s="52"/>
      <c r="U36" s="2707">
        <f>IF(L7="X",Tot_Exemptions*Deduct_For_Exempts,IF(S23,0,U35))</f>
        <v>0</v>
      </c>
      <c r="V36" s="136"/>
    </row>
    <row r="37" spans="1:22" ht="13.5" customHeight="1">
      <c r="A37" s="1475"/>
      <c r="B37" s="342"/>
      <c r="C37" s="342"/>
      <c r="D37" s="342"/>
      <c r="E37" s="64"/>
      <c r="F37" s="64"/>
      <c r="G37" s="64"/>
      <c r="H37" s="64"/>
      <c r="I37" s="64"/>
      <c r="J37" s="64"/>
    </row>
  </sheetData>
  <sheetProtection password="F07E" sheet="1" objects="1" scenarios="1"/>
  <conditionalFormatting sqref="P23">
    <cfRule type="expression" dxfId="1648" priority="69">
      <formula>$S$23</formula>
    </cfRule>
  </conditionalFormatting>
  <conditionalFormatting sqref="Q23">
    <cfRule type="expression" dxfId="1647" priority="68">
      <formula>IF(AND($S$23,$L$10="X"),1,0)</formula>
    </cfRule>
  </conditionalFormatting>
  <conditionalFormatting sqref="L7">
    <cfRule type="expression" dxfId="1646" priority="28">
      <formula>IF(NoColor,1,0)</formula>
    </cfRule>
  </conditionalFormatting>
  <conditionalFormatting sqref="L10">
    <cfRule type="expression" dxfId="1645" priority="27">
      <formula>IF(NoColor,1,0)</formula>
    </cfRule>
  </conditionalFormatting>
  <conditionalFormatting sqref="U12">
    <cfRule type="expression" dxfId="1644" priority="26">
      <formula>IF(NoColor,1,0)</formula>
    </cfRule>
  </conditionalFormatting>
  <conditionalFormatting sqref="S14">
    <cfRule type="expression" dxfId="1643" priority="25">
      <formula>IF(NoColor,1,0)</formula>
    </cfRule>
  </conditionalFormatting>
  <conditionalFormatting sqref="S18">
    <cfRule type="expression" dxfId="1642" priority="24">
      <formula>IF(NoColor,1,0)</formula>
    </cfRule>
  </conditionalFormatting>
  <conditionalFormatting sqref="S24">
    <cfRule type="expression" dxfId="1641" priority="23">
      <formula>IF(NoColor,1,0)</formula>
    </cfRule>
  </conditionalFormatting>
  <conditionalFormatting sqref="U30">
    <cfRule type="expression" dxfId="1640" priority="22">
      <formula>IF(NoColor,1,0)</formula>
    </cfRule>
  </conditionalFormatting>
  <conditionalFormatting sqref="U32">
    <cfRule type="expression" dxfId="1639" priority="21">
      <formula>IF(NoColor,1,0)</formula>
    </cfRule>
  </conditionalFormatting>
  <conditionalFormatting sqref="U35">
    <cfRule type="expression" dxfId="1638" priority="20">
      <formula>IF(NoColor,1,0)</formula>
    </cfRule>
  </conditionalFormatting>
  <conditionalFormatting sqref="S27">
    <cfRule type="expression" dxfId="1637" priority="19">
      <formula>IF(NoColor,1,0)</formula>
    </cfRule>
  </conditionalFormatting>
  <printOptions horizontalCentered="1"/>
  <pageMargins left="0.42" right="0.17" top="0.39" bottom="0.56000000000000005" header="0" footer="0"/>
  <pageSetup scale="89" fitToHeight="0" orientation="portrait" horizontalDpi="4294967293" verticalDpi="4294967293"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S79"/>
  <sheetViews>
    <sheetView zoomScaleNormal="100" workbookViewId="0">
      <selection activeCell="C14" sqref="C14"/>
    </sheetView>
  </sheetViews>
  <sheetFormatPr defaultColWidth="9.140625" defaultRowHeight="12.75"/>
  <cols>
    <col min="1" max="1" width="2.5703125" style="64" customWidth="1"/>
    <col min="2" max="2" width="1.7109375" style="64" customWidth="1"/>
    <col min="3" max="3" width="2.85546875" style="64" customWidth="1"/>
    <col min="4" max="4" width="2.28515625" style="64" customWidth="1"/>
    <col min="5" max="5" width="6" style="64" customWidth="1"/>
    <col min="6" max="6" width="9" style="64" customWidth="1"/>
    <col min="7" max="7" width="4" style="64" customWidth="1"/>
    <col min="8" max="8" width="27.85546875" style="64" customWidth="1"/>
    <col min="9" max="9" width="4" style="64" customWidth="1"/>
    <col min="10" max="10" width="15.7109375" style="64" customWidth="1"/>
    <col min="11" max="11" width="4" style="64" customWidth="1"/>
    <col min="12" max="12" width="15.7109375" style="64" customWidth="1"/>
    <col min="13" max="13" width="4" style="64" customWidth="1"/>
    <col min="14" max="14" width="15.7109375" style="64" customWidth="1"/>
    <col min="15" max="15" width="1.28515625" style="64" customWidth="1"/>
    <col min="16" max="17" width="2.28515625" style="64" customWidth="1"/>
    <col min="18" max="18" width="13.85546875" style="64" customWidth="1"/>
    <col min="19" max="19" width="3" style="64" customWidth="1"/>
    <col min="20" max="28" width="11.85546875" style="64" hidden="1" customWidth="1"/>
    <col min="29" max="29" width="3.7109375" style="64" customWidth="1"/>
    <col min="30" max="30" width="8.28515625" style="64" customWidth="1"/>
    <col min="31" max="31" width="5.140625" style="64" customWidth="1"/>
    <col min="32" max="35" width="9.140625" style="64"/>
    <col min="36" max="36" width="16" style="64" customWidth="1"/>
    <col min="37" max="38" width="5" style="64" customWidth="1"/>
    <col min="39" max="39" width="24.5703125" style="64" customWidth="1"/>
    <col min="40" max="40" width="15.28515625" style="64" customWidth="1"/>
    <col min="41" max="41" width="3.7109375" style="64" customWidth="1"/>
    <col min="42" max="42" width="3.85546875" style="64" customWidth="1"/>
    <col min="43" max="43" width="2.28515625" style="64" customWidth="1"/>
    <col min="44" max="44" width="13.5703125" style="64" customWidth="1"/>
    <col min="45" max="45" width="1.85546875" style="64" customWidth="1"/>
    <col min="46" max="16384" width="9.140625" style="64"/>
  </cols>
  <sheetData>
    <row r="1" spans="1:45" ht="13.5" customHeight="1">
      <c r="A1" s="112"/>
      <c r="B1" s="112"/>
      <c r="C1" s="112"/>
      <c r="D1" s="112"/>
      <c r="E1" s="112"/>
      <c r="F1" s="112"/>
      <c r="G1" s="112"/>
      <c r="H1" s="112"/>
      <c r="I1" s="112"/>
      <c r="J1" s="1125"/>
      <c r="K1" s="1125"/>
      <c r="L1" s="112"/>
      <c r="M1" s="112"/>
      <c r="N1" s="112"/>
      <c r="O1" s="112"/>
      <c r="P1" s="112"/>
      <c r="Q1" s="35"/>
      <c r="R1" s="1703"/>
      <c r="S1" s="1703"/>
      <c r="AC1" s="1703"/>
      <c r="AD1" s="1703"/>
      <c r="AE1" s="1703"/>
      <c r="AF1" s="1703"/>
      <c r="AG1" s="1703"/>
      <c r="AH1" s="1703"/>
      <c r="AI1" s="1703"/>
      <c r="AJ1" s="1703"/>
      <c r="AK1" s="1703"/>
      <c r="AL1" s="1703"/>
      <c r="AM1" s="1703"/>
      <c r="AN1" s="1703"/>
      <c r="AO1" s="1703"/>
      <c r="AP1" s="1703"/>
      <c r="AQ1" s="1703"/>
      <c r="AR1" s="1703"/>
      <c r="AS1" s="1703"/>
    </row>
    <row r="2" spans="1:45" ht="13.5" customHeight="1">
      <c r="A2" s="112"/>
      <c r="B2" s="112"/>
      <c r="C2" s="112"/>
      <c r="D2" s="112"/>
      <c r="E2" s="112"/>
      <c r="F2" s="112"/>
      <c r="G2" s="112"/>
      <c r="H2" s="112"/>
      <c r="I2" s="112"/>
      <c r="J2" s="1125"/>
      <c r="K2" s="1125"/>
      <c r="L2" s="112"/>
      <c r="M2" s="112"/>
      <c r="N2" s="112"/>
      <c r="O2" s="112"/>
      <c r="P2" s="112"/>
      <c r="Q2" s="35"/>
      <c r="R2" s="1703"/>
      <c r="S2" s="1703"/>
      <c r="AC2" s="1703"/>
      <c r="AD2" s="1703"/>
      <c r="AE2" s="1703"/>
      <c r="AF2" s="1703"/>
      <c r="AG2" s="1703"/>
      <c r="AH2" s="1703"/>
      <c r="AI2" s="1703"/>
      <c r="AJ2" s="1703"/>
      <c r="AK2" s="1703"/>
      <c r="AL2" s="1703"/>
      <c r="AM2" s="1703"/>
      <c r="AN2" s="1703"/>
      <c r="AO2" s="1703"/>
      <c r="AP2" s="1703"/>
      <c r="AQ2" s="1703"/>
      <c r="AR2" s="1703"/>
      <c r="AS2" s="1703"/>
    </row>
    <row r="3" spans="1:45" ht="13.5" customHeight="1" thickBot="1">
      <c r="A3" s="112"/>
      <c r="B3" s="112"/>
      <c r="C3" s="112"/>
      <c r="D3" s="112"/>
      <c r="E3" s="112"/>
      <c r="F3" s="112"/>
      <c r="G3" s="112"/>
      <c r="H3" s="112"/>
      <c r="I3" s="112"/>
      <c r="J3" s="1125"/>
      <c r="K3" s="1125"/>
      <c r="L3" s="112"/>
      <c r="M3" s="112"/>
      <c r="N3" s="112"/>
      <c r="O3" s="112"/>
      <c r="P3" s="112"/>
      <c r="Q3" s="35"/>
      <c r="R3" s="1703"/>
      <c r="S3" s="1703"/>
      <c r="AC3" s="1703"/>
      <c r="AD3" s="1703"/>
      <c r="AE3" s="1703"/>
      <c r="AF3" s="1703"/>
      <c r="AG3" s="1703"/>
      <c r="AH3" s="1703"/>
      <c r="AI3" s="1703"/>
      <c r="AJ3" s="1703"/>
      <c r="AK3" s="1703"/>
      <c r="AL3" s="1703"/>
      <c r="AM3" s="1703"/>
      <c r="AN3" s="1703"/>
      <c r="AO3" s="1703"/>
      <c r="AP3" s="1703"/>
      <c r="AQ3" s="1703"/>
      <c r="AR3" s="1703"/>
      <c r="AS3" s="1703"/>
    </row>
    <row r="4" spans="1:45" ht="13.5" customHeight="1">
      <c r="A4" s="112"/>
      <c r="B4" s="112"/>
      <c r="C4" s="4973" t="str">
        <f>IF(R4,"Yes","No")</f>
        <v>No</v>
      </c>
      <c r="D4" s="4974"/>
      <c r="E4" s="4974"/>
      <c r="F4" s="3745" t="s">
        <v>317</v>
      </c>
      <c r="G4" s="2595"/>
      <c r="H4" s="2595"/>
      <c r="I4" s="2595"/>
      <c r="J4" s="3746"/>
      <c r="K4" s="3746"/>
      <c r="L4" s="2595"/>
      <c r="M4" s="2595"/>
      <c r="N4" s="2596"/>
      <c r="O4" s="112"/>
      <c r="P4" s="112"/>
      <c r="Q4" s="35"/>
      <c r="R4" s="3754" t="b">
        <f>AND(SchD_NotReqd="",OR(AND(SchDLine18&lt;&gt;"",SchDLine18&gt;0),AND(SchDLine19&lt;&gt;"",SchDLine19&gt;0)))</f>
        <v>0</v>
      </c>
      <c r="S4" s="1703"/>
      <c r="AC4" s="1703"/>
      <c r="AD4" s="1703"/>
      <c r="AE4" s="1703"/>
      <c r="AF4" s="1703"/>
      <c r="AG4" s="1703"/>
      <c r="AH4" s="1703"/>
      <c r="AI4" s="1703"/>
      <c r="AJ4" s="1703"/>
      <c r="AK4" s="1703"/>
      <c r="AL4" s="1703"/>
      <c r="AM4" s="1703"/>
      <c r="AN4" s="1703"/>
      <c r="AO4" s="1703"/>
      <c r="AP4" s="1703"/>
      <c r="AQ4" s="1703"/>
      <c r="AR4" s="1703"/>
      <c r="AS4" s="1703"/>
    </row>
    <row r="5" spans="1:45" ht="13.5" customHeight="1" thickBot="1">
      <c r="A5" s="112"/>
      <c r="B5" s="112"/>
      <c r="C5" s="2602"/>
      <c r="D5" s="2603"/>
      <c r="E5" s="2603"/>
      <c r="F5" s="3747" t="s">
        <v>701</v>
      </c>
      <c r="G5" s="2603"/>
      <c r="H5" s="2603"/>
      <c r="I5" s="2603"/>
      <c r="J5" s="3751"/>
      <c r="K5" s="3751"/>
      <c r="L5" s="2603"/>
      <c r="M5" s="2603"/>
      <c r="N5" s="2604"/>
      <c r="O5" s="112"/>
      <c r="P5" s="112"/>
      <c r="Q5" s="35"/>
      <c r="R5" s="3754"/>
      <c r="S5" s="1703"/>
      <c r="AC5" s="1703"/>
      <c r="AD5" s="1703"/>
      <c r="AE5" s="1703"/>
      <c r="AF5" s="1703"/>
      <c r="AG5" s="1703"/>
      <c r="AH5" s="1703"/>
      <c r="AI5" s="1703"/>
      <c r="AJ5" s="1703"/>
      <c r="AK5" s="1703"/>
      <c r="AL5" s="1703"/>
      <c r="AM5" s="1703"/>
      <c r="AN5" s="1703"/>
      <c r="AO5" s="1703"/>
      <c r="AP5" s="1703"/>
      <c r="AQ5" s="1703"/>
      <c r="AR5" s="1703"/>
      <c r="AS5" s="1703"/>
    </row>
    <row r="6" spans="1:45" ht="13.5" customHeight="1">
      <c r="A6" s="112"/>
      <c r="B6" s="112"/>
      <c r="C6" s="4976" t="b">
        <f>OR(C14&lt;&gt;"",AND(NOT(R4),OR(R7,R8,R9)))</f>
        <v>0</v>
      </c>
      <c r="D6" s="4977"/>
      <c r="E6" s="4977"/>
      <c r="F6" s="3752" t="s">
        <v>601</v>
      </c>
      <c r="G6" s="2399"/>
      <c r="H6" s="2399"/>
      <c r="I6" s="2399"/>
      <c r="J6" s="3748"/>
      <c r="K6" s="3748"/>
      <c r="L6" s="2399"/>
      <c r="M6" s="2399"/>
      <c r="N6" s="2477"/>
      <c r="O6" s="112"/>
      <c r="P6" s="112"/>
      <c r="Q6" s="35"/>
      <c r="R6" s="3754"/>
      <c r="S6" s="1703"/>
      <c r="AC6" s="1703"/>
      <c r="AD6" s="1703"/>
      <c r="AE6" s="1703"/>
      <c r="AF6" s="1703"/>
      <c r="AG6" s="1703"/>
      <c r="AH6" s="1703"/>
      <c r="AI6" s="1703"/>
      <c r="AJ6" s="1703"/>
      <c r="AK6" s="1703"/>
      <c r="AL6" s="1703"/>
      <c r="AM6" s="1703"/>
      <c r="AN6" s="1703"/>
      <c r="AO6" s="1703"/>
      <c r="AP6" s="1703"/>
      <c r="AQ6" s="1703"/>
      <c r="AR6" s="1703"/>
      <c r="AS6" s="1703"/>
    </row>
    <row r="7" spans="1:45" ht="13.5" customHeight="1">
      <c r="A7" s="112"/>
      <c r="B7" s="112"/>
      <c r="C7" s="4975" t="str">
        <f>IF(R7,"Yes","No")</f>
        <v>No</v>
      </c>
      <c r="D7" s="4724"/>
      <c r="E7" s="4724"/>
      <c r="F7" s="3749" t="s">
        <v>268</v>
      </c>
      <c r="G7" s="2399"/>
      <c r="H7" s="2399"/>
      <c r="I7" s="2399"/>
      <c r="J7" s="3748"/>
      <c r="K7" s="3748"/>
      <c r="L7" s="2399"/>
      <c r="M7" s="2399"/>
      <c r="N7" s="2477"/>
      <c r="O7" s="112"/>
      <c r="P7" s="112"/>
      <c r="Q7" s="35"/>
      <c r="R7" s="3754" t="b">
        <f>IF(Qualified_Dividends&lt;&gt;"",TRUE,FALSE)</f>
        <v>0</v>
      </c>
      <c r="S7" s="1703"/>
      <c r="AC7" s="1703"/>
      <c r="AD7" s="1703"/>
      <c r="AE7" s="1703"/>
      <c r="AF7" s="1703"/>
      <c r="AG7" s="1703"/>
      <c r="AH7" s="1703"/>
      <c r="AI7" s="1703"/>
      <c r="AJ7" s="1703"/>
      <c r="AK7" s="1703"/>
      <c r="AL7" s="1703"/>
      <c r="AM7" s="1703"/>
      <c r="AN7" s="1703"/>
      <c r="AO7" s="1703"/>
      <c r="AP7" s="1703"/>
      <c r="AQ7" s="1703"/>
      <c r="AR7" s="1703"/>
      <c r="AS7" s="1703"/>
    </row>
    <row r="8" spans="1:45" ht="13.5" customHeight="1">
      <c r="A8" s="112"/>
      <c r="B8" s="112"/>
      <c r="C8" s="4975" t="str">
        <f>IF(R8,"Yes","No")</f>
        <v>No</v>
      </c>
      <c r="D8" s="4724"/>
      <c r="E8" s="4724"/>
      <c r="F8" s="3750" t="s">
        <v>267</v>
      </c>
      <c r="G8" s="2399"/>
      <c r="H8" s="2399"/>
      <c r="I8" s="2399"/>
      <c r="J8" s="3748"/>
      <c r="K8" s="3748"/>
      <c r="L8" s="2399"/>
      <c r="M8" s="2399"/>
      <c r="N8" s="2477"/>
      <c r="O8" s="112"/>
      <c r="P8" s="112"/>
      <c r="Q8" s="35"/>
      <c r="R8" s="3754" t="b">
        <f>AND(SchD_NotReqd&lt;&gt;"",'1040'!AL46&gt;0)</f>
        <v>0</v>
      </c>
      <c r="S8" s="1703"/>
      <c r="AC8" s="1703"/>
      <c r="AD8" s="1703"/>
      <c r="AE8" s="1703"/>
      <c r="AF8" s="1703"/>
      <c r="AG8" s="1703"/>
      <c r="AH8" s="1703"/>
      <c r="AI8" s="1703"/>
      <c r="AJ8" s="1703"/>
      <c r="AK8" s="1703"/>
      <c r="AL8" s="1703"/>
      <c r="AM8" s="1703"/>
      <c r="AN8" s="1703"/>
      <c r="AO8" s="1703"/>
      <c r="AP8" s="1703"/>
      <c r="AQ8" s="1703"/>
      <c r="AR8" s="1703"/>
      <c r="AS8" s="1703"/>
    </row>
    <row r="9" spans="1:45" ht="13.5" customHeight="1">
      <c r="A9" s="112"/>
      <c r="B9" s="112"/>
      <c r="C9" s="4975" t="str">
        <f>IF(R9,"Yes","No")</f>
        <v>No</v>
      </c>
      <c r="D9" s="4724"/>
      <c r="E9" s="4724"/>
      <c r="F9" s="3750" t="s">
        <v>316</v>
      </c>
      <c r="G9" s="2399"/>
      <c r="H9" s="2399"/>
      <c r="I9" s="2399"/>
      <c r="J9" s="3748"/>
      <c r="K9" s="3748"/>
      <c r="L9" s="2399"/>
      <c r="M9" s="2399"/>
      <c r="N9" s="2477"/>
      <c r="O9" s="112"/>
      <c r="P9" s="112"/>
      <c r="Q9" s="35"/>
      <c r="R9" s="3754" t="b">
        <f>AND(SchD_NotReqd="",SchDLine15&gt;0,SchDLine16&gt;0)</f>
        <v>0</v>
      </c>
      <c r="S9" s="1703"/>
      <c r="AC9" s="1703"/>
      <c r="AD9" s="1703"/>
      <c r="AE9" s="1703"/>
      <c r="AF9" s="1703"/>
      <c r="AG9" s="1703"/>
      <c r="AH9" s="1703"/>
      <c r="AI9" s="1703"/>
      <c r="AJ9" s="1703"/>
      <c r="AK9" s="1703"/>
      <c r="AL9" s="1703"/>
      <c r="AM9" s="1703"/>
      <c r="AN9" s="1703"/>
      <c r="AO9" s="1703"/>
      <c r="AP9" s="1703"/>
      <c r="AQ9" s="1703"/>
      <c r="AR9" s="1703"/>
      <c r="AS9" s="1703"/>
    </row>
    <row r="10" spans="1:45" ht="13.5" customHeight="1" thickBot="1">
      <c r="A10" s="112"/>
      <c r="B10" s="112"/>
      <c r="C10" s="2602"/>
      <c r="D10" s="2603"/>
      <c r="E10" s="2603"/>
      <c r="F10" s="2603"/>
      <c r="G10" s="2603"/>
      <c r="H10" s="2603"/>
      <c r="I10" s="2603"/>
      <c r="J10" s="3751"/>
      <c r="K10" s="3751"/>
      <c r="L10" s="2603"/>
      <c r="M10" s="2603"/>
      <c r="N10" s="2604"/>
      <c r="O10" s="112"/>
      <c r="P10" s="112"/>
      <c r="Q10" s="35"/>
      <c r="R10" s="1703"/>
      <c r="S10" s="1703"/>
      <c r="AC10" s="1703"/>
      <c r="AD10" s="1703"/>
      <c r="AE10" s="1703"/>
      <c r="AF10" s="1703"/>
      <c r="AG10" s="1703"/>
      <c r="AH10" s="1703"/>
      <c r="AI10" s="1703"/>
      <c r="AJ10" s="1703"/>
      <c r="AK10" s="1703"/>
      <c r="AL10" s="1703"/>
      <c r="AM10" s="1703"/>
      <c r="AN10" s="1703"/>
      <c r="AO10" s="1703"/>
      <c r="AP10" s="1703"/>
      <c r="AQ10" s="1703"/>
      <c r="AR10" s="1703"/>
      <c r="AS10" s="1703"/>
    </row>
    <row r="11" spans="1:45" ht="13.5" customHeight="1">
      <c r="A11" s="112"/>
      <c r="B11" s="112"/>
      <c r="C11" s="112"/>
      <c r="D11" s="112"/>
      <c r="E11" s="112"/>
      <c r="F11" s="112"/>
      <c r="G11" s="112"/>
      <c r="H11" s="112"/>
      <c r="I11" s="112"/>
      <c r="J11" s="1125"/>
      <c r="K11" s="1125"/>
      <c r="L11" s="112"/>
      <c r="M11" s="112"/>
      <c r="N11" s="112"/>
      <c r="O11" s="112"/>
      <c r="P11" s="112"/>
      <c r="Q11" s="35"/>
      <c r="R11" s="1703"/>
      <c r="S11" s="1703"/>
      <c r="AC11" s="1703"/>
      <c r="AD11" s="1703"/>
      <c r="AE11" s="1703"/>
      <c r="AF11" s="1703"/>
      <c r="AG11" s="1703"/>
      <c r="AH11" s="1703"/>
      <c r="AI11" s="1703"/>
      <c r="AJ11" s="1703"/>
      <c r="AK11" s="1703"/>
      <c r="AL11" s="1703"/>
      <c r="AM11" s="1703"/>
      <c r="AN11" s="1703"/>
      <c r="AO11" s="1703"/>
      <c r="AP11" s="1703"/>
      <c r="AQ11" s="1703"/>
      <c r="AR11" s="1703"/>
      <c r="AS11" s="1703"/>
    </row>
    <row r="12" spans="1:45" ht="13.5" customHeight="1">
      <c r="A12" s="112"/>
      <c r="B12" s="112"/>
      <c r="C12" s="3753" t="str">
        <f>IF(C14&lt;&gt;"","",IF(R4,"Use Schedule D Tax Worksheet",IF(NOT(CGTW),"Criteria for using this worksheet are NOT met.","")))</f>
        <v>Criteria for using this worksheet are NOT met.</v>
      </c>
      <c r="D12" s="3568"/>
      <c r="E12" s="3568"/>
      <c r="F12" s="3568"/>
      <c r="G12" s="3568"/>
      <c r="H12" s="3568"/>
      <c r="I12" s="112"/>
      <c r="J12" s="1125"/>
      <c r="K12" s="1125"/>
      <c r="L12" s="112"/>
      <c r="M12" s="112"/>
      <c r="N12" s="112"/>
      <c r="O12" s="112"/>
      <c r="P12" s="112"/>
      <c r="Q12" s="35"/>
      <c r="R12" s="1703"/>
      <c r="S12" s="1703"/>
      <c r="AC12" s="1703"/>
      <c r="AD12" s="1703"/>
      <c r="AE12" s="1703"/>
      <c r="AF12" s="1703"/>
      <c r="AG12" s="1703"/>
      <c r="AH12" s="1703"/>
      <c r="AI12" s="1703"/>
      <c r="AJ12" s="1703"/>
      <c r="AK12" s="1703"/>
      <c r="AL12" s="1703"/>
      <c r="AM12" s="1703"/>
      <c r="AN12" s="1703"/>
      <c r="AO12" s="1703"/>
      <c r="AP12" s="1703"/>
      <c r="AQ12" s="1703"/>
      <c r="AR12" s="1703"/>
      <c r="AS12" s="1703"/>
    </row>
    <row r="13" spans="1:45" ht="13.5" customHeight="1" thickBot="1">
      <c r="A13" s="112"/>
      <c r="B13" s="112"/>
      <c r="C13" s="112"/>
      <c r="D13" s="112"/>
      <c r="E13" s="112"/>
      <c r="F13" s="112"/>
      <c r="G13" s="112"/>
      <c r="H13" s="112"/>
      <c r="I13" s="112"/>
      <c r="J13" s="1125"/>
      <c r="K13" s="1125"/>
      <c r="L13" s="112"/>
      <c r="M13" s="112"/>
      <c r="N13" s="112"/>
      <c r="O13" s="112"/>
      <c r="P13" s="112"/>
      <c r="Q13" s="35"/>
      <c r="R13" s="1703"/>
      <c r="S13" s="1703"/>
      <c r="AC13" s="1703"/>
      <c r="AD13" s="1703"/>
      <c r="AE13" s="1703"/>
      <c r="AF13" s="1703"/>
      <c r="AG13" s="1703"/>
      <c r="AH13" s="1703"/>
      <c r="AI13" s="1703"/>
      <c r="AJ13" s="1703"/>
      <c r="AK13" s="1703"/>
      <c r="AL13" s="1703"/>
      <c r="AM13" s="1703"/>
      <c r="AN13" s="1703"/>
      <c r="AO13" s="1703"/>
      <c r="AP13" s="1703"/>
      <c r="AQ13" s="1703"/>
      <c r="AR13" s="1703"/>
      <c r="AS13" s="1703"/>
    </row>
    <row r="14" spans="1:45" ht="13.5" customHeight="1" thickBot="1">
      <c r="A14" s="112"/>
      <c r="B14" s="112"/>
      <c r="C14" s="4204"/>
      <c r="D14" s="112"/>
      <c r="E14" s="2611" t="s">
        <v>3162</v>
      </c>
      <c r="F14" s="2117"/>
      <c r="G14" s="2117"/>
      <c r="H14" s="2117"/>
      <c r="I14" s="112"/>
      <c r="J14" s="1125"/>
      <c r="K14" s="1125"/>
      <c r="L14" s="112"/>
      <c r="M14" s="112"/>
      <c r="N14" s="112"/>
      <c r="O14" s="112"/>
      <c r="P14" s="112"/>
      <c r="Q14" s="35"/>
      <c r="R14" s="1703"/>
      <c r="S14" s="1703"/>
      <c r="AC14" s="1703"/>
      <c r="AD14" s="1703"/>
      <c r="AE14" s="1703"/>
      <c r="AF14" s="1703"/>
      <c r="AG14" s="1703"/>
      <c r="AH14" s="1703"/>
      <c r="AI14" s="1703"/>
      <c r="AJ14" s="1703"/>
      <c r="AK14" s="1703"/>
      <c r="AL14" s="1703"/>
      <c r="AM14" s="1703"/>
      <c r="AN14" s="1703"/>
      <c r="AO14" s="1703"/>
      <c r="AP14" s="1703"/>
      <c r="AQ14" s="1703"/>
      <c r="AR14" s="1703"/>
      <c r="AS14" s="1703"/>
    </row>
    <row r="15" spans="1:45" ht="13.5" customHeight="1">
      <c r="A15" s="112"/>
      <c r="B15" s="112"/>
      <c r="C15" s="112"/>
      <c r="D15" s="112"/>
      <c r="E15" s="112"/>
      <c r="F15" s="112"/>
      <c r="G15" s="112"/>
      <c r="H15" s="112"/>
      <c r="I15" s="112"/>
      <c r="J15" s="1125"/>
      <c r="K15" s="1125"/>
      <c r="L15" s="112"/>
      <c r="M15" s="112"/>
      <c r="N15" s="112"/>
      <c r="O15" s="112"/>
      <c r="P15" s="112"/>
      <c r="Q15" s="35"/>
      <c r="R15" s="1703"/>
      <c r="S15" s="1703"/>
      <c r="AC15" s="1703"/>
      <c r="AD15" s="1703"/>
      <c r="AE15" s="1703"/>
      <c r="AF15" s="1703"/>
      <c r="AG15" s="1703"/>
      <c r="AH15" s="1703"/>
      <c r="AI15" s="1703"/>
      <c r="AJ15" s="1703"/>
      <c r="AK15" s="1703"/>
      <c r="AL15" s="1703"/>
      <c r="AM15" s="1703"/>
      <c r="AN15" s="1703"/>
      <c r="AO15" s="1703"/>
      <c r="AP15" s="1703"/>
      <c r="AQ15" s="1703"/>
      <c r="AR15" s="1703"/>
      <c r="AS15" s="1703"/>
    </row>
    <row r="16" spans="1:45" ht="13.5" customHeight="1" thickBot="1">
      <c r="A16" s="112"/>
      <c r="B16" s="112"/>
      <c r="C16" s="112"/>
      <c r="D16" s="112"/>
      <c r="E16" s="112"/>
      <c r="F16" s="112"/>
      <c r="G16" s="112"/>
      <c r="H16" s="112"/>
      <c r="I16" s="112"/>
      <c r="J16" s="1125"/>
      <c r="K16" s="1125"/>
      <c r="L16" s="112"/>
      <c r="M16" s="112"/>
      <c r="N16" s="112"/>
      <c r="O16" s="112"/>
      <c r="P16" s="112"/>
      <c r="Q16" s="35"/>
      <c r="R16" s="1703"/>
      <c r="S16" s="1703"/>
      <c r="AC16" s="35"/>
      <c r="AD16" s="2117"/>
      <c r="AE16" s="2117"/>
      <c r="AF16" s="2117"/>
      <c r="AG16" s="2117"/>
      <c r="AH16" s="2117"/>
      <c r="AI16" s="2117"/>
      <c r="AJ16" s="2117"/>
      <c r="AK16" s="2117"/>
      <c r="AL16" s="2117"/>
      <c r="AM16" s="2117"/>
      <c r="AN16" s="2117"/>
      <c r="AO16" s="2117"/>
      <c r="AP16" s="2070"/>
      <c r="AQ16" s="1703"/>
      <c r="AR16" s="1703"/>
      <c r="AS16" s="1703"/>
    </row>
    <row r="17" spans="1:45" ht="27.75" customHeight="1">
      <c r="A17" s="112"/>
      <c r="B17" s="35"/>
      <c r="C17" s="35"/>
      <c r="D17" s="35"/>
      <c r="E17" s="35"/>
      <c r="F17" s="35"/>
      <c r="G17" s="35"/>
      <c r="H17" s="35"/>
      <c r="I17" s="35"/>
      <c r="J17" s="565"/>
      <c r="K17" s="565"/>
      <c r="L17" s="35"/>
      <c r="M17" s="35"/>
      <c r="N17" s="35"/>
      <c r="O17" s="35"/>
      <c r="P17" s="112"/>
      <c r="Q17" s="35"/>
      <c r="R17" s="1703"/>
      <c r="S17" s="1703"/>
      <c r="AC17" s="35"/>
      <c r="AD17" s="1354"/>
      <c r="AE17" s="4970" t="s">
        <v>3117</v>
      </c>
      <c r="AF17" s="4971"/>
      <c r="AG17" s="4971"/>
      <c r="AH17" s="4971"/>
      <c r="AI17" s="4971"/>
      <c r="AJ17" s="4971"/>
      <c r="AK17" s="1350"/>
      <c r="AL17" s="1355"/>
      <c r="AM17" s="1355"/>
      <c r="AN17" s="1350"/>
      <c r="AO17" s="134"/>
      <c r="AP17" s="2070"/>
      <c r="AQ17" s="1703"/>
      <c r="AR17" s="1703"/>
      <c r="AS17" s="1703"/>
    </row>
    <row r="18" spans="1:45" ht="16.5" customHeight="1" thickBot="1">
      <c r="A18" s="130"/>
      <c r="B18" s="799" t="s">
        <v>225</v>
      </c>
      <c r="C18" s="799"/>
      <c r="D18" s="451"/>
      <c r="E18" s="52"/>
      <c r="F18" s="52"/>
      <c r="G18" s="52"/>
      <c r="H18" s="52"/>
      <c r="I18" s="52"/>
      <c r="J18" s="182"/>
      <c r="K18" s="587"/>
      <c r="L18" s="490"/>
      <c r="M18" s="1127" t="s">
        <v>340</v>
      </c>
      <c r="N18" s="588"/>
      <c r="O18" s="588"/>
      <c r="P18" s="1115"/>
      <c r="Q18" s="564"/>
      <c r="R18" s="1703"/>
      <c r="S18" s="1703"/>
      <c r="T18" s="35"/>
      <c r="U18" s="35"/>
      <c r="V18" s="35"/>
      <c r="W18" s="35"/>
      <c r="X18" s="35"/>
      <c r="Y18" s="35"/>
      <c r="Z18" s="35"/>
      <c r="AA18" s="35"/>
      <c r="AB18" s="35"/>
      <c r="AC18" s="35"/>
      <c r="AD18" s="1472"/>
      <c r="AE18" s="4972"/>
      <c r="AF18" s="4972"/>
      <c r="AG18" s="4972"/>
      <c r="AH18" s="4972"/>
      <c r="AI18" s="4972"/>
      <c r="AJ18" s="4972"/>
      <c r="AK18" s="344"/>
      <c r="AL18" s="1583"/>
      <c r="AM18" s="3649" t="s">
        <v>290</v>
      </c>
      <c r="AN18" s="344"/>
      <c r="AO18" s="135"/>
      <c r="AP18" s="2070"/>
      <c r="AQ18" s="1703"/>
      <c r="AR18" s="1703"/>
      <c r="AS18" s="1703"/>
    </row>
    <row r="19" spans="1:45" ht="19.5" customHeight="1">
      <c r="A19" s="112"/>
      <c r="B19" s="1093"/>
      <c r="C19" s="1094" t="s">
        <v>197</v>
      </c>
      <c r="D19" s="709"/>
      <c r="E19" s="46"/>
      <c r="F19" s="44"/>
      <c r="G19" s="1095" t="s">
        <v>589</v>
      </c>
      <c r="H19" s="1523" t="s">
        <v>1529</v>
      </c>
      <c r="I19" s="46"/>
      <c r="J19" s="710"/>
      <c r="K19" s="1096"/>
      <c r="L19" s="46"/>
      <c r="M19" s="46"/>
      <c r="N19" s="1097"/>
      <c r="O19" s="1098"/>
      <c r="P19" s="1115"/>
      <c r="Q19" s="564"/>
      <c r="R19" s="1703"/>
      <c r="S19" s="1703"/>
      <c r="T19" s="35"/>
      <c r="U19" s="35"/>
      <c r="V19" s="35"/>
      <c r="W19" s="35"/>
      <c r="X19" s="35"/>
      <c r="Y19" s="35"/>
      <c r="Z19" s="35"/>
      <c r="AA19" s="35"/>
      <c r="AB19" s="35"/>
      <c r="AC19" s="1464"/>
      <c r="AD19" s="3663"/>
      <c r="AE19" s="4449" t="str">
        <f>IF(OR(Taxable_Inc="",Taxable_Inc=0),"If Form 1040, line 43, is zero, do not complete this worksheet.","")</f>
        <v>If Form 1040, line 43, is zero, do not complete this worksheet.</v>
      </c>
      <c r="AF19" s="401"/>
      <c r="AG19" s="401"/>
      <c r="AH19" s="401"/>
      <c r="AI19" s="401"/>
      <c r="AJ19" s="401"/>
      <c r="AK19" s="4449" t="str">
        <f>IF(NOT(FEI_Tax_Worksheet),"Complete Form 2555 before completing this worksheet.","")</f>
        <v>Complete Form 2555 before completing this worksheet.</v>
      </c>
      <c r="AL19" s="3664"/>
      <c r="AM19" s="3665"/>
      <c r="AN19" s="401"/>
      <c r="AO19" s="3675"/>
      <c r="AP19" s="2070"/>
      <c r="AQ19" s="1703"/>
      <c r="AR19" s="1703"/>
      <c r="AS19" s="1703"/>
    </row>
    <row r="20" spans="1:45" ht="14.25" customHeight="1">
      <c r="A20" s="112"/>
      <c r="B20" s="1099"/>
      <c r="C20" s="795"/>
      <c r="D20" s="55"/>
      <c r="E20" s="44"/>
      <c r="F20" s="44"/>
      <c r="G20" s="1095" t="s">
        <v>589</v>
      </c>
      <c r="H20" s="2555" t="s">
        <v>1530</v>
      </c>
      <c r="I20" s="44"/>
      <c r="J20" s="183"/>
      <c r="K20" s="1100"/>
      <c r="L20" s="44"/>
      <c r="M20" s="44"/>
      <c r="N20" s="1101"/>
      <c r="O20" s="1102"/>
      <c r="P20" s="1115"/>
      <c r="Q20" s="564"/>
      <c r="R20" s="1703"/>
      <c r="S20" s="1703"/>
      <c r="T20" s="35"/>
      <c r="U20" s="35"/>
      <c r="V20" s="35"/>
      <c r="W20" s="35"/>
      <c r="X20" s="35"/>
      <c r="Y20" s="35"/>
      <c r="Z20" s="35"/>
      <c r="AA20" s="35"/>
      <c r="AB20" s="35"/>
      <c r="AC20" s="35"/>
      <c r="AD20" s="1472"/>
      <c r="AE20" s="419"/>
      <c r="AF20" s="344"/>
      <c r="AG20" s="344"/>
      <c r="AH20" s="344"/>
      <c r="AI20" s="344"/>
      <c r="AJ20" s="344"/>
      <c r="AK20" s="344"/>
      <c r="AL20" s="1583"/>
      <c r="AM20" s="1356"/>
      <c r="AN20" s="2696" t="b">
        <f>AND(Taxable_Inc&gt;0,Form2555_Used)</f>
        <v>0</v>
      </c>
      <c r="AO20" s="135"/>
      <c r="AP20" s="2070"/>
      <c r="AQ20" s="1703"/>
      <c r="AR20" s="1703" t="s">
        <v>149</v>
      </c>
      <c r="AS20" s="1703"/>
    </row>
    <row r="21" spans="1:45" ht="15.75" customHeight="1">
      <c r="A21" s="112"/>
      <c r="B21" s="1099"/>
      <c r="C21" s="419"/>
      <c r="D21" s="55"/>
      <c r="E21" s="44"/>
      <c r="F21" s="44"/>
      <c r="G21" s="1095" t="s">
        <v>589</v>
      </c>
      <c r="H21" s="44" t="s">
        <v>628</v>
      </c>
      <c r="I21" s="44"/>
      <c r="J21" s="183"/>
      <c r="K21" s="1100"/>
      <c r="L21" s="44"/>
      <c r="M21" s="44"/>
      <c r="N21" s="1103"/>
      <c r="O21" s="1102"/>
      <c r="P21" s="1115"/>
      <c r="Q21" s="564"/>
      <c r="R21" s="1703"/>
      <c r="S21" s="1703"/>
      <c r="T21" s="35"/>
      <c r="U21" s="35" t="str">
        <f>IF(NOT(CGTW),"",IF(D31="X",'1040'!AB46,IF(D28="X",IF(OR(SchDLine15="",SchDLine15=0,SchDLine16="",SchDLine16=0),0,MIN(SchDLine15,SchDLine16)),"")))</f>
        <v/>
      </c>
      <c r="V21" s="35"/>
      <c r="W21" s="35"/>
      <c r="X21" s="35"/>
      <c r="Y21" s="35"/>
      <c r="Z21" s="35"/>
      <c r="AA21" s="35"/>
      <c r="AB21" s="35"/>
      <c r="AC21" s="35"/>
      <c r="AD21" s="1430"/>
      <c r="AE21" s="344"/>
      <c r="AF21" s="55"/>
      <c r="AG21" s="344"/>
      <c r="AH21" s="1351"/>
      <c r="AI21" s="1353"/>
      <c r="AJ21" s="1584"/>
      <c r="AK21" s="1585"/>
      <c r="AL21" s="1585"/>
      <c r="AM21" s="1585"/>
      <c r="AN21" s="1586"/>
      <c r="AO21" s="135"/>
      <c r="AP21" s="2070"/>
      <c r="AQ21" s="1703"/>
      <c r="AR21" s="1703" t="s">
        <v>661</v>
      </c>
      <c r="AS21" s="1703"/>
    </row>
    <row r="22" spans="1:45" ht="13.5" customHeight="1" thickBot="1">
      <c r="A22" s="112"/>
      <c r="B22" s="1113"/>
      <c r="C22" s="1393"/>
      <c r="D22" s="451"/>
      <c r="E22" s="52"/>
      <c r="F22" s="52"/>
      <c r="G22" s="3762"/>
      <c r="H22" s="52" t="s">
        <v>706</v>
      </c>
      <c r="I22" s="52"/>
      <c r="J22" s="3763"/>
      <c r="K22" s="587"/>
      <c r="L22" s="3764"/>
      <c r="M22" s="52"/>
      <c r="N22" s="3765"/>
      <c r="O22" s="3766"/>
      <c r="P22" s="1115"/>
      <c r="Q22" s="564"/>
      <c r="R22" s="1703"/>
      <c r="S22" s="1703"/>
      <c r="T22" s="35"/>
      <c r="U22" s="35" t="str">
        <f>IF(NOT(CGTW),"",IF(D28&lt;&gt;"",MAX(MIN(SchDLine15,SchDLine16),0),'1040'!AB46))</f>
        <v/>
      </c>
      <c r="V22" s="35"/>
      <c r="W22" s="35"/>
      <c r="X22" s="35"/>
      <c r="Y22" s="35"/>
      <c r="Z22" s="35"/>
      <c r="AA22" s="35"/>
      <c r="AB22" s="35"/>
      <c r="AC22" s="35"/>
      <c r="AD22" s="2695" t="s">
        <v>19</v>
      </c>
      <c r="AE22" s="1427"/>
      <c r="AF22" s="178" t="s">
        <v>3086</v>
      </c>
      <c r="AG22" s="344"/>
      <c r="AH22" s="344"/>
      <c r="AI22" s="1353"/>
      <c r="AJ22" s="1585"/>
      <c r="AK22" s="1585"/>
      <c r="AL22" s="1586"/>
      <c r="AM22" s="2702" t="s">
        <v>476</v>
      </c>
      <c r="AN22" s="3656" t="str">
        <f>IF(AR22&lt;&gt;"",ROUND(AR22,0),IF(FEI_Tax_Worksheet,Taxable_Inc,""))</f>
        <v/>
      </c>
      <c r="AO22" s="135"/>
      <c r="AP22" s="2070"/>
      <c r="AQ22" s="1703"/>
      <c r="AR22" s="4520"/>
      <c r="AS22" s="1703"/>
    </row>
    <row r="23" spans="1:45" ht="15.75" customHeight="1">
      <c r="A23" s="112"/>
      <c r="B23" s="1382"/>
      <c r="C23" s="183" t="s">
        <v>476</v>
      </c>
      <c r="D23" s="183"/>
      <c r="E23" s="3744" t="str">
        <f>"Enter the amount from Form 1040, line "&amp;'1040'!D80&amp;". However, if you are filing Form"</f>
        <v>Enter the amount from Form 1040, line 43. However, if you are filing Form</v>
      </c>
      <c r="F23" s="3744"/>
      <c r="G23" s="563"/>
      <c r="H23" s="85"/>
      <c r="I23" s="85"/>
      <c r="J23" s="183"/>
      <c r="K23" s="400"/>
      <c r="L23" s="400"/>
      <c r="M23" s="400"/>
      <c r="N23" s="400"/>
      <c r="O23" s="1383"/>
      <c r="P23" s="1115"/>
      <c r="Q23" s="564"/>
      <c r="R23" s="2115" t="s">
        <v>149</v>
      </c>
      <c r="S23" s="1703"/>
      <c r="T23" s="35"/>
      <c r="U23" s="35"/>
      <c r="V23" s="35"/>
      <c r="W23" s="35"/>
      <c r="X23" s="35"/>
      <c r="Y23" s="35"/>
      <c r="Z23" s="35"/>
      <c r="AA23" s="35"/>
      <c r="AB23" s="35"/>
      <c r="AC23" s="35"/>
      <c r="AD23" s="1429"/>
      <c r="AE23" s="1427"/>
      <c r="AF23" s="178"/>
      <c r="AG23" s="344"/>
      <c r="AH23" s="344"/>
      <c r="AI23" s="1353"/>
      <c r="AJ23" s="1585"/>
      <c r="AK23" s="1585"/>
      <c r="AL23" s="1586"/>
      <c r="AM23" s="1586"/>
      <c r="AN23" s="1586"/>
      <c r="AO23" s="135"/>
      <c r="AP23" s="2070"/>
      <c r="AQ23" s="1703"/>
      <c r="AR23" s="1703"/>
      <c r="AS23" s="1703"/>
    </row>
    <row r="24" spans="1:45" ht="16.5" customHeight="1">
      <c r="A24" s="112"/>
      <c r="B24" s="1099"/>
      <c r="C24" s="183"/>
      <c r="D24" s="183"/>
      <c r="E24" s="399" t="s">
        <v>577</v>
      </c>
      <c r="F24" s="399"/>
      <c r="G24" s="563"/>
      <c r="H24" s="85"/>
      <c r="I24" s="85"/>
      <c r="J24" s="183"/>
      <c r="K24" s="400"/>
      <c r="L24" s="400"/>
      <c r="M24" s="400"/>
      <c r="N24" s="400"/>
      <c r="O24" s="1383"/>
      <c r="P24" s="1115"/>
      <c r="Q24" s="564"/>
      <c r="R24" s="2115" t="s">
        <v>661</v>
      </c>
      <c r="S24" s="1703"/>
      <c r="T24" s="35"/>
      <c r="U24" s="35"/>
      <c r="V24" s="35"/>
      <c r="W24" s="35"/>
      <c r="X24" s="35"/>
      <c r="Y24" s="35"/>
      <c r="Z24" s="35"/>
      <c r="AA24" s="35"/>
      <c r="AB24" s="35"/>
      <c r="AC24" s="35"/>
      <c r="AD24" s="2695" t="s">
        <v>3088</v>
      </c>
      <c r="AE24" s="1427"/>
      <c r="AF24" s="178" t="s">
        <v>3087</v>
      </c>
      <c r="AG24" s="344"/>
      <c r="AH24" s="344"/>
      <c r="AI24" s="1353"/>
      <c r="AJ24" s="1585"/>
      <c r="AK24" s="1585"/>
      <c r="AL24" s="1586"/>
      <c r="AM24" s="1586"/>
      <c r="AN24" s="1586"/>
      <c r="AO24" s="135"/>
      <c r="AP24" s="2070"/>
      <c r="AQ24" s="1703"/>
      <c r="AR24" s="1703"/>
      <c r="AS24" s="1703"/>
    </row>
    <row r="25" spans="1:45" ht="13.5" customHeight="1">
      <c r="A25" s="112"/>
      <c r="B25" s="1099"/>
      <c r="C25" s="183"/>
      <c r="D25" s="183"/>
      <c r="E25" s="399" t="s">
        <v>1194</v>
      </c>
      <c r="F25" s="399"/>
      <c r="G25" s="563"/>
      <c r="H25" s="85"/>
      <c r="I25" s="85"/>
      <c r="J25" s="583" t="s">
        <v>1195</v>
      </c>
      <c r="K25" s="183" t="str">
        <f>C23</f>
        <v>1.</v>
      </c>
      <c r="L25" s="2781" t="str">
        <f>IF(R25&lt;&gt;"",R25,IF(Form2555_Used,FEI_TW_Line3,IF(NOT(CGTW),"",Taxable_Inc)))</f>
        <v/>
      </c>
      <c r="M25" s="85"/>
      <c r="N25" s="85"/>
      <c r="O25" s="1104"/>
      <c r="P25" s="1115"/>
      <c r="Q25" s="564"/>
      <c r="R25" s="2116"/>
      <c r="S25" s="1703"/>
      <c r="AC25" s="2117"/>
      <c r="AD25" s="1429"/>
      <c r="AE25" s="1427"/>
      <c r="AF25" s="178" t="s">
        <v>2309</v>
      </c>
      <c r="AG25" s="344"/>
      <c r="AH25" s="344"/>
      <c r="AI25" s="1353"/>
      <c r="AJ25" s="1585"/>
      <c r="AK25" s="1585"/>
      <c r="AL25" s="1586"/>
      <c r="AM25" s="2702" t="s">
        <v>3088</v>
      </c>
      <c r="AN25" s="3656" t="str">
        <f>IF(AR25&lt;&gt;"",ROUND(AR25,0),IF(FEI_Tax_Worksheet,SUM(ForeignHousingExclusion,ForeignHousingDeduction),""))</f>
        <v/>
      </c>
      <c r="AO25" s="135"/>
      <c r="AP25" s="2070"/>
      <c r="AQ25" s="1703"/>
      <c r="AR25" s="4520"/>
      <c r="AS25" s="1703"/>
    </row>
    <row r="26" spans="1:45" ht="13.5" customHeight="1">
      <c r="A26" s="112"/>
      <c r="B26" s="1099"/>
      <c r="C26" s="183" t="s">
        <v>0</v>
      </c>
      <c r="D26" s="183"/>
      <c r="E26" s="399" t="s">
        <v>578</v>
      </c>
      <c r="F26" s="399"/>
      <c r="G26" s="563"/>
      <c r="H26" s="183"/>
      <c r="I26" s="183" t="s">
        <v>0</v>
      </c>
      <c r="J26" s="2781" t="str">
        <f>IF(NOT(CGTW),"",Qualified_Dividends)</f>
        <v/>
      </c>
      <c r="K26" s="183"/>
      <c r="L26" s="1105"/>
      <c r="M26" s="85"/>
      <c r="N26" s="85"/>
      <c r="O26" s="1104"/>
      <c r="P26" s="1115"/>
      <c r="Q26" s="564"/>
      <c r="R26" s="1703"/>
      <c r="S26" s="1703"/>
      <c r="AC26" s="2117"/>
      <c r="AD26" s="2695" t="s">
        <v>1054</v>
      </c>
      <c r="AE26" s="1427"/>
      <c r="AF26" s="178" t="s">
        <v>3089</v>
      </c>
      <c r="AG26" s="344"/>
      <c r="AH26" s="344"/>
      <c r="AI26" s="1353"/>
      <c r="AJ26" s="1585"/>
      <c r="AK26" s="1585"/>
      <c r="AL26" s="1586"/>
      <c r="AM26" s="1586"/>
      <c r="AN26" s="1586"/>
      <c r="AO26" s="135"/>
      <c r="AP26" s="2070"/>
      <c r="AQ26" s="1703"/>
      <c r="AR26" s="1703"/>
      <c r="AS26" s="1703"/>
    </row>
    <row r="27" spans="1:45" ht="13.5" customHeight="1" thickBot="1">
      <c r="A27" s="112"/>
      <c r="B27" s="1099"/>
      <c r="C27" s="183" t="s">
        <v>1</v>
      </c>
      <c r="D27" s="183"/>
      <c r="E27" s="399" t="s">
        <v>579</v>
      </c>
      <c r="F27" s="399"/>
      <c r="G27" s="563"/>
      <c r="H27" s="183"/>
      <c r="I27" s="183"/>
      <c r="J27" s="1126"/>
      <c r="K27" s="183"/>
      <c r="L27" s="183"/>
      <c r="M27" s="183"/>
      <c r="N27" s="85"/>
      <c r="O27" s="1104"/>
      <c r="P27" s="112"/>
      <c r="Q27" s="564"/>
      <c r="R27" s="1703"/>
      <c r="S27" s="1703"/>
      <c r="AC27" s="2117"/>
      <c r="AD27" s="1429"/>
      <c r="AE27" s="1427"/>
      <c r="AF27" s="178" t="s">
        <v>3090</v>
      </c>
      <c r="AG27" s="344"/>
      <c r="AH27" s="344"/>
      <c r="AI27" s="1353"/>
      <c r="AJ27" s="1585"/>
      <c r="AK27" s="1585"/>
      <c r="AL27" s="1586"/>
      <c r="AM27" s="2702" t="s">
        <v>1054</v>
      </c>
      <c r="AN27" s="3657"/>
      <c r="AO27" s="135"/>
      <c r="AP27" s="2070"/>
      <c r="AQ27" s="1703"/>
      <c r="AR27" s="1703"/>
      <c r="AS27" s="1703"/>
    </row>
    <row r="28" spans="1:45" ht="13.5" customHeight="1" thickBot="1">
      <c r="A28" s="112"/>
      <c r="B28" s="1099"/>
      <c r="C28" s="183"/>
      <c r="D28" s="2783" t="str">
        <f>IF(NOT(CGTW),"",IF(OR(SchD_NotReqd&lt;&gt;"",AND(SchDLine15=0,SchDLine16=0)),"","X"))</f>
        <v/>
      </c>
      <c r="E28" s="61" t="s">
        <v>265</v>
      </c>
      <c r="F28" s="399" t="s">
        <v>15</v>
      </c>
      <c r="G28" s="563"/>
      <c r="H28" s="183"/>
      <c r="I28" s="183"/>
      <c r="J28" s="183"/>
      <c r="K28" s="183"/>
      <c r="L28" s="183"/>
      <c r="M28" s="183"/>
      <c r="N28" s="85"/>
      <c r="O28" s="1104"/>
      <c r="P28" s="112"/>
      <c r="Q28" s="564"/>
      <c r="R28" s="1703"/>
      <c r="S28" s="1703"/>
      <c r="AC28" s="2117"/>
      <c r="AD28" s="2695" t="s">
        <v>1051</v>
      </c>
      <c r="AE28" s="1427"/>
      <c r="AF28" s="178" t="s">
        <v>3059</v>
      </c>
      <c r="AG28" s="344"/>
      <c r="AH28" s="344"/>
      <c r="AI28" s="1353"/>
      <c r="AJ28" s="1585"/>
      <c r="AK28" s="1585"/>
      <c r="AL28" s="1586"/>
      <c r="AM28" s="2702" t="s">
        <v>1051</v>
      </c>
      <c r="AN28" s="3656" t="str">
        <f>IF(FEI_Tax_Worksheet,SUM(AN25,-AN27),"")</f>
        <v/>
      </c>
      <c r="AO28" s="135"/>
      <c r="AP28" s="2070"/>
      <c r="AQ28" s="1703"/>
      <c r="AR28" s="1703"/>
      <c r="AS28" s="1703"/>
    </row>
    <row r="29" spans="1:45" ht="13.5" customHeight="1">
      <c r="A29" s="112"/>
      <c r="B29" s="1099"/>
      <c r="C29" s="183"/>
      <c r="D29" s="711"/>
      <c r="E29" s="85"/>
      <c r="F29" s="399" t="s">
        <v>1751</v>
      </c>
      <c r="G29" s="359"/>
      <c r="H29" s="183"/>
      <c r="I29" s="183"/>
      <c r="J29" s="183"/>
      <c r="K29" s="183"/>
      <c r="L29" s="183"/>
      <c r="M29" s="183"/>
      <c r="N29" s="85"/>
      <c r="O29" s="1104"/>
      <c r="P29" s="112"/>
      <c r="Q29" s="564"/>
      <c r="R29" s="1703"/>
      <c r="S29" s="1703"/>
      <c r="AC29" s="2117"/>
      <c r="AD29" s="1429"/>
      <c r="AE29" s="1427"/>
      <c r="AF29" s="178"/>
      <c r="AG29" s="344"/>
      <c r="AH29" s="344"/>
      <c r="AI29" s="1353"/>
      <c r="AJ29" s="1585"/>
      <c r="AK29" s="1585"/>
      <c r="AL29" s="1586"/>
      <c r="AM29" s="1586"/>
      <c r="AN29" s="1586"/>
      <c r="AO29" s="135"/>
      <c r="AP29" s="2070"/>
      <c r="AQ29" s="1703"/>
      <c r="AR29" s="1703"/>
      <c r="AS29" s="1703"/>
    </row>
    <row r="30" spans="1:45" ht="13.5" customHeight="1" thickBot="1">
      <c r="A30" s="112"/>
      <c r="B30" s="1099"/>
      <c r="C30" s="183"/>
      <c r="D30" s="711"/>
      <c r="E30" s="85"/>
      <c r="F30" s="2843" t="s">
        <v>1752</v>
      </c>
      <c r="G30" s="359"/>
      <c r="H30" s="183"/>
      <c r="I30" s="183" t="s">
        <v>1</v>
      </c>
      <c r="J30" s="2846" t="str">
        <f>IF(NOT(CGTW),"",IF(D31="X",'1040'!AB46,IF(D28="X",IF(OR(SchDLine15="",SchDLine15&lt;=0,SchDLine16="",SchDLine16&lt;=0),0,MIN(SchDLine15,SchDLine16)),"")))</f>
        <v/>
      </c>
      <c r="K30" s="183"/>
      <c r="L30" s="183"/>
      <c r="M30" s="183"/>
      <c r="N30" s="85"/>
      <c r="O30" s="1104"/>
      <c r="P30" s="112"/>
      <c r="Q30" s="564"/>
      <c r="R30" s="1703"/>
      <c r="S30" s="1703"/>
      <c r="AC30" s="2117"/>
      <c r="AD30" s="2695" t="s">
        <v>1</v>
      </c>
      <c r="AE30" s="1427"/>
      <c r="AF30" s="178" t="s">
        <v>3060</v>
      </c>
      <c r="AG30" s="344"/>
      <c r="AH30" s="344"/>
      <c r="AI30" s="1353"/>
      <c r="AJ30" s="1585"/>
      <c r="AK30" s="1585"/>
      <c r="AL30" s="1586"/>
      <c r="AM30" s="2702" t="s">
        <v>1</v>
      </c>
      <c r="AN30" s="3656" t="str">
        <f>IF(FEI_Tax_Worksheet,SUM(AN22,AN28),"")</f>
        <v/>
      </c>
      <c r="AO30" s="135"/>
      <c r="AP30" s="2070"/>
      <c r="AQ30" s="1703"/>
      <c r="AR30" s="1703"/>
      <c r="AS30" s="1703"/>
    </row>
    <row r="31" spans="1:45" ht="13.5" customHeight="1" thickBot="1">
      <c r="A31" s="112"/>
      <c r="B31" s="1099"/>
      <c r="C31" s="183"/>
      <c r="D31" s="2783" t="str">
        <f>IF(NOT(CGTW),"",IF(OR(SchD_NotReqd&lt;&gt;"",AND(SchDLine15=0,SchDLine16=0)),"X",""))</f>
        <v/>
      </c>
      <c r="E31" s="61" t="s">
        <v>297</v>
      </c>
      <c r="F31" s="399" t="s">
        <v>259</v>
      </c>
      <c r="G31" s="359"/>
      <c r="H31" s="183"/>
      <c r="I31" s="183"/>
      <c r="J31" s="1126"/>
      <c r="K31" s="183"/>
      <c r="L31" s="183"/>
      <c r="M31" s="183"/>
      <c r="N31" s="1105"/>
      <c r="O31" s="1104"/>
      <c r="P31" s="112"/>
      <c r="Q31" s="564"/>
      <c r="R31" s="1703"/>
      <c r="S31" s="1703"/>
      <c r="T31" s="338" t="str">
        <f>"FEI_TW_Line3"</f>
        <v>FEI_TW_Line3</v>
      </c>
      <c r="AC31" s="2117"/>
      <c r="AD31" s="1429"/>
      <c r="AE31" s="1427"/>
      <c r="AF31" s="178"/>
      <c r="AG31" s="344"/>
      <c r="AH31" s="344"/>
      <c r="AI31" s="1353"/>
      <c r="AJ31" s="1585"/>
      <c r="AK31" s="1585"/>
      <c r="AL31" s="1586"/>
      <c r="AM31" s="1586"/>
      <c r="AN31" s="1586"/>
      <c r="AO31" s="135"/>
      <c r="AP31" s="2070"/>
      <c r="AQ31" s="1703"/>
      <c r="AR31" s="1703"/>
      <c r="AS31" s="1703"/>
    </row>
    <row r="32" spans="1:45" ht="13.5" customHeight="1">
      <c r="A32" s="112"/>
      <c r="B32" s="1099"/>
      <c r="C32" s="183" t="s">
        <v>642</v>
      </c>
      <c r="D32" s="359"/>
      <c r="E32" s="85" t="s">
        <v>189</v>
      </c>
      <c r="F32" s="85"/>
      <c r="G32" s="85"/>
      <c r="H32" s="583" t="s">
        <v>1014</v>
      </c>
      <c r="I32" s="183" t="s">
        <v>642</v>
      </c>
      <c r="J32" s="2781" t="str">
        <f>IF(NOT(CGTW),"",SUM(J26,J30))</f>
        <v/>
      </c>
      <c r="K32" s="183"/>
      <c r="L32" s="183"/>
      <c r="M32" s="183"/>
      <c r="N32" s="1105"/>
      <c r="O32" s="1104"/>
      <c r="P32" s="112"/>
      <c r="Q32" s="564"/>
      <c r="R32" s="1703"/>
      <c r="S32" s="1703"/>
      <c r="T32" s="770" t="str">
        <f>FEI_TW_Line3</f>
        <v/>
      </c>
      <c r="U32" s="771"/>
      <c r="V32" s="771"/>
      <c r="W32" s="771"/>
      <c r="X32" s="771"/>
      <c r="Y32" s="771"/>
      <c r="Z32" s="771"/>
      <c r="AA32" s="771"/>
      <c r="AB32" s="772"/>
      <c r="AC32" s="2117"/>
      <c r="AD32" s="2695" t="s">
        <v>642</v>
      </c>
      <c r="AE32" s="1427"/>
      <c r="AF32" s="178" t="s">
        <v>3091</v>
      </c>
      <c r="AG32" s="344"/>
      <c r="AH32" s="344"/>
      <c r="AI32" s="1353"/>
      <c r="AJ32" s="1585"/>
      <c r="AK32" s="1585"/>
      <c r="AL32" s="1586"/>
      <c r="AM32" s="1586"/>
      <c r="AN32" s="1586"/>
      <c r="AO32" s="135"/>
      <c r="AP32" s="2070"/>
      <c r="AQ32" s="1703"/>
      <c r="AR32" s="1703"/>
      <c r="AS32" s="1703"/>
    </row>
    <row r="33" spans="1:45" ht="13.5" customHeight="1">
      <c r="A33" s="112"/>
      <c r="B33" s="1099"/>
      <c r="C33" s="183" t="s">
        <v>53</v>
      </c>
      <c r="D33" s="359"/>
      <c r="E33" s="85" t="s">
        <v>2101</v>
      </c>
      <c r="F33" s="85"/>
      <c r="G33" s="85"/>
      <c r="H33" s="183"/>
      <c r="I33" s="183"/>
      <c r="J33" s="798"/>
      <c r="K33" s="183"/>
      <c r="L33" s="183"/>
      <c r="M33" s="183"/>
      <c r="N33" s="569"/>
      <c r="O33" s="1104"/>
      <c r="P33" s="112"/>
      <c r="Q33" s="564"/>
      <c r="R33" s="1703"/>
      <c r="S33" s="1703"/>
      <c r="T33" s="773" t="str">
        <f>IF(T32&lt;&gt;"",ROUND(T32,0),"")</f>
        <v/>
      </c>
      <c r="U33" s="774" t="s">
        <v>124</v>
      </c>
      <c r="V33" s="1491" t="s">
        <v>894</v>
      </c>
      <c r="W33" s="656" t="s">
        <v>739</v>
      </c>
      <c r="X33" s="656" t="s">
        <v>740</v>
      </c>
      <c r="Y33" s="656" t="s">
        <v>124</v>
      </c>
      <c r="Z33" s="1491" t="s">
        <v>894</v>
      </c>
      <c r="AA33" s="656" t="s">
        <v>739</v>
      </c>
      <c r="AB33" s="659" t="s">
        <v>740</v>
      </c>
      <c r="AC33" s="2117"/>
      <c r="AD33" s="1429"/>
      <c r="AE33" s="1427"/>
      <c r="AF33" s="178" t="s">
        <v>3092</v>
      </c>
      <c r="AG33" s="344"/>
      <c r="AH33" s="344"/>
      <c r="AI33" s="1353"/>
      <c r="AJ33" s="1585"/>
      <c r="AK33" s="1585"/>
      <c r="AL33" s="1586"/>
      <c r="AM33" s="1586"/>
      <c r="AN33" s="1586"/>
      <c r="AO33" s="135"/>
      <c r="AP33" s="2070"/>
      <c r="AQ33" s="1703"/>
      <c r="AR33" s="1703"/>
      <c r="AS33" s="1703"/>
    </row>
    <row r="34" spans="1:45" ht="13.5" customHeight="1">
      <c r="A34" s="112"/>
      <c r="B34" s="1099"/>
      <c r="C34" s="183"/>
      <c r="D34" s="359"/>
      <c r="E34" s="85" t="s">
        <v>2102</v>
      </c>
      <c r="F34" s="85"/>
      <c r="G34" s="85"/>
      <c r="H34" s="183"/>
      <c r="I34" s="183"/>
      <c r="J34" s="797"/>
      <c r="K34" s="183"/>
      <c r="L34" s="183"/>
      <c r="M34" s="183"/>
      <c r="N34" s="569"/>
      <c r="O34" s="1104"/>
      <c r="P34" s="112"/>
      <c r="Q34" s="564"/>
      <c r="R34" s="1703"/>
      <c r="S34" s="1703"/>
      <c r="T34" s="773" t="str">
        <f>IF(T32="","",IF(T32&gt;=3000,INT(T33/50),IF(T32&gt;=25,INT(T33/25),IF(T32&gt;=5,INT((T33+5)/10),0))))</f>
        <v/>
      </c>
      <c r="U34" s="876" t="e">
        <f>LOOKUP(T35,'Tax Table'!$A$2:$A$2063,'Tax Table'!$C$2:$C$2063)</f>
        <v>#N/A</v>
      </c>
      <c r="V34" s="876" t="e">
        <f>LOOKUP(T35,'Tax Table'!$A$2:$A$2063,'Tax Table'!$D$2:$D$2063)</f>
        <v>#N/A</v>
      </c>
      <c r="W34" s="876" t="e">
        <f>LOOKUP(T35,'Tax Table'!$A$2:$A$2063,'Tax Table'!$E$2:$E$2063)</f>
        <v>#N/A</v>
      </c>
      <c r="X34" s="876" t="e">
        <f>LOOKUP(T35,'Tax Table'!$A$2:$A$2063,'Tax Table'!$F$2:$F$2063)</f>
        <v>#N/A</v>
      </c>
      <c r="Y34" s="876" t="str">
        <f>"---"</f>
        <v>---</v>
      </c>
      <c r="Z34" s="876" t="str">
        <f>"---"</f>
        <v>---</v>
      </c>
      <c r="AA34" s="876" t="str">
        <f>"---"</f>
        <v>---</v>
      </c>
      <c r="AB34" s="877" t="str">
        <f>"---"</f>
        <v>---</v>
      </c>
      <c r="AC34" s="2117"/>
      <c r="AD34" s="1429"/>
      <c r="AE34" s="1427"/>
      <c r="AF34" s="178" t="s">
        <v>3093</v>
      </c>
      <c r="AG34" s="344"/>
      <c r="AH34" s="344"/>
      <c r="AI34" s="1353"/>
      <c r="AJ34" s="1585"/>
      <c r="AK34" s="1585"/>
      <c r="AL34" s="1586"/>
      <c r="AM34" s="1586"/>
      <c r="AN34" s="1586"/>
      <c r="AO34" s="135"/>
      <c r="AP34" s="2070"/>
      <c r="AQ34" s="1703"/>
      <c r="AR34" s="1703"/>
      <c r="AS34" s="1703"/>
    </row>
    <row r="35" spans="1:45" ht="13.5" customHeight="1">
      <c r="A35" s="112"/>
      <c r="B35" s="1099"/>
      <c r="C35" s="183"/>
      <c r="D35" s="359"/>
      <c r="E35" s="85" t="s">
        <v>2103</v>
      </c>
      <c r="F35" s="85"/>
      <c r="G35" s="85"/>
      <c r="H35" s="183"/>
      <c r="I35" s="183" t="s">
        <v>53</v>
      </c>
      <c r="J35" s="2782"/>
      <c r="K35" s="183"/>
      <c r="L35" s="183"/>
      <c r="M35" s="183"/>
      <c r="N35" s="569"/>
      <c r="O35" s="1104"/>
      <c r="P35" s="112"/>
      <c r="Q35" s="564"/>
      <c r="R35" s="1703"/>
      <c r="S35" s="1703"/>
      <c r="T35" s="775" t="str">
        <f>IF(T34="","",IF(T33&gt;=3000,50*T34,IF(T33&gt;=25,25*T34,IF(T33&gt;=5,(10*T34)-5,T33))))</f>
        <v/>
      </c>
      <c r="U35" s="876" t="e">
        <f>LOOKUP(T35,'Tax Table'!$A$2:$A$2063,'Tax Table'!$C$2:$C$2063)</f>
        <v>#N/A</v>
      </c>
      <c r="V35" s="876" t="e">
        <f>LOOKUP(T35,'Tax Table'!$A$2:$A$2063,'Tax Table'!$D$2:$D$2063)</f>
        <v>#N/A</v>
      </c>
      <c r="W35" s="876" t="e">
        <f>LOOKUP(T35,'Tax Table'!$A$2:$A$2063,'Tax Table'!$E$2:$E$2063)</f>
        <v>#N/A</v>
      </c>
      <c r="X35" s="876" t="e">
        <f>LOOKUP(T35,'Tax Table'!$A$2:$A$2063,'Tax Table'!$F$2:$F$2063)</f>
        <v>#N/A</v>
      </c>
      <c r="Y35" s="876" t="e">
        <f>IF(T32&lt;SectA_a3,"---",IF(T32&lt;=SectA_a4,ROUND((T32*(SectA_b4/100)-SectA_d4),0),IF(T32&lt;=SectA_a5,ROUND((T32*(SectA_b5/100)-SectA_d5),0),IF(T32&lt;=SectA_a6,ROUND((T32*(SectA_b6/100)-SectA_d6),0),ROUND((T32*(SectA_b7/100)-SectA_d7),0)))))</f>
        <v>#VALUE!</v>
      </c>
      <c r="Z35" s="876" t="e">
        <f>IF(T32&lt;SectB_a2,"---",IF(T32&lt;=SectB_a3,ROUND((T32*(SectB_b3/100)-SectB_d3),0),IF(T32&lt;=SectB_a4,ROUND((T32*(SectB_b4/100)-SectB_d4),0),IF(T32&lt;=SectB_a5,ROUND((T32*(SectB_b5/100)-SectB_d5),0),IF(T32&lt;=SectB_a6,ROUND((T32*(SectB_b6/100)-SectB_d6),0),ROUND((T32*(SectB_b7/100)-SectB_d7),0))))))</f>
        <v>#VALUE!</v>
      </c>
      <c r="AA35" s="876" t="e">
        <f>IF(T32&lt;SectC_a2,"---",IF(T32&lt;=SectC_a3,ROUND((T32*(SectC_b3/100)-SectC_d3),0),IF(T32&lt;=SectC_a4,ROUND((T32*(SectC_b4/100)-SectC_d4),0),IF(T32&lt;=SectC_a5,ROUND((T32*(SectC_b5/100)-SectC_d5),0),ROUND((T32*(SectC_b6/100)-SectC_d6),0)))))</f>
        <v>#VALUE!</v>
      </c>
      <c r="AB35" s="877" t="e">
        <f>IF(T32&lt;SectD_a2,"---",IF(T32&lt;=SectD_a3,ROUND((T32*(SectD_b3/100)-SectD_d3),0),IF(T32&lt;=SectD_a4,ROUND((T32*(SectD_b4/100)-SectD_d4),0),IF(T32&lt;=SectD_a5,ROUND((T32*(SectD_b5/100)-SectD_d5),0),IF(T32&lt;=SectD_a6,ROUND((T32*(SectD_b6/100)-SectD_d6),0),ROUND((T32*(SectD_b7/100)-SectD_d7),0))))))</f>
        <v>#VALUE!</v>
      </c>
      <c r="AC35" s="2117"/>
      <c r="AD35" s="1429"/>
      <c r="AE35" s="1427"/>
      <c r="AF35" s="178" t="s">
        <v>3094</v>
      </c>
      <c r="AG35" s="344"/>
      <c r="AH35" s="344"/>
      <c r="AI35" s="1353"/>
      <c r="AJ35" s="1585"/>
      <c r="AK35" s="1585"/>
      <c r="AL35" s="1586"/>
      <c r="AM35" s="1586"/>
      <c r="AN35" s="1586"/>
      <c r="AO35" s="135"/>
      <c r="AP35" s="2070"/>
      <c r="AQ35" s="1703"/>
      <c r="AR35" s="1703"/>
      <c r="AS35" s="1703"/>
    </row>
    <row r="36" spans="1:45" ht="13.5" customHeight="1">
      <c r="A36" s="112"/>
      <c r="B36" s="1099"/>
      <c r="C36" s="183" t="s">
        <v>122</v>
      </c>
      <c r="D36" s="359"/>
      <c r="E36" s="85" t="s">
        <v>16</v>
      </c>
      <c r="F36" s="85"/>
      <c r="G36" s="85"/>
      <c r="H36" s="85"/>
      <c r="I36" s="85"/>
      <c r="J36" s="583" t="s">
        <v>1013</v>
      </c>
      <c r="K36" s="583" t="str">
        <f>C36</f>
        <v>6.</v>
      </c>
      <c r="L36" s="2781" t="str">
        <f>IF(NOT(CGTW),"",IF(J32-J35&lt;=0,0,J32-J35))</f>
        <v/>
      </c>
      <c r="M36" s="85"/>
      <c r="N36" s="569"/>
      <c r="O36" s="1104"/>
      <c r="P36" s="1115"/>
      <c r="Q36" s="564"/>
      <c r="R36" s="1703"/>
      <c r="S36" s="1703"/>
      <c r="T36" s="658" t="str">
        <f>IF(File_Single&lt;&gt;"",U35,IF(File_Marr_Joint&lt;&gt;"",V35,IF(File_Marr_Sep&lt;&gt;"", W35,IF(File_Head&lt;&gt;"",X35,IF(File_Qual_Widow&lt;&gt;"",V35,"Filing status?")))))</f>
        <v>Filing status?</v>
      </c>
      <c r="U36" s="656" t="str">
        <f>"&lt;100k"</f>
        <v>&lt;100k</v>
      </c>
      <c r="V36" s="1190"/>
      <c r="W36" s="1190"/>
      <c r="X36" s="1190"/>
      <c r="Y36" s="1190"/>
      <c r="Z36" s="1190"/>
      <c r="AA36" s="656"/>
      <c r="AB36" s="659"/>
      <c r="AC36" s="2117"/>
      <c r="AD36" s="1429"/>
      <c r="AE36" s="1427"/>
      <c r="AF36" s="178" t="s">
        <v>3095</v>
      </c>
      <c r="AG36" s="344"/>
      <c r="AH36" s="344"/>
      <c r="AI36" s="1353"/>
      <c r="AJ36" s="1585"/>
      <c r="AK36" s="1585"/>
      <c r="AL36" s="1586"/>
      <c r="AM36" s="2702" t="s">
        <v>642</v>
      </c>
      <c r="AN36" s="3656" t="str">
        <f>IF(AR36&lt;&gt;"",ROUND(AR36,0),IF(NOT(FEI_Tax_Worksheet),"",IF(CGTW,CGTW_Tax,IF(FEI_TW_Line3&gt;=100000,T37,T36))))</f>
        <v/>
      </c>
      <c r="AO36" s="135"/>
      <c r="AP36" s="2070"/>
      <c r="AQ36" s="1703"/>
      <c r="AR36" s="4520"/>
      <c r="AS36" s="1703"/>
    </row>
    <row r="37" spans="1:45" ht="12.75" customHeight="1" thickBot="1">
      <c r="A37" s="112"/>
      <c r="B37" s="1099"/>
      <c r="C37" s="183" t="s">
        <v>123</v>
      </c>
      <c r="D37" s="359"/>
      <c r="E37" s="85" t="s">
        <v>17</v>
      </c>
      <c r="F37" s="85"/>
      <c r="G37" s="85"/>
      <c r="H37" s="85"/>
      <c r="I37" s="85"/>
      <c r="J37" s="583" t="s">
        <v>1013</v>
      </c>
      <c r="K37" s="583" t="str">
        <f>C37</f>
        <v>7.</v>
      </c>
      <c r="L37" s="2781" t="str">
        <f>IF(NOT(CGTW),"",IF(SUM(CGTW_Line1,-L36)&lt;=0,0,SUM(CGTW_Line1,-L36)))</f>
        <v/>
      </c>
      <c r="M37" s="85"/>
      <c r="N37" s="569"/>
      <c r="O37" s="1104"/>
      <c r="P37" s="1115"/>
      <c r="Q37" s="564"/>
      <c r="R37" s="1703"/>
      <c r="S37" s="1703"/>
      <c r="T37" s="657" t="str">
        <f>IF(File_Single&lt;&gt;"",Y35,IF(OR(File_Marr_Joint&lt;&gt;"",File_Qual_Widow&lt;&gt;""),Z35,IF(File_Marr_Sep&lt;&gt;"", AA35,IF(File_Head&lt;&gt;"",AB35,"Filing status?"))))</f>
        <v>Filing status?</v>
      </c>
      <c r="U37" s="776" t="str">
        <f>"&gt;=100k"</f>
        <v>&gt;=100k</v>
      </c>
      <c r="V37" s="776"/>
      <c r="W37" s="776"/>
      <c r="X37" s="776"/>
      <c r="Y37" s="776"/>
      <c r="Z37" s="776"/>
      <c r="AA37" s="776"/>
      <c r="AB37" s="777"/>
      <c r="AC37" s="2117"/>
      <c r="AD37" s="1429"/>
      <c r="AE37" s="1427"/>
      <c r="AF37" s="178"/>
      <c r="AG37" s="344"/>
      <c r="AH37" s="344"/>
      <c r="AI37" s="1353"/>
      <c r="AJ37" s="1585"/>
      <c r="AK37" s="1585"/>
      <c r="AL37" s="1586"/>
      <c r="AM37" s="1586"/>
      <c r="AN37" s="1586"/>
      <c r="AO37" s="135"/>
      <c r="AP37" s="2070"/>
      <c r="AQ37" s="1703"/>
      <c r="AR37" s="1703"/>
      <c r="AS37" s="1703"/>
    </row>
    <row r="38" spans="1:45">
      <c r="A38" s="112"/>
      <c r="B38" s="1099"/>
      <c r="C38" s="183" t="s">
        <v>338</v>
      </c>
      <c r="D38" s="85"/>
      <c r="E38" s="85" t="s">
        <v>1008</v>
      </c>
      <c r="F38" s="85"/>
      <c r="G38" s="45"/>
      <c r="H38" s="45"/>
      <c r="I38" s="45"/>
      <c r="J38" s="45"/>
      <c r="K38" s="583"/>
      <c r="L38" s="1105"/>
      <c r="M38" s="45"/>
      <c r="N38" s="1106"/>
      <c r="O38" s="1104"/>
      <c r="P38" s="1115"/>
      <c r="Q38" s="564"/>
      <c r="R38" s="1703"/>
      <c r="S38" s="1703"/>
      <c r="AC38" s="2117"/>
      <c r="AD38" s="2695" t="s">
        <v>53</v>
      </c>
      <c r="AE38" s="1427"/>
      <c r="AF38" s="178" t="s">
        <v>3096</v>
      </c>
      <c r="AG38" s="344"/>
      <c r="AH38" s="344"/>
      <c r="AI38" s="1353"/>
      <c r="AJ38" s="1585"/>
      <c r="AK38" s="1585"/>
      <c r="AL38" s="1586"/>
      <c r="AM38" s="1586"/>
      <c r="AN38" s="1586"/>
      <c r="AO38" s="135"/>
      <c r="AP38" s="2070"/>
      <c r="AQ38" s="1703"/>
      <c r="AR38" s="1703"/>
      <c r="AS38" s="1703"/>
    </row>
    <row r="39" spans="1:45" ht="13.5" thickBot="1">
      <c r="A39" s="112"/>
      <c r="B39" s="1099"/>
      <c r="C39" s="183"/>
      <c r="D39" s="1107"/>
      <c r="E39" s="85" t="str">
        <f>TEXT(N39,"$0,000")&amp;" if single or married filing separately,"</f>
        <v>$37,650 if single or married filing separately,</v>
      </c>
      <c r="F39" s="85"/>
      <c r="G39" s="85"/>
      <c r="H39" s="45"/>
      <c r="I39" s="45"/>
      <c r="J39" s="183"/>
      <c r="K39" s="45"/>
      <c r="L39" s="45"/>
      <c r="M39" s="45"/>
      <c r="N39" s="712">
        <v>37650</v>
      </c>
      <c r="O39" s="1108"/>
      <c r="P39" s="1115"/>
      <c r="Q39" s="564"/>
      <c r="R39" s="1703"/>
      <c r="S39" s="1703"/>
      <c r="T39" s="338" t="str">
        <f>"FEI_TW_Line2c"</f>
        <v>FEI_TW_Line2c</v>
      </c>
      <c r="U39" s="11"/>
      <c r="V39" s="11"/>
      <c r="W39" s="11"/>
      <c r="X39" s="11"/>
      <c r="Y39" s="11"/>
      <c r="Z39" s="11"/>
      <c r="AA39" s="11"/>
      <c r="AB39" s="11"/>
      <c r="AC39" s="2117"/>
      <c r="AD39" s="1429"/>
      <c r="AE39" s="1427"/>
      <c r="AF39" s="178" t="s">
        <v>3097</v>
      </c>
      <c r="AG39" s="344"/>
      <c r="AH39" s="344"/>
      <c r="AI39" s="1353"/>
      <c r="AJ39" s="1585"/>
      <c r="AK39" s="1585"/>
      <c r="AL39" s="1586"/>
      <c r="AM39" s="1586"/>
      <c r="AN39" s="1586"/>
      <c r="AO39" s="135"/>
      <c r="AP39" s="2070"/>
      <c r="AQ39" s="1703"/>
      <c r="AR39" s="1703"/>
      <c r="AS39" s="1703"/>
    </row>
    <row r="40" spans="1:45">
      <c r="A40" s="112"/>
      <c r="B40" s="1099"/>
      <c r="C40" s="183"/>
      <c r="D40" s="1107"/>
      <c r="E40" s="85" t="str">
        <f>TEXT(N40,"$0,000")&amp;" if married filing jointly or qualifying widow(er),"</f>
        <v>$75,300 if married filing jointly or qualifying widow(er),</v>
      </c>
      <c r="F40" s="85"/>
      <c r="G40" s="85"/>
      <c r="H40" s="45"/>
      <c r="I40" s="45"/>
      <c r="J40" s="583" t="s">
        <v>1012</v>
      </c>
      <c r="K40" s="183" t="s">
        <v>338</v>
      </c>
      <c r="L40" s="2781" t="str">
        <f>IF(NOT(CGTW),"",N42)</f>
        <v/>
      </c>
      <c r="M40" s="45"/>
      <c r="N40" s="712">
        <v>75300</v>
      </c>
      <c r="O40" s="1108"/>
      <c r="P40" s="1115"/>
      <c r="Q40" s="564"/>
      <c r="R40" s="1703"/>
      <c r="S40" s="1703"/>
      <c r="T40" s="770" t="str">
        <f>FEI_TW_Line2c</f>
        <v/>
      </c>
      <c r="U40" s="771" t="e">
        <f>LOOKUP(T40,'Tax Table'!$A$2:$A$2063,'Tax Table'!$C$2:$C$2063)</f>
        <v>#N/A</v>
      </c>
      <c r="V40" s="771" t="e">
        <f>LOOKUP(T40,'Tax Table'!$A$2:$A$2063,'Tax Table'!$D$2:$D$2063)</f>
        <v>#N/A</v>
      </c>
      <c r="W40" s="771" t="e">
        <f>LOOKUP(T40,'Tax Table'!$A$2:$A$2063,'Tax Table'!$E$2:$E$2063)</f>
        <v>#N/A</v>
      </c>
      <c r="X40" s="771" t="e">
        <f>LOOKUP(T40,'Tax Table'!$A$2:$A$2063,'Tax Table'!$F$2:$F$2063)</f>
        <v>#N/A</v>
      </c>
      <c r="Y40" s="771"/>
      <c r="Z40" s="771"/>
      <c r="AA40" s="771"/>
      <c r="AB40" s="772"/>
      <c r="AC40" s="2117"/>
      <c r="AD40" s="1429"/>
      <c r="AE40" s="1427"/>
      <c r="AF40" s="178" t="s">
        <v>575</v>
      </c>
      <c r="AG40" s="344"/>
      <c r="AH40" s="344"/>
      <c r="AI40" s="1353"/>
      <c r="AJ40" s="1585"/>
      <c r="AK40" s="1585"/>
      <c r="AL40" s="1586"/>
      <c r="AM40" s="2702" t="s">
        <v>53</v>
      </c>
      <c r="AN40" s="3656" t="str">
        <f>IF(AR40&lt;&gt;"",ROUND(AR40,0),IF(FEI_Tax_Worksheet,IF(FEI_TW_Line2c&gt;=100000,T45,T44),""))</f>
        <v/>
      </c>
      <c r="AO40" s="135"/>
      <c r="AP40" s="2070"/>
      <c r="AQ40" s="1703"/>
      <c r="AR40" s="4520"/>
      <c r="AS40" s="1703"/>
    </row>
    <row r="41" spans="1:45" ht="12" customHeight="1">
      <c r="A41" s="112"/>
      <c r="B41" s="1099"/>
      <c r="C41" s="183"/>
      <c r="D41" s="1107"/>
      <c r="E41" s="85" t="str">
        <f>TEXT(N41,"$0,000")&amp;" if head of household."</f>
        <v>$50,400 if head of household.</v>
      </c>
      <c r="F41" s="85"/>
      <c r="G41" s="85"/>
      <c r="H41" s="45"/>
      <c r="I41" s="45"/>
      <c r="J41" s="69"/>
      <c r="K41" s="45"/>
      <c r="L41" s="45"/>
      <c r="M41" s="45"/>
      <c r="N41" s="712">
        <v>50400</v>
      </c>
      <c r="O41" s="1109"/>
      <c r="P41" s="1115"/>
      <c r="Q41" s="564"/>
      <c r="R41" s="1703"/>
      <c r="S41" s="1703"/>
      <c r="T41" s="773" t="str">
        <f>IF(T40&lt;&gt;"",ROUND(T40,0),"")</f>
        <v/>
      </c>
      <c r="U41" s="774" t="s">
        <v>124</v>
      </c>
      <c r="V41" s="1491" t="s">
        <v>894</v>
      </c>
      <c r="W41" s="656" t="s">
        <v>739</v>
      </c>
      <c r="X41" s="656" t="s">
        <v>740</v>
      </c>
      <c r="Y41" s="656" t="s">
        <v>124</v>
      </c>
      <c r="Z41" s="1491" t="s">
        <v>894</v>
      </c>
      <c r="AA41" s="656" t="s">
        <v>739</v>
      </c>
      <c r="AB41" s="659" t="s">
        <v>740</v>
      </c>
      <c r="AC41" s="2117"/>
      <c r="AD41" s="1429"/>
      <c r="AE41" s="1427"/>
      <c r="AF41" s="178"/>
      <c r="AG41" s="344"/>
      <c r="AH41" s="344"/>
      <c r="AI41" s="1353"/>
      <c r="AJ41" s="1585"/>
      <c r="AK41" s="1585"/>
      <c r="AL41" s="1586"/>
      <c r="AM41" s="1586"/>
      <c r="AN41" s="1586"/>
      <c r="AO41" s="135"/>
      <c r="AP41" s="2070"/>
      <c r="AQ41" s="1703"/>
      <c r="AR41" s="1703"/>
      <c r="AS41" s="1703"/>
    </row>
    <row r="42" spans="1:45" ht="13.5" customHeight="1">
      <c r="A42" s="112"/>
      <c r="B42" s="1110"/>
      <c r="C42" s="183" t="s">
        <v>339</v>
      </c>
      <c r="D42" s="1107"/>
      <c r="E42" s="85" t="s">
        <v>960</v>
      </c>
      <c r="F42" s="687"/>
      <c r="G42" s="85"/>
      <c r="H42" s="85"/>
      <c r="I42" s="85"/>
      <c r="J42" s="583" t="s">
        <v>1011</v>
      </c>
      <c r="K42" s="183" t="s">
        <v>339</v>
      </c>
      <c r="L42" s="2781">
        <f>MIN(CGTW_Line1,L40)</f>
        <v>0</v>
      </c>
      <c r="M42" s="85"/>
      <c r="N42" s="712" t="str">
        <f>IF(OR(File_Single&lt;&gt;"",File_Marr_Sep&lt;&gt;""),N39,IF(OR(File_Marr_Joint&lt;&gt;"",File_Qual_Widow&lt;&gt;""),N40,IF(File_Head&lt;&gt;"",N41,"")))</f>
        <v/>
      </c>
      <c r="O42" s="1104"/>
      <c r="P42" s="1115"/>
      <c r="Q42" s="564"/>
      <c r="R42" s="1703"/>
      <c r="S42" s="1703"/>
      <c r="T42" s="773" t="str">
        <f>IF(T40="","",IF(T40&gt;=3000,INT(T41/50),IF(T40&gt;=25,INT(T41/25),IF(T40&gt;=5,INT((T41+5)/10),0))))</f>
        <v/>
      </c>
      <c r="U42" s="876" t="e">
        <f>LOOKUP(T43,'Tax Table'!$A$2:$A$2063,'Tax Table'!$C$2:$C$2063)</f>
        <v>#N/A</v>
      </c>
      <c r="V42" s="876" t="e">
        <f>LOOKUP(T43,'Tax Table'!$A$2:$A$2063,'Tax Table'!$D$2:$D$2063)</f>
        <v>#N/A</v>
      </c>
      <c r="W42" s="876" t="e">
        <f>LOOKUP(T43,'Tax Table'!$A$2:$A$2063,'Tax Table'!$E$2:$E$2063)</f>
        <v>#N/A</v>
      </c>
      <c r="X42" s="876" t="e">
        <f>LOOKUP(T43,'Tax Table'!$A$2:$A$2063,'Tax Table'!$F$2:$F$2063)</f>
        <v>#N/A</v>
      </c>
      <c r="Y42" s="876" t="str">
        <f>"---"</f>
        <v>---</v>
      </c>
      <c r="Z42" s="876" t="str">
        <f>"---"</f>
        <v>---</v>
      </c>
      <c r="AA42" s="876" t="str">
        <f>"---"</f>
        <v>---</v>
      </c>
      <c r="AB42" s="877" t="str">
        <f>"---"</f>
        <v>---</v>
      </c>
      <c r="AC42" s="2117"/>
      <c r="AD42" s="2695" t="s">
        <v>122</v>
      </c>
      <c r="AE42" s="1427"/>
      <c r="AF42" s="178" t="s">
        <v>3098</v>
      </c>
      <c r="AG42" s="344"/>
      <c r="AH42" s="344"/>
      <c r="AI42" s="1353"/>
      <c r="AJ42" s="1585"/>
      <c r="AK42" s="1585"/>
      <c r="AL42" s="1586"/>
      <c r="AM42" s="1586"/>
      <c r="AN42" s="1586"/>
      <c r="AO42" s="135"/>
      <c r="AP42" s="2070"/>
      <c r="AQ42" s="1703"/>
      <c r="AR42" s="1703"/>
      <c r="AS42" s="1703"/>
    </row>
    <row r="43" spans="1:45" ht="12" customHeight="1">
      <c r="A43" s="112"/>
      <c r="B43" s="1099"/>
      <c r="C43" s="183" t="s">
        <v>477</v>
      </c>
      <c r="D43" s="711"/>
      <c r="E43" s="85" t="s">
        <v>961</v>
      </c>
      <c r="F43" s="85"/>
      <c r="G43" s="359"/>
      <c r="H43" s="85"/>
      <c r="I43" s="85"/>
      <c r="J43" s="583" t="s">
        <v>1010</v>
      </c>
      <c r="K43" s="583" t="str">
        <f>C43</f>
        <v>10.</v>
      </c>
      <c r="L43" s="2781">
        <f>MIN(CGTW_Line7,L42)</f>
        <v>0</v>
      </c>
      <c r="M43" s="85"/>
      <c r="N43" s="85"/>
      <c r="O43" s="1104"/>
      <c r="P43" s="1115"/>
      <c r="Q43" s="564"/>
      <c r="R43" s="1703"/>
      <c r="S43" s="1703"/>
      <c r="T43" s="775" t="str">
        <f>IF(T42="","",IF(T41&gt;=3000,50*T42,IF(T41&gt;=25,25*T42,IF(T41&gt;=5,(10*T42)-5,T41))))</f>
        <v/>
      </c>
      <c r="U43" s="876" t="e">
        <f>LOOKUP(T43,'Tax Table'!$A$2:$A$2063,'Tax Table'!$C$2:$C$2063)</f>
        <v>#N/A</v>
      </c>
      <c r="V43" s="876" t="e">
        <f>LOOKUP(T43,'Tax Table'!$A$2:$A$2063,'Tax Table'!$D$2:$D$2063)</f>
        <v>#N/A</v>
      </c>
      <c r="W43" s="876" t="e">
        <f>LOOKUP(T43,'Tax Table'!$A$2:$A$2063,'Tax Table'!$E$2:$E$2063)</f>
        <v>#N/A</v>
      </c>
      <c r="X43" s="876" t="e">
        <f>LOOKUP(T43,'Tax Table'!$A$2:$A$2063,'Tax Table'!$F$2:$F$2063)</f>
        <v>#N/A</v>
      </c>
      <c r="Y43" s="876" t="e">
        <f>IF(T40&lt;SectA_a3,"---",IF(T40&lt;=SectA_a4,ROUND((T40*(SectA_b4/100)-SectA_d4),0),IF(T40&lt;=SectA_a5,ROUND((T40*(SectA_b5/100)-SectA_d5),0),IF(T40&lt;=SectA_a6,ROUND((T40*(SectA_b6/100)-SectA_d6),0),ROUND((T40*(SectA_b7/100)-SectA_d7),0)))))</f>
        <v>#VALUE!</v>
      </c>
      <c r="Z43" s="876" t="e">
        <f>IF(T40&lt;SectB_a2,"---",IF(T40&lt;=SectB_a3,ROUND((T40*(SectB_b3/100)-SectB_d3),0),IF(T40&lt;=SectB_a4,ROUND((T40*(SectB_b4/100)-SectB_d4),0),IF(T40&lt;=SectB_a5,ROUND((T40*(SectB_b5/100)-SectB_d5),0),IF(T40&lt;=SectB_a6,ROUND((T40*(SectB_b6/100)-SectB_d6),0),ROUND((T40*(SectB_b7/100)-SectB_d7),0))))))</f>
        <v>#VALUE!</v>
      </c>
      <c r="AA43" s="876" t="e">
        <f>IF(T40&lt;SectC_a2,"---",IF(T40&lt;=SectC_a3,ROUND((T40*(SectC_b3/100)-SectC_d3),0),IF(T40&lt;=SectC_a4,ROUND((T40*(SectC_b4/100)-SectC_d4),0),IF(T40&lt;=SectC_a5,ROUND((T40*(SectC_b5/100)-SectC_d5),0),ROUND((T40*(SectC_b6/100)-SectC_d6),0)))))</f>
        <v>#VALUE!</v>
      </c>
      <c r="AB43" s="877" t="e">
        <f>IF(T40&lt;SectD_a2,"---",IF(T40&lt;=SectD_a3,ROUND((T40*(SectD_b3/100)-SectD_d3),0),IF(T40&lt;=SectD_a4,ROUND((T40*(SectD_b4/100)-SectD_d4),0),IF(T40&lt;=SectD_a5,ROUND((T40*(SectD_b5/100)-SectD_d5),0),IF(T40&lt;=SectD_a6,ROUND((T40*(SectD_b6/100)-SectD_d6),0),ROUND((T40*(SectD_b7/100)-SectD_d7),0))))))</f>
        <v>#VALUE!</v>
      </c>
      <c r="AC43" s="2117"/>
      <c r="AD43" s="1429"/>
      <c r="AE43" s="1427"/>
      <c r="AF43" s="178" t="s">
        <v>3099</v>
      </c>
      <c r="AG43" s="344"/>
      <c r="AH43" s="344"/>
      <c r="AI43" s="1353"/>
      <c r="AJ43" s="1585"/>
      <c r="AK43" s="1585"/>
      <c r="AL43" s="1586"/>
      <c r="AM43" s="2702" t="s">
        <v>122</v>
      </c>
      <c r="AN43" s="3656" t="str">
        <f>IF(AR43&lt;&gt;"",ROUND(AR43,0),IF(FEI_Tax_Worksheet,SUM(AN36,-AN40),""))</f>
        <v/>
      </c>
      <c r="AO43" s="135"/>
      <c r="AP43" s="2070"/>
      <c r="AQ43" s="1703"/>
      <c r="AR43" s="4520"/>
      <c r="AS43" s="1703"/>
    </row>
    <row r="44" spans="1:45" ht="12" customHeight="1">
      <c r="A44" s="112"/>
      <c r="B44" s="1099"/>
      <c r="C44" s="183" t="s">
        <v>478</v>
      </c>
      <c r="D44" s="183"/>
      <c r="E44" s="85" t="s">
        <v>962</v>
      </c>
      <c r="F44" s="85"/>
      <c r="G44" s="713"/>
      <c r="H44" s="45"/>
      <c r="I44" s="45"/>
      <c r="J44" s="583" t="s">
        <v>1534</v>
      </c>
      <c r="K44" s="583" t="str">
        <f>C44</f>
        <v>11.</v>
      </c>
      <c r="L44" s="2781">
        <f>SUM(L42,-L43)</f>
        <v>0</v>
      </c>
      <c r="M44" s="45"/>
      <c r="N44" s="45"/>
      <c r="O44" s="1104"/>
      <c r="P44" s="1115"/>
      <c r="Q44" s="564"/>
      <c r="R44" s="1703"/>
      <c r="S44" s="1703"/>
      <c r="T44" s="658" t="str">
        <f>IF(File_Single&lt;&gt;"",U43,IF(File_Marr_Joint&lt;&gt;"",V43,IF(File_Marr_Sep&lt;&gt;"", W43,IF(File_Head&lt;&gt;"",X43,IF(File_Qual_Widow&lt;&gt;"",V43,"Filing status?")))))</f>
        <v>Filing status?</v>
      </c>
      <c r="U44" s="656" t="str">
        <f>"&lt;100k"</f>
        <v>&lt;100k</v>
      </c>
      <c r="V44" s="1190"/>
      <c r="W44" s="1190"/>
      <c r="X44" s="1190"/>
      <c r="Y44" s="1190"/>
      <c r="Z44" s="1190"/>
      <c r="AA44" s="656"/>
      <c r="AB44" s="659"/>
      <c r="AC44" s="2117"/>
      <c r="AD44" s="1429"/>
      <c r="AE44" s="1427"/>
      <c r="AF44" s="178"/>
      <c r="AG44" s="344"/>
      <c r="AH44" s="344"/>
      <c r="AI44" s="1353"/>
      <c r="AJ44" s="1585"/>
      <c r="AK44" s="1585"/>
      <c r="AL44" s="1586"/>
      <c r="AM44" s="1586"/>
      <c r="AN44" s="1586"/>
      <c r="AO44" s="135"/>
      <c r="AP44" s="2070"/>
      <c r="AQ44" s="1703"/>
      <c r="AR44" s="1703"/>
      <c r="AS44" s="1703"/>
    </row>
    <row r="45" spans="1:45" ht="12.75" customHeight="1" thickBot="1">
      <c r="A45" s="112"/>
      <c r="B45" s="1110"/>
      <c r="C45" s="183" t="s">
        <v>479</v>
      </c>
      <c r="D45" s="85"/>
      <c r="E45" s="85" t="s">
        <v>1196</v>
      </c>
      <c r="F45" s="85"/>
      <c r="G45" s="85"/>
      <c r="H45" s="85"/>
      <c r="I45" s="85"/>
      <c r="J45" s="583" t="s">
        <v>1533</v>
      </c>
      <c r="K45" s="583" t="str">
        <f>C45</f>
        <v>12.</v>
      </c>
      <c r="L45" s="2781">
        <f>MIN(CGTW_Line1,L36)</f>
        <v>0</v>
      </c>
      <c r="M45" s="183"/>
      <c r="N45" s="359"/>
      <c r="O45" s="1104"/>
      <c r="P45" s="1115"/>
      <c r="Q45" s="564"/>
      <c r="R45" s="1703"/>
      <c r="S45" s="1703"/>
      <c r="T45" s="657" t="str">
        <f>IF(File_Single&lt;&gt;"",Y43,IF(OR(File_Marr_Joint&lt;&gt;"",File_Qual_Widow&lt;&gt;""),Z43,IF(File_Marr_Sep&lt;&gt;"", AA43,IF(File_Head&lt;&gt;"",AB43,"Filing status?"))))</f>
        <v>Filing status?</v>
      </c>
      <c r="U45" s="776" t="str">
        <f>"&gt;=100k"</f>
        <v>&gt;=100k</v>
      </c>
      <c r="V45" s="776"/>
      <c r="W45" s="776"/>
      <c r="X45" s="776"/>
      <c r="Y45" s="776"/>
      <c r="Z45" s="776"/>
      <c r="AA45" s="776"/>
      <c r="AB45" s="777"/>
      <c r="AC45" s="2117"/>
      <c r="AD45" s="3760"/>
      <c r="AE45" s="3761" t="s">
        <v>3104</v>
      </c>
      <c r="AF45" s="178"/>
      <c r="AG45" s="344"/>
      <c r="AH45" s="344"/>
      <c r="AI45" s="1353"/>
      <c r="AJ45" s="1585"/>
      <c r="AK45" s="1585"/>
      <c r="AL45" s="1586"/>
      <c r="AM45" s="1586"/>
      <c r="AN45" s="1586"/>
      <c r="AO45" s="135"/>
      <c r="AP45" s="2070"/>
      <c r="AQ45" s="1703"/>
      <c r="AR45" s="1703"/>
      <c r="AS45" s="1703"/>
    </row>
    <row r="46" spans="1:45" ht="13.5" customHeight="1">
      <c r="A46" s="112"/>
      <c r="B46" s="1099"/>
      <c r="C46" s="183" t="s">
        <v>695</v>
      </c>
      <c r="D46" s="85"/>
      <c r="E46" s="85" t="s">
        <v>1009</v>
      </c>
      <c r="F46" s="85"/>
      <c r="G46" s="85"/>
      <c r="H46" s="85"/>
      <c r="I46" s="85"/>
      <c r="J46" s="365" t="s">
        <v>1011</v>
      </c>
      <c r="K46" s="583" t="str">
        <f>C46</f>
        <v>13.</v>
      </c>
      <c r="L46" s="2781">
        <f>L44</f>
        <v>0</v>
      </c>
      <c r="M46" s="85"/>
      <c r="N46" s="1106"/>
      <c r="O46" s="1104"/>
      <c r="P46" s="1115"/>
      <c r="Q46" s="564"/>
      <c r="R46" s="1703"/>
      <c r="S46" s="1703"/>
      <c r="T46" s="10"/>
      <c r="AC46" s="2117"/>
      <c r="AD46" s="3760"/>
      <c r="AE46" s="3761" t="s">
        <v>3100</v>
      </c>
      <c r="AF46" s="178"/>
      <c r="AG46" s="344"/>
      <c r="AH46" s="344"/>
      <c r="AI46" s="1353"/>
      <c r="AJ46" s="1585"/>
      <c r="AK46" s="1585"/>
      <c r="AL46" s="1586"/>
      <c r="AM46" s="1586"/>
      <c r="AN46" s="1586"/>
      <c r="AO46" s="135"/>
      <c r="AP46" s="2070"/>
      <c r="AQ46" s="1703"/>
      <c r="AR46" s="1703"/>
      <c r="AS46" s="1703"/>
    </row>
    <row r="47" spans="1:45" ht="13.5" customHeight="1">
      <c r="A47" s="112"/>
      <c r="B47" s="1099"/>
      <c r="C47" s="183" t="s">
        <v>696</v>
      </c>
      <c r="D47" s="711"/>
      <c r="E47" s="85" t="s">
        <v>1197</v>
      </c>
      <c r="F47" s="85"/>
      <c r="G47" s="359"/>
      <c r="H47" s="85"/>
      <c r="I47" s="85"/>
      <c r="J47" s="365" t="s">
        <v>1532</v>
      </c>
      <c r="K47" s="583" t="str">
        <f>C47</f>
        <v>14.</v>
      </c>
      <c r="L47" s="2781">
        <f>SUM(L45,-L46)</f>
        <v>0</v>
      </c>
      <c r="M47" s="183"/>
      <c r="N47" s="1105"/>
      <c r="O47" s="1112"/>
      <c r="P47" s="1115"/>
      <c r="Q47" s="564"/>
      <c r="R47" s="1703"/>
      <c r="S47" s="1703"/>
      <c r="T47" s="10"/>
      <c r="AC47" s="2117"/>
      <c r="AD47" s="3760"/>
      <c r="AE47" s="3761" t="s">
        <v>3101</v>
      </c>
      <c r="AF47" s="178"/>
      <c r="AG47" s="344"/>
      <c r="AH47" s="344"/>
      <c r="AI47" s="1353"/>
      <c r="AJ47" s="1585"/>
      <c r="AK47" s="1585"/>
      <c r="AL47" s="1586"/>
      <c r="AM47" s="1586"/>
      <c r="AN47" s="1586"/>
      <c r="AO47" s="135"/>
      <c r="AP47" s="2070"/>
      <c r="AQ47" s="1703"/>
      <c r="AR47" s="1703"/>
      <c r="AS47" s="1703"/>
    </row>
    <row r="48" spans="1:45" ht="13.5" customHeight="1">
      <c r="A48" s="112"/>
      <c r="B48" s="1099"/>
      <c r="C48" s="583" t="s">
        <v>697</v>
      </c>
      <c r="D48" s="85"/>
      <c r="E48" s="85" t="s">
        <v>1008</v>
      </c>
      <c r="F48" s="85"/>
      <c r="G48" s="45"/>
      <c r="H48" s="45"/>
      <c r="I48" s="45"/>
      <c r="J48" s="45"/>
      <c r="K48" s="583"/>
      <c r="L48" s="1105"/>
      <c r="M48" s="45"/>
      <c r="N48" s="1106"/>
      <c r="O48" s="1104"/>
      <c r="P48" s="1115"/>
      <c r="Q48" s="564"/>
      <c r="R48" s="1703"/>
      <c r="S48" s="1703"/>
      <c r="T48" s="10"/>
      <c r="AC48" s="2117"/>
      <c r="AD48" s="3760"/>
      <c r="AE48" s="3761" t="s">
        <v>3102</v>
      </c>
      <c r="AF48" s="178"/>
      <c r="AG48" s="344"/>
      <c r="AH48" s="344"/>
      <c r="AI48" s="1353"/>
      <c r="AJ48" s="1585"/>
      <c r="AK48" s="1585"/>
      <c r="AL48" s="1586"/>
      <c r="AM48" s="1586"/>
      <c r="AN48" s="1586"/>
      <c r="AO48" s="135"/>
      <c r="AP48" s="2070"/>
      <c r="AQ48" s="1703"/>
      <c r="AR48" s="1703"/>
      <c r="AS48" s="1703"/>
    </row>
    <row r="49" spans="1:45" ht="13.5" thickBot="1">
      <c r="A49" s="112"/>
      <c r="B49" s="1099"/>
      <c r="C49" s="183"/>
      <c r="D49" s="1107"/>
      <c r="E49" s="85" t="str">
        <f>TEXT(N49,"$0,000")&amp;" if single,"</f>
        <v>$415,050 if single,</v>
      </c>
      <c r="F49" s="85"/>
      <c r="G49" s="85"/>
      <c r="H49" s="45"/>
      <c r="I49" s="45"/>
      <c r="J49" s="183"/>
      <c r="K49" s="45"/>
      <c r="L49" s="45"/>
      <c r="M49" s="45"/>
      <c r="N49" s="712">
        <v>415050</v>
      </c>
      <c r="O49" s="1108"/>
      <c r="P49" s="1115"/>
      <c r="Q49" s="564"/>
      <c r="R49" s="1703"/>
      <c r="S49" s="1703"/>
      <c r="T49" s="1473" t="s">
        <v>1611</v>
      </c>
      <c r="AC49" s="2117"/>
      <c r="AD49" s="3760"/>
      <c r="AE49" s="3761" t="s">
        <v>3103</v>
      </c>
      <c r="AF49" s="178"/>
      <c r="AG49" s="344"/>
      <c r="AH49" s="344"/>
      <c r="AI49" s="1353"/>
      <c r="AJ49" s="1585"/>
      <c r="AK49" s="1585"/>
      <c r="AL49" s="1586"/>
      <c r="AM49" s="1586"/>
      <c r="AN49" s="1586"/>
      <c r="AO49" s="135"/>
      <c r="AP49" s="2070"/>
      <c r="AQ49" s="1703"/>
      <c r="AR49" s="1703"/>
      <c r="AS49" s="1703"/>
    </row>
    <row r="50" spans="1:45">
      <c r="A50" s="112"/>
      <c r="B50" s="1099"/>
      <c r="C50" s="183"/>
      <c r="D50" s="1107"/>
      <c r="E50" s="85" t="str">
        <f>TEXT(N50,"$0,000")&amp;" if married filing separately,"</f>
        <v>$233,475 if married filing separately,</v>
      </c>
      <c r="F50" s="85"/>
      <c r="G50" s="85"/>
      <c r="H50" s="45"/>
      <c r="I50" s="45"/>
      <c r="J50" s="183"/>
      <c r="K50" s="45"/>
      <c r="L50" s="45"/>
      <c r="M50" s="45"/>
      <c r="N50" s="712">
        <v>233475</v>
      </c>
      <c r="O50" s="1108"/>
      <c r="P50" s="1115"/>
      <c r="Q50" s="564"/>
      <c r="R50" s="1703"/>
      <c r="S50" s="1703"/>
      <c r="T50" s="770" t="str">
        <f>CGTW_Line7</f>
        <v/>
      </c>
      <c r="U50" s="771"/>
      <c r="V50" s="771"/>
      <c r="W50" s="771"/>
      <c r="X50" s="771"/>
      <c r="Y50" s="771"/>
      <c r="Z50" s="771"/>
      <c r="AA50" s="771"/>
      <c r="AB50" s="772"/>
      <c r="AC50" s="2117"/>
      <c r="AD50" s="3760"/>
      <c r="AE50" s="3761" t="s">
        <v>3105</v>
      </c>
      <c r="AF50" s="178"/>
      <c r="AG50" s="344"/>
      <c r="AH50" s="344"/>
      <c r="AI50" s="1353"/>
      <c r="AJ50" s="1585"/>
      <c r="AK50" s="1585"/>
      <c r="AL50" s="1586"/>
      <c r="AM50" s="1586"/>
      <c r="AN50" s="1586"/>
      <c r="AO50" s="135"/>
      <c r="AP50" s="2070"/>
      <c r="AQ50" s="1703"/>
      <c r="AR50" s="1703"/>
      <c r="AS50" s="1703"/>
    </row>
    <row r="51" spans="1:45">
      <c r="A51" s="112"/>
      <c r="B51" s="1099"/>
      <c r="C51" s="183"/>
      <c r="D51" s="1107"/>
      <c r="E51" s="85" t="str">
        <f>TEXT(N51,"$0,000")&amp;" if married filing jointly or qualifying widow(er),"</f>
        <v>$466,950 if married filing jointly or qualifying widow(er),</v>
      </c>
      <c r="F51" s="85"/>
      <c r="G51" s="85"/>
      <c r="H51" s="45"/>
      <c r="I51" s="45"/>
      <c r="J51" s="583" t="s">
        <v>1012</v>
      </c>
      <c r="K51" s="583" t="s">
        <v>697</v>
      </c>
      <c r="L51" s="2781" t="str">
        <f>IF(NOT(CGTW),"",N53)</f>
        <v/>
      </c>
      <c r="M51" s="45"/>
      <c r="N51" s="712">
        <v>466950</v>
      </c>
      <c r="O51" s="1108"/>
      <c r="P51" s="1115"/>
      <c r="Q51" s="564"/>
      <c r="R51" s="1703"/>
      <c r="S51" s="1703"/>
      <c r="T51" s="773" t="str">
        <f>IF(T50&lt;&gt;"",ROUND(T50,0),"")</f>
        <v/>
      </c>
      <c r="U51" s="774" t="s">
        <v>124</v>
      </c>
      <c r="V51" s="1491" t="s">
        <v>894</v>
      </c>
      <c r="W51" s="656" t="s">
        <v>739</v>
      </c>
      <c r="X51" s="656" t="s">
        <v>740</v>
      </c>
      <c r="Y51" s="656" t="s">
        <v>124</v>
      </c>
      <c r="Z51" s="1491" t="s">
        <v>894</v>
      </c>
      <c r="AA51" s="656" t="s">
        <v>739</v>
      </c>
      <c r="AB51" s="659" t="s">
        <v>740</v>
      </c>
      <c r="AC51" s="2117"/>
      <c r="AD51" s="3760"/>
      <c r="AE51" s="3761" t="s">
        <v>3106</v>
      </c>
      <c r="AF51" s="178"/>
      <c r="AG51" s="344"/>
      <c r="AH51" s="344"/>
      <c r="AI51" s="1353"/>
      <c r="AJ51" s="1585"/>
      <c r="AK51" s="1585"/>
      <c r="AL51" s="1586"/>
      <c r="AM51" s="1586"/>
      <c r="AN51" s="1586"/>
      <c r="AO51" s="135"/>
      <c r="AP51" s="2070"/>
      <c r="AQ51" s="1703"/>
      <c r="AR51" s="1703"/>
      <c r="AS51" s="1703"/>
    </row>
    <row r="52" spans="1:45" ht="12" customHeight="1">
      <c r="A52" s="112"/>
      <c r="B52" s="1099"/>
      <c r="C52" s="183"/>
      <c r="D52" s="1107"/>
      <c r="E52" s="85" t="str">
        <f>TEXT(N52,"$0,000")&amp;" if head of household."</f>
        <v>$441,000 if head of household.</v>
      </c>
      <c r="F52" s="85"/>
      <c r="G52" s="85"/>
      <c r="H52" s="45"/>
      <c r="I52" s="45"/>
      <c r="J52" s="69"/>
      <c r="K52" s="45"/>
      <c r="L52" s="45"/>
      <c r="M52" s="45"/>
      <c r="N52" s="712">
        <v>441000</v>
      </c>
      <c r="O52" s="1109"/>
      <c r="P52" s="1115"/>
      <c r="Q52" s="564"/>
      <c r="R52" s="1703"/>
      <c r="S52" s="1703"/>
      <c r="T52" s="773" t="str">
        <f>IF(T50="","",IF(T50&gt;=3000,INT(T51/50),IF(T50&gt;=25,INT(T51/25),IF(T50&gt;=5,INT((T51+5)/10),0))))</f>
        <v/>
      </c>
      <c r="U52" s="876" t="e">
        <f>LOOKUP(T53,'Tax Table'!$A$2:$A$2063,'Tax Table'!$C$2:$C$2063)</f>
        <v>#N/A</v>
      </c>
      <c r="V52" s="876" t="e">
        <f>LOOKUP(T53,'Tax Table'!$A$2:$A$2063,'Tax Table'!$D$2:$D$2063)</f>
        <v>#N/A</v>
      </c>
      <c r="W52" s="876" t="e">
        <f>LOOKUP(T53,'Tax Table'!$A$2:$A$2063,'Tax Table'!$E$2:$E$2063)</f>
        <v>#N/A</v>
      </c>
      <c r="X52" s="876" t="e">
        <f>LOOKUP(T53,'Tax Table'!$A$2:$A$2063,'Tax Table'!$F$2:$F$2063)</f>
        <v>#N/A</v>
      </c>
      <c r="Y52" s="876" t="str">
        <f>"---"</f>
        <v>---</v>
      </c>
      <c r="Z52" s="876" t="str">
        <f>"---"</f>
        <v>---</v>
      </c>
      <c r="AA52" s="876" t="str">
        <f>"---"</f>
        <v>---</v>
      </c>
      <c r="AB52" s="877" t="str">
        <f>"---"</f>
        <v>---</v>
      </c>
      <c r="AC52" s="2117"/>
      <c r="AD52" s="3760"/>
      <c r="AE52" s="3761" t="s">
        <v>3107</v>
      </c>
      <c r="AF52" s="178"/>
      <c r="AG52" s="344"/>
      <c r="AH52" s="344"/>
      <c r="AI52" s="1353"/>
      <c r="AJ52" s="1585"/>
      <c r="AK52" s="1585"/>
      <c r="AL52" s="1586"/>
      <c r="AM52" s="1586"/>
      <c r="AN52" s="1586"/>
      <c r="AO52" s="135"/>
      <c r="AP52" s="2070"/>
      <c r="AQ52" s="1703"/>
      <c r="AR52" s="1703"/>
      <c r="AS52" s="1703"/>
    </row>
    <row r="53" spans="1:45" ht="13.5" customHeight="1">
      <c r="A53" s="112"/>
      <c r="B53" s="1110"/>
      <c r="C53" s="583" t="s">
        <v>315</v>
      </c>
      <c r="D53" s="85"/>
      <c r="E53" s="85" t="s">
        <v>1693</v>
      </c>
      <c r="F53" s="85"/>
      <c r="G53" s="85"/>
      <c r="H53" s="85"/>
      <c r="I53" s="85"/>
      <c r="J53" s="583" t="s">
        <v>1533</v>
      </c>
      <c r="K53" s="583" t="str">
        <f>C53</f>
        <v>16.</v>
      </c>
      <c r="L53" s="2781">
        <f>MIN(CGTW_Line1,L51)</f>
        <v>0</v>
      </c>
      <c r="M53" s="183"/>
      <c r="N53" s="712" t="str">
        <f>IF(File_Single&lt;&gt;"",N49,IF(File_Marr_Sep&lt;&gt;"",N50,IF(OR(File_Marr_Joint&lt;&gt;"",File_Qual_Widow&lt;&gt;""),N51,IF(File_Head&lt;&gt;"",N52,""))))</f>
        <v/>
      </c>
      <c r="O53" s="1104"/>
      <c r="P53" s="1115"/>
      <c r="Q53" s="564"/>
      <c r="R53" s="1703"/>
      <c r="S53" s="1703"/>
      <c r="T53" s="775" t="str">
        <f>IF(T52="","",IF(T51&gt;=3000,50*T52,IF(T51&gt;=25,25*T52,IF(T51&gt;=5,(10*T52)-5,T51))))</f>
        <v/>
      </c>
      <c r="U53" s="876" t="e">
        <f>LOOKUP(T53,'Tax Table'!$A$2:$A$2063,'Tax Table'!$C$2:$C$2063)</f>
        <v>#N/A</v>
      </c>
      <c r="V53" s="876" t="e">
        <f>LOOKUP(T53,'Tax Table'!$A$2:$A$2063,'Tax Table'!$D$2:$D$2063)</f>
        <v>#N/A</v>
      </c>
      <c r="W53" s="876" t="e">
        <f>LOOKUP(T53,'Tax Table'!$A$2:$A$2063,'Tax Table'!$E$2:$E$2063)</f>
        <v>#N/A</v>
      </c>
      <c r="X53" s="876" t="e">
        <f>LOOKUP(T53,'Tax Table'!$A$2:$A$2063,'Tax Table'!$F$2:$F$2063)</f>
        <v>#N/A</v>
      </c>
      <c r="Y53" s="876" t="e">
        <f>IF(T50&lt;SectA_a3,"---",IF(T50&lt;=SectA_a4,ROUND((T50*(SectA_b4/100)-SectA_d4),0),IF(T50&lt;=SectA_a5,ROUND((T50*(SectA_b5/100)-SectA_d5),0),IF(T50&lt;=SectA_a6,ROUND((T50*(SectA_b6/100)-SectA_d6),0),ROUND((T50*(SectA_b7/100)-SectA_d7),0)))))</f>
        <v>#VALUE!</v>
      </c>
      <c r="Z53" s="876" t="e">
        <f>IF(T50&lt;SectB_a2,"---",IF(T50&lt;=SectB_a3,ROUND((T50*(SectB_b3/100)-SectB_d3),0),IF(T50&lt;=SectB_a4,ROUND((T50*(SectB_b4/100)-SectB_d4),0),IF(T50&lt;=SectB_a5,ROUND((T50*(SectB_b5/100)-SectB_d5),0),IF(T50&lt;=SectB_a6,ROUND((T50*(SectB_b6/100)-SectB_d6),0),ROUND((T50*(SectB_b7/100)-SectB_d7),0))))))</f>
        <v>#VALUE!</v>
      </c>
      <c r="AA53" s="876" t="e">
        <f>IF(T50&lt;SectC_a2,"---",IF(T50&lt;=SectC_a3,ROUND((T50*(SectC_b3/100)-SectC_d3),0),IF(T50&lt;=SectC_a4,ROUND((T50*(SectC_b4/100)-SectC_d4),0),IF(T50&lt;=SectC_a5,ROUND((T50*(SectC_b5/100)-SectC_d5),0),ROUND((T50*(SectC_b6/100)-SectC_d6),0)))))</f>
        <v>#VALUE!</v>
      </c>
      <c r="AB53" s="877" t="e">
        <f>IF(T50&lt;SectD_a2,"---",IF(T50&lt;=SectD_a3,ROUND((T50*(SectD_b3/100)-SectD_d3),0),IF(T50&lt;=SectD_a4,ROUND((T50*(SectD_b4/100)-SectD_d4),0),IF(T50&lt;=SectD_a5,ROUND((T50*(SectD_b5/100)-SectD_d5),0),IF(T50&lt;=SectD_a6,ROUND((T50*(SectD_b6/100)-SectD_d6),0),ROUND((T50*(SectD_b7/100)-SectD_d7),0))))))</f>
        <v>#VALUE!</v>
      </c>
      <c r="AC53" s="2117"/>
      <c r="AD53" s="3760"/>
      <c r="AE53" s="3761" t="s">
        <v>3108</v>
      </c>
      <c r="AF53" s="178"/>
      <c r="AG53" s="344"/>
      <c r="AH53" s="344"/>
      <c r="AI53" s="1353"/>
      <c r="AJ53" s="1585"/>
      <c r="AK53" s="1585"/>
      <c r="AL53" s="1586"/>
      <c r="AM53" s="1586"/>
      <c r="AN53" s="1586"/>
      <c r="AO53" s="135"/>
      <c r="AP53" s="2070"/>
      <c r="AQ53" s="1703"/>
      <c r="AR53" s="1703"/>
      <c r="AS53" s="1703"/>
    </row>
    <row r="54" spans="1:45" ht="13.5" customHeight="1">
      <c r="A54" s="112"/>
      <c r="B54" s="1099"/>
      <c r="C54" s="583" t="s">
        <v>772</v>
      </c>
      <c r="D54" s="711"/>
      <c r="E54" s="85" t="s">
        <v>1694</v>
      </c>
      <c r="F54" s="85"/>
      <c r="G54" s="359"/>
      <c r="H54" s="85"/>
      <c r="I54" s="85"/>
      <c r="J54" s="583" t="s">
        <v>1010</v>
      </c>
      <c r="K54" s="583" t="str">
        <f>C54</f>
        <v>17.</v>
      </c>
      <c r="L54" s="2781">
        <f>SUM(CGTW_Line7,L44)</f>
        <v>0</v>
      </c>
      <c r="M54" s="85"/>
      <c r="N54" s="85"/>
      <c r="O54" s="1104"/>
      <c r="P54" s="1115"/>
      <c r="Q54" s="564"/>
      <c r="R54" s="1703"/>
      <c r="S54" s="1703"/>
      <c r="T54" s="658" t="str">
        <f>IF(File_Single&lt;&gt;"",U53,IF(File_Marr_Joint&lt;&gt;"",V53,IF(File_Marr_Sep&lt;&gt;"", W53,IF(File_Head&lt;&gt;"",X53,IF(File_Qual_Widow&lt;&gt;"",V53,"Filing status?")))))</f>
        <v>Filing status?</v>
      </c>
      <c r="U54" s="656" t="str">
        <f>"&lt;100k"</f>
        <v>&lt;100k</v>
      </c>
      <c r="V54" s="1190"/>
      <c r="W54" s="1190"/>
      <c r="X54" s="1190"/>
      <c r="Y54" s="1190"/>
      <c r="Z54" s="1190"/>
      <c r="AA54" s="656"/>
      <c r="AB54" s="659"/>
      <c r="AC54" s="2117"/>
      <c r="AD54" s="3760"/>
      <c r="AE54" s="3761" t="s">
        <v>3109</v>
      </c>
      <c r="AF54" s="178"/>
      <c r="AG54" s="344"/>
      <c r="AH54" s="344"/>
      <c r="AI54" s="1353"/>
      <c r="AJ54" s="1585"/>
      <c r="AK54" s="1585"/>
      <c r="AL54" s="1586"/>
      <c r="AM54" s="1586"/>
      <c r="AN54" s="1586"/>
      <c r="AO54" s="135"/>
      <c r="AP54" s="2070"/>
      <c r="AQ54" s="1703"/>
      <c r="AR54" s="1703"/>
      <c r="AS54" s="1703"/>
    </row>
    <row r="55" spans="1:45" ht="12" customHeight="1" thickBot="1">
      <c r="A55" s="112"/>
      <c r="B55" s="1099"/>
      <c r="C55" s="583" t="s">
        <v>773</v>
      </c>
      <c r="D55" s="359"/>
      <c r="E55" s="85" t="s">
        <v>1695</v>
      </c>
      <c r="F55" s="85"/>
      <c r="G55" s="85"/>
      <c r="H55" s="85"/>
      <c r="I55" s="85"/>
      <c r="J55" s="583" t="s">
        <v>1013</v>
      </c>
      <c r="K55" s="583" t="str">
        <f>C55</f>
        <v>18.</v>
      </c>
      <c r="L55" s="2781" t="str">
        <f>IF(NOT(CGTW),"",IF(SUM(L53,-L54)&lt;=0,0,SUM(L53,-L54)))</f>
        <v/>
      </c>
      <c r="M55" s="85"/>
      <c r="N55" s="569"/>
      <c r="O55" s="1104"/>
      <c r="P55" s="1115"/>
      <c r="Q55" s="564"/>
      <c r="R55" s="1703"/>
      <c r="S55" s="1703"/>
      <c r="T55" s="657" t="str">
        <f>IF(File_Single&lt;&gt;"",Y53,IF(OR(File_Marr_Joint&lt;&gt;"",File_Qual_Widow&lt;&gt;""),Z53,IF(File_Marr_Sep&lt;&gt;"", AA53,IF(File_Head&lt;&gt;"",AB53,"Filing status?"))))</f>
        <v>Filing status?</v>
      </c>
      <c r="U55" s="776" t="str">
        <f>"&gt;=100k"</f>
        <v>&gt;=100k</v>
      </c>
      <c r="V55" s="776"/>
      <c r="W55" s="776"/>
      <c r="X55" s="776"/>
      <c r="Y55" s="776"/>
      <c r="Z55" s="776"/>
      <c r="AA55" s="776"/>
      <c r="AB55" s="777"/>
      <c r="AC55" s="2117"/>
      <c r="AD55" s="3760"/>
      <c r="AE55" s="3761" t="s">
        <v>3110</v>
      </c>
      <c r="AF55" s="178"/>
      <c r="AG55" s="344"/>
      <c r="AH55" s="344"/>
      <c r="AI55" s="1353"/>
      <c r="AJ55" s="1585"/>
      <c r="AK55" s="1585"/>
      <c r="AL55" s="1586"/>
      <c r="AM55" s="1586"/>
      <c r="AN55" s="1586"/>
      <c r="AO55" s="135"/>
      <c r="AP55" s="2070"/>
      <c r="AQ55" s="1703"/>
      <c r="AR55" s="1703"/>
      <c r="AS55" s="1703"/>
    </row>
    <row r="56" spans="1:45" ht="12.75" customHeight="1">
      <c r="A56" s="112"/>
      <c r="B56" s="1110"/>
      <c r="C56" s="583" t="s">
        <v>774</v>
      </c>
      <c r="D56" s="85"/>
      <c r="E56" s="85" t="s">
        <v>1696</v>
      </c>
      <c r="F56" s="85"/>
      <c r="G56" s="85"/>
      <c r="H56" s="85"/>
      <c r="I56" s="85"/>
      <c r="J56" s="583" t="s">
        <v>1533</v>
      </c>
      <c r="K56" s="583" t="str">
        <f>C56</f>
        <v>19.</v>
      </c>
      <c r="L56" s="2781">
        <f>MIN(L47,L55)</f>
        <v>0</v>
      </c>
      <c r="M56" s="183"/>
      <c r="N56" s="2780">
        <v>0.15</v>
      </c>
      <c r="O56" s="1104"/>
      <c r="P56" s="1115"/>
      <c r="Q56" s="564"/>
      <c r="R56" s="1703"/>
      <c r="S56" s="1703"/>
      <c r="AC56" s="2117"/>
      <c r="AD56" s="3760"/>
      <c r="AE56" s="3761" t="s">
        <v>3111</v>
      </c>
      <c r="AF56" s="178"/>
      <c r="AG56" s="344"/>
      <c r="AH56" s="344"/>
      <c r="AI56" s="1353"/>
      <c r="AJ56" s="1585"/>
      <c r="AK56" s="1585"/>
      <c r="AL56" s="1586"/>
      <c r="AM56" s="1586"/>
      <c r="AN56" s="1586"/>
      <c r="AO56" s="135"/>
      <c r="AP56" s="2070"/>
      <c r="AQ56" s="1703"/>
      <c r="AR56" s="1703"/>
      <c r="AS56" s="1703"/>
    </row>
    <row r="57" spans="1:45" ht="13.5" customHeight="1">
      <c r="A57" s="112"/>
      <c r="B57" s="1099"/>
      <c r="C57" s="583" t="s">
        <v>559</v>
      </c>
      <c r="D57" s="711"/>
      <c r="E57" s="85" t="str">
        <f>"Multiply line 19 by "&amp;TEXT(N56,"0%")&amp;" ("&amp;TEXT(N56,"0.00")&amp;") "</f>
        <v xml:space="preserve">Multiply line 19 by 15% (0.15) </v>
      </c>
      <c r="F57" s="85"/>
      <c r="G57" s="359"/>
      <c r="H57" s="85"/>
      <c r="I57" s="85"/>
      <c r="J57" s="183"/>
      <c r="K57" s="583"/>
      <c r="L57" s="365" t="s">
        <v>1531</v>
      </c>
      <c r="M57" s="583" t="s">
        <v>559</v>
      </c>
      <c r="N57" s="2781">
        <f>ROUND(L56*N56,0)</f>
        <v>0</v>
      </c>
      <c r="O57" s="1112"/>
      <c r="P57" s="1115"/>
      <c r="Q57" s="564"/>
      <c r="R57" s="1703"/>
      <c r="S57" s="1703"/>
      <c r="AC57" s="2117"/>
      <c r="AD57" s="3760"/>
      <c r="AE57" s="3761" t="s">
        <v>3112</v>
      </c>
      <c r="AF57" s="178"/>
      <c r="AG57" s="344"/>
      <c r="AH57" s="344"/>
      <c r="AI57" s="1353"/>
      <c r="AJ57" s="1585"/>
      <c r="AK57" s="1585"/>
      <c r="AL57" s="1586"/>
      <c r="AM57" s="1586"/>
      <c r="AN57" s="1586"/>
      <c r="AO57" s="135"/>
      <c r="AP57" s="2070"/>
      <c r="AQ57" s="1703"/>
      <c r="AR57" s="1703"/>
      <c r="AS57" s="1703"/>
    </row>
    <row r="58" spans="1:45" ht="13.5" customHeight="1" thickBot="1">
      <c r="A58" s="112"/>
      <c r="B58" s="1099"/>
      <c r="C58" s="583" t="s">
        <v>560</v>
      </c>
      <c r="D58" s="711"/>
      <c r="E58" s="85" t="s">
        <v>1697</v>
      </c>
      <c r="F58" s="85"/>
      <c r="G58" s="359"/>
      <c r="H58" s="85"/>
      <c r="I58" s="85"/>
      <c r="J58" s="583" t="s">
        <v>1010</v>
      </c>
      <c r="K58" s="583" t="str">
        <f>C58</f>
        <v>21.</v>
      </c>
      <c r="L58" s="2781">
        <f>SUM(L44,L56)</f>
        <v>0</v>
      </c>
      <c r="M58" s="85"/>
      <c r="N58" s="85"/>
      <c r="O58" s="1104"/>
      <c r="P58" s="1115"/>
      <c r="Q58" s="564"/>
      <c r="R58" s="1703"/>
      <c r="S58" s="1703"/>
      <c r="T58" s="64" t="s">
        <v>646</v>
      </c>
      <c r="AC58" s="2117"/>
      <c r="AD58" s="3760"/>
      <c r="AE58" s="3761" t="s">
        <v>3113</v>
      </c>
      <c r="AF58" s="178"/>
      <c r="AG58" s="344"/>
      <c r="AH58" s="344"/>
      <c r="AI58" s="1353"/>
      <c r="AJ58" s="1585"/>
      <c r="AK58" s="1585"/>
      <c r="AL58" s="1586"/>
      <c r="AM58" s="1586"/>
      <c r="AN58" s="1586"/>
      <c r="AO58" s="135"/>
      <c r="AP58" s="2070"/>
      <c r="AQ58" s="1703"/>
      <c r="AR58" s="1703"/>
      <c r="AS58" s="1703"/>
    </row>
    <row r="59" spans="1:45" ht="12" customHeight="1">
      <c r="A59" s="112"/>
      <c r="B59" s="1099"/>
      <c r="C59" s="583" t="s">
        <v>561</v>
      </c>
      <c r="D59" s="711"/>
      <c r="E59" s="85" t="s">
        <v>1698</v>
      </c>
      <c r="F59" s="85"/>
      <c r="G59" s="359"/>
      <c r="H59" s="85"/>
      <c r="I59" s="85"/>
      <c r="J59" s="365" t="s">
        <v>1532</v>
      </c>
      <c r="K59" s="583" t="str">
        <f>C59</f>
        <v>22.</v>
      </c>
      <c r="L59" s="2781">
        <f>SUM(L45,-L58)</f>
        <v>0</v>
      </c>
      <c r="M59" s="183"/>
      <c r="N59" s="2780">
        <v>0.2</v>
      </c>
      <c r="O59" s="1112"/>
      <c r="P59" s="1115"/>
      <c r="Q59" s="564"/>
      <c r="R59" s="1703"/>
      <c r="S59" s="1703"/>
      <c r="T59" s="770" t="str">
        <f>CGTW_Line1</f>
        <v/>
      </c>
      <c r="U59" s="771"/>
      <c r="V59" s="771"/>
      <c r="W59" s="771"/>
      <c r="X59" s="771"/>
      <c r="Y59" s="771"/>
      <c r="Z59" s="771"/>
      <c r="AA59" s="771"/>
      <c r="AB59" s="772"/>
      <c r="AC59" s="2117"/>
      <c r="AD59" s="3760"/>
      <c r="AE59" s="3761" t="s">
        <v>3114</v>
      </c>
      <c r="AF59" s="178"/>
      <c r="AG59" s="344"/>
      <c r="AH59" s="344"/>
      <c r="AI59" s="1353"/>
      <c r="AJ59" s="1585"/>
      <c r="AK59" s="1585"/>
      <c r="AL59" s="1586"/>
      <c r="AM59" s="1586"/>
      <c r="AN59" s="1586"/>
      <c r="AO59" s="135"/>
      <c r="AP59" s="2070"/>
      <c r="AQ59" s="1703"/>
      <c r="AR59" s="1703"/>
      <c r="AS59" s="1703"/>
    </row>
    <row r="60" spans="1:45" ht="13.5" customHeight="1">
      <c r="A60" s="112"/>
      <c r="B60" s="1099"/>
      <c r="C60" s="583" t="s">
        <v>562</v>
      </c>
      <c r="D60" s="711"/>
      <c r="E60" s="85" t="str">
        <f>"Multiply line 22 by "&amp;TEXT(N59,"0%")&amp;" ("&amp;TEXT(N59,"0.00")&amp;") "</f>
        <v xml:space="preserve">Multiply line 22 by 20% (0.20) </v>
      </c>
      <c r="F60" s="85"/>
      <c r="G60" s="359"/>
      <c r="H60" s="85"/>
      <c r="I60" s="85"/>
      <c r="J60" s="183"/>
      <c r="K60" s="583"/>
      <c r="L60" s="365" t="s">
        <v>1531</v>
      </c>
      <c r="M60" s="583" t="s">
        <v>562</v>
      </c>
      <c r="N60" s="2781">
        <f>ROUND(L59*N59,0)</f>
        <v>0</v>
      </c>
      <c r="O60" s="1112"/>
      <c r="P60" s="1115"/>
      <c r="Q60" s="564"/>
      <c r="R60" s="1703"/>
      <c r="S60" s="1703"/>
      <c r="T60" s="773" t="str">
        <f>IF(T59&lt;&gt;"",ROUND(T59,0),"")</f>
        <v/>
      </c>
      <c r="U60" s="774" t="s">
        <v>124</v>
      </c>
      <c r="V60" s="1491" t="s">
        <v>894</v>
      </c>
      <c r="W60" s="656" t="s">
        <v>739</v>
      </c>
      <c r="X60" s="656" t="s">
        <v>740</v>
      </c>
      <c r="Y60" s="656" t="s">
        <v>124</v>
      </c>
      <c r="Z60" s="1491" t="s">
        <v>894</v>
      </c>
      <c r="AA60" s="656" t="s">
        <v>739</v>
      </c>
      <c r="AB60" s="659" t="s">
        <v>740</v>
      </c>
      <c r="AC60" s="2117"/>
      <c r="AD60" s="3760"/>
      <c r="AE60" s="3761" t="s">
        <v>3115</v>
      </c>
      <c r="AF60" s="178"/>
      <c r="AG60" s="344"/>
      <c r="AH60" s="344"/>
      <c r="AI60" s="1353"/>
      <c r="AJ60" s="1585"/>
      <c r="AK60" s="1585"/>
      <c r="AL60" s="1586"/>
      <c r="AM60" s="1586"/>
      <c r="AN60" s="1586"/>
      <c r="AO60" s="135"/>
      <c r="AP60" s="2070"/>
      <c r="AQ60" s="1703"/>
      <c r="AR60" s="1703"/>
      <c r="AS60" s="1703"/>
    </row>
    <row r="61" spans="1:45" ht="13.5" customHeight="1">
      <c r="A61" s="112"/>
      <c r="B61" s="1099"/>
      <c r="C61" s="583" t="s">
        <v>563</v>
      </c>
      <c r="D61" s="711"/>
      <c r="E61" s="85" t="s">
        <v>963</v>
      </c>
      <c r="F61" s="85"/>
      <c r="G61" s="359"/>
      <c r="H61" s="85"/>
      <c r="I61" s="85"/>
      <c r="J61" s="183"/>
      <c r="K61" s="183"/>
      <c r="L61" s="731"/>
      <c r="M61" s="183"/>
      <c r="N61" s="1105"/>
      <c r="O61" s="1112"/>
      <c r="P61" s="1115"/>
      <c r="Q61" s="564"/>
      <c r="R61" s="1703"/>
      <c r="S61" s="1703"/>
      <c r="T61" s="773" t="str">
        <f>IF(T59="","",IF(T59&gt;=3000,INT(T60/50),IF(T59&gt;=25,INT(T60/25),IF(T59&gt;=5,INT((T60+5)/10),0))))</f>
        <v/>
      </c>
      <c r="U61" s="876" t="e">
        <f>LOOKUP(T62,'Tax Table'!$A$2:$A$2063,'Tax Table'!$C$2:$C$2063)</f>
        <v>#N/A</v>
      </c>
      <c r="V61" s="876" t="e">
        <f>LOOKUP(T62,'Tax Table'!$A$2:$A$2063,'Tax Table'!$D$2:$D$2063)</f>
        <v>#N/A</v>
      </c>
      <c r="W61" s="876" t="e">
        <f>LOOKUP(T62,'Tax Table'!$A$2:$A$2063,'Tax Table'!$E$2:$E$2063)</f>
        <v>#N/A</v>
      </c>
      <c r="X61" s="876" t="e">
        <f>LOOKUP(T62,'Tax Table'!$A$2:$A$2063,'Tax Table'!$F$2:$F$2063)</f>
        <v>#N/A</v>
      </c>
      <c r="Y61" s="876" t="str">
        <f>"---"</f>
        <v>---</v>
      </c>
      <c r="Z61" s="876" t="str">
        <f>"---"</f>
        <v>---</v>
      </c>
      <c r="AA61" s="876" t="str">
        <f>"---"</f>
        <v>---</v>
      </c>
      <c r="AB61" s="877" t="str">
        <f>"---"</f>
        <v>---</v>
      </c>
      <c r="AC61" s="2117"/>
      <c r="AD61" s="3760"/>
      <c r="AE61" s="3761" t="s">
        <v>3116</v>
      </c>
      <c r="AF61" s="178"/>
      <c r="AG61" s="344"/>
      <c r="AH61" s="344"/>
      <c r="AI61" s="1353"/>
      <c r="AJ61" s="1585"/>
      <c r="AK61" s="1585"/>
      <c r="AL61" s="1586"/>
      <c r="AM61" s="1586"/>
      <c r="AN61" s="1586"/>
      <c r="AO61" s="135"/>
      <c r="AP61" s="2070"/>
      <c r="AQ61" s="1703"/>
      <c r="AR61" s="1703"/>
      <c r="AS61" s="1703"/>
    </row>
    <row r="62" spans="1:45" ht="13.5" customHeight="1" thickBot="1">
      <c r="A62" s="112"/>
      <c r="B62" s="1099"/>
      <c r="C62" s="583"/>
      <c r="D62" s="711"/>
      <c r="E62" s="85" t="s">
        <v>964</v>
      </c>
      <c r="F62" s="85"/>
      <c r="G62" s="359"/>
      <c r="H62" s="85"/>
      <c r="I62" s="85"/>
      <c r="J62" s="183"/>
      <c r="K62" s="183"/>
      <c r="L62" s="731"/>
      <c r="M62" s="183"/>
      <c r="N62" s="1105"/>
      <c r="O62" s="1112"/>
      <c r="P62" s="1115"/>
      <c r="Q62" s="564"/>
      <c r="R62" s="1703"/>
      <c r="S62" s="1703"/>
      <c r="T62" s="775" t="str">
        <f>IF(T61="","",IF(T60&gt;=3000,50*T61,IF(T60&gt;=25,25*T61,IF(T60&gt;=5,(10*T61)-5,T60))))</f>
        <v/>
      </c>
      <c r="U62" s="876" t="e">
        <f>LOOKUP(T62,'Tax Table'!$A$2:$A$2063,'Tax Table'!$C$2:$C$2063)</f>
        <v>#N/A</v>
      </c>
      <c r="V62" s="876" t="e">
        <f>LOOKUP(T62,'Tax Table'!$A$2:$A$2063,'Tax Table'!$D$2:$D$2063)</f>
        <v>#N/A</v>
      </c>
      <c r="W62" s="876" t="e">
        <f>LOOKUP(T62,'Tax Table'!$A$2:$A$2063,'Tax Table'!$E$2:$E$2063)</f>
        <v>#N/A</v>
      </c>
      <c r="X62" s="876" t="e">
        <f>LOOKUP(T62,'Tax Table'!$A$2:$A$2063,'Tax Table'!$F$2:$F$2063)</f>
        <v>#N/A</v>
      </c>
      <c r="Y62" s="876" t="e">
        <f>IF(T59&lt;SectA_a3,"---",IF(T59&lt;=SectA_a4,ROUND((T59*(SectA_b4/100)-SectA_d4),0),IF(T59&lt;=SectA_a5,ROUND((T59*(SectA_b5/100)-SectA_d5),0),IF(T59&lt;=SectA_a6,ROUND((T59*(SectA_b6/100)-SectA_d6),0),ROUND((T59*(SectA_b7/100)-SectA_d7),0)))))</f>
        <v>#VALUE!</v>
      </c>
      <c r="Z62" s="876" t="e">
        <f>IF(T59&lt;SectB_a2,"---",IF(T59&lt;=SectB_a3,ROUND((T59*(SectB_b3/100)-SectB_d3),0),IF(T59&lt;=SectB_a4,ROUND((T59*(SectB_b4/100)-SectB_d4),0),IF(T59&lt;=SectB_a5,ROUND((T59*(SectB_b5/100)-SectB_d5),0),IF(T59&lt;=SectB_a6,ROUND((T59*(SectB_b6/100)-SectB_d6),0),ROUND((T59*(SectB_b7/100)-SectB_d7),0))))))</f>
        <v>#VALUE!</v>
      </c>
      <c r="AA62" s="876" t="e">
        <f>IF(T59&lt;SectC_a2,"---",IF(T59&lt;=SectC_a3,ROUND((T59*(SectC_b3/100)-SectC_d3),0),IF(T59&lt;=SectC_a4,ROUND((T59*(SectC_b4/100)-SectC_d4),0),IF(T59&lt;=SectC_a5,ROUND((T59*(SectC_b5/100)-SectC_d5),0),ROUND((T59*(SectC_b6/100)-SectC_d6),0)))))</f>
        <v>#VALUE!</v>
      </c>
      <c r="AB62" s="877" t="e">
        <f>IF(T59&lt;SectD_a2,"---",IF(T59&lt;=SectD_a3,ROUND((T59*(SectD_b3/100)-SectD_d3),0),IF(T59&lt;=SectD_a4,ROUND((T59*(SectD_b4/100)-SectD_d4),0),IF(T59&lt;=SectD_a5,ROUND((T59*(SectD_b5/100)-SectD_d5),0),IF(T59&lt;=SectD_a6,ROUND((T59*(SectD_b6/100)-SectD_d6),0),ROUND((T59*(SectD_b7/100)-SectD_d7),0))))))</f>
        <v>#VALUE!</v>
      </c>
      <c r="AC62" s="2117"/>
      <c r="AD62" s="3650"/>
      <c r="AE62" s="3651"/>
      <c r="AF62" s="3119"/>
      <c r="AG62" s="3652"/>
      <c r="AH62" s="3652"/>
      <c r="AI62" s="3653"/>
      <c r="AJ62" s="3654"/>
      <c r="AK62" s="3654"/>
      <c r="AL62" s="3655"/>
      <c r="AM62" s="3655"/>
      <c r="AN62" s="3655"/>
      <c r="AO62" s="136"/>
      <c r="AP62" s="2070"/>
      <c r="AQ62" s="1703"/>
      <c r="AR62" s="1703"/>
      <c r="AS62" s="1703"/>
    </row>
    <row r="63" spans="1:45" ht="13.5" customHeight="1">
      <c r="A63" s="112"/>
      <c r="B63" s="1099"/>
      <c r="C63" s="1111"/>
      <c r="D63" s="183"/>
      <c r="E63" s="85" t="s">
        <v>575</v>
      </c>
      <c r="F63" s="85"/>
      <c r="G63" s="85"/>
      <c r="H63" s="61"/>
      <c r="I63" s="61"/>
      <c r="J63" s="183"/>
      <c r="K63" s="183"/>
      <c r="L63" s="365" t="s">
        <v>1701</v>
      </c>
      <c r="M63" s="183" t="str">
        <f>C61</f>
        <v>24.</v>
      </c>
      <c r="N63" s="2781" t="str">
        <f>IF(NOT(CGTW),"",IF(CGTW_Line7&lt;=100000,T54,T55))</f>
        <v/>
      </c>
      <c r="O63" s="1104"/>
      <c r="P63" s="1115"/>
      <c r="Q63" s="564"/>
      <c r="R63" s="1703"/>
      <c r="S63" s="1703"/>
      <c r="T63" s="658" t="str">
        <f>IF(File_Single&lt;&gt;"",U62,IF(File_Marr_Joint&lt;&gt;"",V62,IF(File_Marr_Sep&lt;&gt;"", W62,IF(File_Head&lt;&gt;"",X62,IF(File_Qual_Widow&lt;&gt;"",V62,"Filing status?")))))</f>
        <v>Filing status?</v>
      </c>
      <c r="U63" s="656" t="str">
        <f>"&lt;100k"</f>
        <v>&lt;100k</v>
      </c>
      <c r="V63" s="1190"/>
      <c r="W63" s="1190"/>
      <c r="X63" s="1190"/>
      <c r="Y63" s="1190"/>
      <c r="Z63" s="1190"/>
      <c r="AA63" s="656"/>
      <c r="AB63" s="659"/>
      <c r="AC63" s="2117"/>
      <c r="AD63" s="3755"/>
      <c r="AE63" s="3756"/>
      <c r="AF63" s="3130"/>
      <c r="AG63" s="3025"/>
      <c r="AH63" s="3025"/>
      <c r="AI63" s="3757"/>
      <c r="AJ63" s="3758"/>
      <c r="AK63" s="3758"/>
      <c r="AL63" s="3759"/>
      <c r="AM63" s="3759"/>
      <c r="AN63" s="3759"/>
      <c r="AO63" s="2595"/>
      <c r="AP63" s="2070"/>
      <c r="AQ63" s="1703"/>
      <c r="AR63" s="1703"/>
      <c r="AS63" s="1703"/>
    </row>
    <row r="64" spans="1:45" ht="13.5" customHeight="1" thickBot="1">
      <c r="A64" s="112"/>
      <c r="B64" s="1099"/>
      <c r="C64" s="583" t="s">
        <v>564</v>
      </c>
      <c r="D64" s="711"/>
      <c r="E64" s="85" t="s">
        <v>1699</v>
      </c>
      <c r="F64" s="85"/>
      <c r="G64" s="359"/>
      <c r="H64" s="85"/>
      <c r="I64" s="85"/>
      <c r="J64" s="183"/>
      <c r="K64" s="183"/>
      <c r="L64" s="365" t="s">
        <v>1700</v>
      </c>
      <c r="M64" s="183" t="str">
        <f>C64</f>
        <v>25.</v>
      </c>
      <c r="N64" s="2781" t="str">
        <f>IF(NOT(CGTW),"",SUM(N57,N60,N63))</f>
        <v/>
      </c>
      <c r="O64" s="1112"/>
      <c r="P64" s="1115"/>
      <c r="Q64" s="564"/>
      <c r="R64" s="1703"/>
      <c r="S64" s="1703"/>
      <c r="T64" s="657" t="str">
        <f>IF(File_Single&lt;&gt;"",Y62,IF(OR(File_Marr_Joint&lt;&gt;"",File_Qual_Widow&lt;&gt;""),Z62,IF(File_Marr_Sep&lt;&gt;"", AA62,IF(File_Head&lt;&gt;"",AB62,"Filing status?"))))</f>
        <v>Filing status?</v>
      </c>
      <c r="U64" s="776" t="str">
        <f>"&gt;=100k"</f>
        <v>&gt;=100k</v>
      </c>
      <c r="V64" s="776"/>
      <c r="W64" s="776"/>
      <c r="X64" s="776"/>
      <c r="Y64" s="776"/>
      <c r="Z64" s="776"/>
      <c r="AA64" s="776"/>
      <c r="AB64" s="777"/>
      <c r="AC64" s="2117"/>
      <c r="AD64" s="2117"/>
      <c r="AE64" s="2117"/>
      <c r="AF64" s="2117"/>
      <c r="AG64" s="2117"/>
      <c r="AH64" s="2117"/>
      <c r="AI64" s="2117"/>
      <c r="AJ64" s="2117"/>
      <c r="AK64" s="2117"/>
      <c r="AL64" s="2117"/>
      <c r="AM64" s="2117"/>
      <c r="AN64" s="2117"/>
      <c r="AO64" s="2117"/>
      <c r="AP64" s="2117"/>
      <c r="AQ64" s="1703"/>
      <c r="AR64" s="1703"/>
      <c r="AS64" s="1703"/>
    </row>
    <row r="65" spans="1:45" ht="13.5" customHeight="1">
      <c r="A65" s="112"/>
      <c r="B65" s="1099"/>
      <c r="C65" s="583" t="s">
        <v>565</v>
      </c>
      <c r="D65" s="183"/>
      <c r="E65" s="85" t="s">
        <v>965</v>
      </c>
      <c r="F65" s="85"/>
      <c r="G65" s="85"/>
      <c r="H65" s="61"/>
      <c r="I65" s="61"/>
      <c r="J65" s="183"/>
      <c r="K65" s="183"/>
      <c r="L65" s="731"/>
      <c r="M65" s="183"/>
      <c r="N65" s="1126"/>
      <c r="O65" s="1104"/>
      <c r="P65" s="1115"/>
      <c r="Q65" s="564"/>
      <c r="R65" s="1703"/>
      <c r="S65" s="1703"/>
      <c r="AC65" s="2117"/>
      <c r="AD65" s="2117"/>
      <c r="AE65" s="2117"/>
      <c r="AF65" s="2117"/>
      <c r="AG65" s="2117"/>
      <c r="AH65" s="2117"/>
      <c r="AI65" s="2117"/>
      <c r="AJ65" s="2117"/>
      <c r="AK65" s="2117"/>
      <c r="AL65" s="2117"/>
      <c r="AM65" s="2117"/>
      <c r="AN65" s="2117"/>
      <c r="AO65" s="2117"/>
      <c r="AP65" s="2117"/>
      <c r="AQ65" s="1703"/>
      <c r="AR65" s="1703"/>
      <c r="AS65" s="1703"/>
    </row>
    <row r="66" spans="1:45" ht="13.5" customHeight="1">
      <c r="A66" s="112"/>
      <c r="B66" s="1099"/>
      <c r="C66" s="583"/>
      <c r="D66" s="183"/>
      <c r="E66" s="85" t="s">
        <v>966</v>
      </c>
      <c r="F66" s="85"/>
      <c r="G66" s="85"/>
      <c r="H66" s="61"/>
      <c r="I66" s="61"/>
      <c r="J66" s="183"/>
      <c r="K66" s="183"/>
      <c r="L66" s="731"/>
      <c r="M66" s="183"/>
      <c r="N66" s="1105"/>
      <c r="O66" s="1104"/>
      <c r="P66" s="1115"/>
      <c r="Q66" s="564"/>
      <c r="R66" s="1703"/>
      <c r="S66" s="1703"/>
      <c r="AC66" s="2117"/>
      <c r="AD66" s="2117"/>
      <c r="AE66" s="2117"/>
      <c r="AF66" s="2117"/>
      <c r="AG66" s="2117"/>
      <c r="AH66" s="2117"/>
      <c r="AI66" s="2117"/>
      <c r="AJ66" s="2117"/>
      <c r="AK66" s="2117"/>
      <c r="AL66" s="2117"/>
      <c r="AM66" s="2117"/>
      <c r="AN66" s="2117"/>
      <c r="AO66" s="2117"/>
      <c r="AP66" s="2117"/>
      <c r="AQ66" s="1703"/>
      <c r="AR66" s="1703"/>
      <c r="AS66" s="1703"/>
    </row>
    <row r="67" spans="1:45" ht="13.5" customHeight="1">
      <c r="A67" s="112"/>
      <c r="B67" s="1099"/>
      <c r="C67" s="1111"/>
      <c r="D67" s="183"/>
      <c r="E67" s="85" t="s">
        <v>575</v>
      </c>
      <c r="F67" s="85"/>
      <c r="G67" s="85"/>
      <c r="H67" s="61"/>
      <c r="I67" s="61"/>
      <c r="J67" s="183"/>
      <c r="K67" s="183"/>
      <c r="L67" s="365" t="s">
        <v>1015</v>
      </c>
      <c r="M67" s="183" t="str">
        <f>C65</f>
        <v>26.</v>
      </c>
      <c r="N67" s="2781" t="str">
        <f>IF(NOT(CGTW),"",IF(CGTW_Line1&lt;=100000,T63,T64))</f>
        <v/>
      </c>
      <c r="O67" s="1104"/>
      <c r="P67" s="1115"/>
      <c r="Q67" s="564"/>
      <c r="R67" s="1703"/>
      <c r="S67" s="1703"/>
      <c r="AC67" s="2117"/>
      <c r="AD67" s="2117"/>
      <c r="AE67" s="2117"/>
      <c r="AF67" s="2117"/>
      <c r="AG67" s="2117"/>
      <c r="AH67" s="2117"/>
      <c r="AI67" s="2117"/>
      <c r="AJ67" s="2117"/>
      <c r="AK67" s="2117"/>
      <c r="AL67" s="2117"/>
      <c r="AM67" s="2117"/>
      <c r="AN67" s="2117"/>
      <c r="AO67" s="2117"/>
      <c r="AP67" s="2117"/>
      <c r="AQ67" s="1703"/>
      <c r="AR67" s="1703"/>
      <c r="AS67" s="1703"/>
    </row>
    <row r="68" spans="1:45">
      <c r="A68" s="112"/>
      <c r="B68" s="1099"/>
      <c r="C68" s="583" t="s">
        <v>566</v>
      </c>
      <c r="D68" s="183"/>
      <c r="E68" s="359" t="s">
        <v>1702</v>
      </c>
      <c r="F68" s="85"/>
      <c r="G68" s="85"/>
      <c r="H68" s="61"/>
      <c r="I68" s="61"/>
      <c r="J68" s="183"/>
      <c r="K68" s="183"/>
      <c r="L68" s="731"/>
      <c r="M68" s="183"/>
      <c r="N68" s="1126"/>
      <c r="O68" s="1104"/>
      <c r="P68" s="1115"/>
      <c r="Q68" s="564"/>
      <c r="R68" s="1703"/>
      <c r="S68" s="1703"/>
      <c r="AC68" s="1703"/>
      <c r="AD68" s="1703"/>
      <c r="AE68" s="1703"/>
      <c r="AF68" s="1703"/>
      <c r="AG68" s="1703"/>
      <c r="AH68" s="1703"/>
      <c r="AI68" s="1703"/>
      <c r="AJ68" s="1703"/>
      <c r="AK68" s="1703"/>
      <c r="AL68" s="1703"/>
      <c r="AM68" s="1703"/>
      <c r="AN68" s="1703"/>
      <c r="AO68" s="1703"/>
      <c r="AP68" s="1703"/>
      <c r="AQ68" s="1703"/>
      <c r="AR68" s="1703"/>
      <c r="AS68" s="1703"/>
    </row>
    <row r="69" spans="1:45" ht="13.5" customHeight="1">
      <c r="A69" s="112"/>
      <c r="B69" s="1099"/>
      <c r="C69" s="183"/>
      <c r="D69" s="183"/>
      <c r="E69" s="85" t="s">
        <v>93</v>
      </c>
      <c r="F69" s="85"/>
      <c r="G69" s="85"/>
      <c r="H69" s="61"/>
      <c r="I69" s="61"/>
      <c r="J69" s="183"/>
      <c r="K69" s="183"/>
      <c r="L69" s="731"/>
      <c r="M69" s="183"/>
      <c r="N69" s="1105"/>
      <c r="O69" s="1104"/>
      <c r="P69" s="1115"/>
      <c r="Q69" s="564"/>
      <c r="R69" s="1703"/>
      <c r="S69" s="1703"/>
      <c r="AC69" s="1703"/>
      <c r="AD69" s="1703"/>
      <c r="AE69" s="1703"/>
      <c r="AF69" s="1703"/>
      <c r="AG69" s="1703"/>
      <c r="AH69" s="1703"/>
      <c r="AI69" s="1703"/>
      <c r="AJ69" s="1703"/>
      <c r="AK69" s="1703"/>
      <c r="AL69" s="1703"/>
      <c r="AM69" s="1703"/>
      <c r="AN69" s="1703"/>
      <c r="AO69" s="1703"/>
      <c r="AP69" s="1703"/>
      <c r="AQ69" s="1703"/>
      <c r="AR69" s="1703"/>
      <c r="AS69" s="1703"/>
    </row>
    <row r="70" spans="1:45">
      <c r="A70" s="112"/>
      <c r="B70" s="1099"/>
      <c r="C70" s="1111"/>
      <c r="D70" s="183"/>
      <c r="E70" s="85" t="s">
        <v>1198</v>
      </c>
      <c r="F70" s="85"/>
      <c r="G70" s="85"/>
      <c r="H70" s="61"/>
      <c r="I70" s="61"/>
      <c r="J70" s="183"/>
      <c r="K70" s="183"/>
      <c r="L70" s="365" t="s">
        <v>1199</v>
      </c>
      <c r="M70" s="183" t="str">
        <f>C68</f>
        <v>27.</v>
      </c>
      <c r="N70" s="2781" t="str">
        <f>IF(R70&lt;&gt;"",R70,IF(NOT(CGTW),"",MIN(N64,N67)))</f>
        <v/>
      </c>
      <c r="O70" s="1104"/>
      <c r="P70" s="1115"/>
      <c r="Q70" s="564"/>
      <c r="R70" s="2116"/>
      <c r="S70" s="1703"/>
      <c r="AC70" s="1703"/>
      <c r="AD70" s="1703"/>
      <c r="AE70" s="1703"/>
      <c r="AF70" s="1703"/>
      <c r="AG70" s="1703"/>
      <c r="AH70" s="1703"/>
      <c r="AI70" s="1703"/>
      <c r="AJ70" s="1703"/>
      <c r="AK70" s="1703"/>
      <c r="AL70" s="1703"/>
      <c r="AM70" s="1703"/>
      <c r="AN70" s="1703"/>
      <c r="AO70" s="1703"/>
      <c r="AP70" s="1703"/>
      <c r="AQ70" s="1703"/>
      <c r="AR70" s="1703"/>
      <c r="AS70" s="1703"/>
    </row>
    <row r="71" spans="1:45">
      <c r="A71" s="112"/>
      <c r="B71" s="1099"/>
      <c r="C71" s="1384" t="s">
        <v>1200</v>
      </c>
      <c r="D71" s="183"/>
      <c r="E71" s="85"/>
      <c r="F71" s="85"/>
      <c r="G71" s="85"/>
      <c r="H71" s="61"/>
      <c r="I71" s="61"/>
      <c r="J71" s="183"/>
      <c r="K71" s="183"/>
      <c r="L71" s="731"/>
      <c r="M71" s="183"/>
      <c r="N71" s="1105"/>
      <c r="O71" s="1104"/>
      <c r="P71" s="1115"/>
      <c r="Q71" s="564"/>
      <c r="R71" s="1703"/>
      <c r="S71" s="1703"/>
      <c r="AC71" s="1703"/>
      <c r="AD71" s="1703"/>
      <c r="AE71" s="1703"/>
      <c r="AF71" s="1703"/>
      <c r="AG71" s="1703"/>
      <c r="AH71" s="1703"/>
      <c r="AI71" s="1703"/>
      <c r="AJ71" s="1703"/>
      <c r="AK71" s="1703"/>
      <c r="AL71" s="1703"/>
      <c r="AM71" s="1703"/>
      <c r="AN71" s="1703"/>
      <c r="AO71" s="1703"/>
      <c r="AP71" s="1703"/>
      <c r="AQ71" s="1703"/>
      <c r="AR71" s="1703"/>
      <c r="AS71" s="1703"/>
    </row>
    <row r="72" spans="1:45" ht="18" customHeight="1" thickBot="1">
      <c r="A72" s="112"/>
      <c r="B72" s="1113"/>
      <c r="C72" s="182"/>
      <c r="D72" s="182"/>
      <c r="E72" s="43"/>
      <c r="F72" s="43"/>
      <c r="G72" s="43"/>
      <c r="H72" s="67"/>
      <c r="I72" s="67"/>
      <c r="J72" s="67"/>
      <c r="K72" s="67"/>
      <c r="L72" s="67"/>
      <c r="M72" s="182"/>
      <c r="N72" s="714"/>
      <c r="O72" s="1114"/>
      <c r="P72" s="1115"/>
      <c r="Q72" s="564"/>
      <c r="R72" s="1703"/>
      <c r="S72" s="1703"/>
      <c r="AC72" s="1703"/>
      <c r="AD72" s="1703"/>
      <c r="AE72" s="1703"/>
      <c r="AF72" s="1703"/>
      <c r="AG72" s="1703"/>
      <c r="AH72" s="1703"/>
      <c r="AI72" s="1703"/>
      <c r="AJ72" s="1703"/>
      <c r="AK72" s="1703"/>
      <c r="AL72" s="1703"/>
      <c r="AM72" s="1703"/>
      <c r="AN72" s="1703"/>
      <c r="AO72" s="1703"/>
      <c r="AP72" s="1703"/>
      <c r="AQ72" s="1703"/>
      <c r="AR72" s="1703"/>
      <c r="AS72" s="1703"/>
    </row>
    <row r="73" spans="1:45" ht="7.5" customHeight="1">
      <c r="A73" s="1115"/>
      <c r="B73" s="1116"/>
      <c r="C73" s="1117"/>
      <c r="D73" s="1118"/>
      <c r="E73" s="1119"/>
      <c r="F73" s="1119"/>
      <c r="G73" s="1120"/>
      <c r="H73" s="1121"/>
      <c r="I73" s="1121"/>
      <c r="J73" s="1120"/>
      <c r="K73" s="1122"/>
      <c r="L73" s="1123"/>
      <c r="M73" s="970"/>
      <c r="N73" s="970"/>
      <c r="O73" s="1124"/>
      <c r="P73" s="1115"/>
      <c r="Q73" s="564"/>
      <c r="R73" s="1703"/>
      <c r="S73" s="1703"/>
      <c r="AC73" s="1703"/>
      <c r="AD73" s="1703"/>
      <c r="AE73" s="1703"/>
      <c r="AF73" s="1703"/>
      <c r="AG73" s="1703"/>
      <c r="AH73" s="1703"/>
      <c r="AI73" s="1703"/>
      <c r="AJ73" s="1703"/>
      <c r="AK73" s="1703"/>
      <c r="AL73" s="1703"/>
      <c r="AM73" s="1703"/>
      <c r="AN73" s="1703"/>
      <c r="AO73" s="1703"/>
      <c r="AP73" s="1703"/>
      <c r="AQ73" s="1703"/>
      <c r="AR73" s="1703"/>
      <c r="AS73" s="1703"/>
    </row>
    <row r="74" spans="1:45" ht="12" customHeight="1">
      <c r="B74" s="564"/>
      <c r="C74" s="564"/>
      <c r="D74" s="564"/>
      <c r="E74" s="564"/>
      <c r="F74" s="564"/>
      <c r="G74" s="564"/>
      <c r="H74" s="564"/>
      <c r="I74" s="800"/>
      <c r="J74" s="564"/>
      <c r="K74" s="564"/>
      <c r="L74" s="564"/>
      <c r="M74" s="564"/>
      <c r="N74" s="564"/>
      <c r="O74" s="564"/>
      <c r="P74" s="564"/>
      <c r="Q74" s="564"/>
      <c r="R74" s="564"/>
      <c r="S74" s="564"/>
      <c r="AC74" s="564"/>
      <c r="AD74" s="564"/>
      <c r="AE74" s="564"/>
      <c r="AF74" s="564"/>
      <c r="AG74" s="564"/>
      <c r="AH74" s="564"/>
      <c r="AI74" s="564"/>
      <c r="AJ74" s="564"/>
      <c r="AK74" s="564"/>
      <c r="AL74" s="564"/>
      <c r="AM74" s="564"/>
      <c r="AN74" s="564"/>
      <c r="AO74" s="564"/>
      <c r="AP74" s="564"/>
    </row>
    <row r="79" spans="1:45" ht="15" customHeight="1"/>
  </sheetData>
  <sheetProtection password="F07E" sheet="1" objects="1" scenarios="1"/>
  <mergeCells count="6">
    <mergeCell ref="AE17:AJ18"/>
    <mergeCell ref="C4:E4"/>
    <mergeCell ref="C7:E7"/>
    <mergeCell ref="C8:E8"/>
    <mergeCell ref="C9:E9"/>
    <mergeCell ref="C6:E6"/>
  </mergeCells>
  <phoneticPr fontId="0" type="noConversion"/>
  <conditionalFormatting sqref="L25">
    <cfRule type="expression" dxfId="1636" priority="31">
      <formula>IF(NoColor,1,0)</formula>
    </cfRule>
  </conditionalFormatting>
  <conditionalFormatting sqref="L36">
    <cfRule type="expression" dxfId="1635" priority="30">
      <formula>IF(NoColor,1,0)</formula>
    </cfRule>
  </conditionalFormatting>
  <conditionalFormatting sqref="L37">
    <cfRule type="expression" dxfId="1634" priority="29">
      <formula>IF(NoColor,1,0)</formula>
    </cfRule>
  </conditionalFormatting>
  <conditionalFormatting sqref="L40">
    <cfRule type="expression" dxfId="1633" priority="28">
      <formula>IF(NoColor,1,0)</formula>
    </cfRule>
  </conditionalFormatting>
  <conditionalFormatting sqref="L42">
    <cfRule type="expression" dxfId="1632" priority="27">
      <formula>IF(NoColor,1,0)</formula>
    </cfRule>
  </conditionalFormatting>
  <conditionalFormatting sqref="L43">
    <cfRule type="expression" dxfId="1631" priority="26">
      <formula>IF(NoColor,1,0)</formula>
    </cfRule>
  </conditionalFormatting>
  <conditionalFormatting sqref="L44">
    <cfRule type="expression" dxfId="1630" priority="25">
      <formula>IF(NoColor,1,0)</formula>
    </cfRule>
  </conditionalFormatting>
  <conditionalFormatting sqref="L45:L47">
    <cfRule type="expression" dxfId="1629" priority="24">
      <formula>IF(NoColor,1,0)</formula>
    </cfRule>
  </conditionalFormatting>
  <conditionalFormatting sqref="L51">
    <cfRule type="expression" dxfId="1628" priority="23">
      <formula>IF(NoColor,1,0)</formula>
    </cfRule>
  </conditionalFormatting>
  <conditionalFormatting sqref="L53:L56">
    <cfRule type="expression" dxfId="1627" priority="22">
      <formula>IF(NoColor,1,0)</formula>
    </cfRule>
  </conditionalFormatting>
  <conditionalFormatting sqref="L58:L59">
    <cfRule type="expression" dxfId="1626" priority="21">
      <formula>IF(NoColor,1,0)</formula>
    </cfRule>
  </conditionalFormatting>
  <conditionalFormatting sqref="J26">
    <cfRule type="expression" dxfId="1625" priority="20">
      <formula>IF(NoColor,1,0)</formula>
    </cfRule>
  </conditionalFormatting>
  <conditionalFormatting sqref="J30">
    <cfRule type="expression" dxfId="1624" priority="19">
      <formula>IF(NoColor,1,0)</formula>
    </cfRule>
  </conditionalFormatting>
  <conditionalFormatting sqref="J32">
    <cfRule type="expression" dxfId="1623" priority="18">
      <formula>IF(NoColor,1,0)</formula>
    </cfRule>
  </conditionalFormatting>
  <conditionalFormatting sqref="J35">
    <cfRule type="expression" dxfId="1622" priority="17">
      <formula>IF(NoColor,1,0)</formula>
    </cfRule>
  </conditionalFormatting>
  <conditionalFormatting sqref="D28">
    <cfRule type="expression" dxfId="1621" priority="16">
      <formula>IF(NoColor,1,0)</formula>
    </cfRule>
  </conditionalFormatting>
  <conditionalFormatting sqref="D31">
    <cfRule type="expression" dxfId="1620" priority="15">
      <formula>IF(NoColor,1,0)</formula>
    </cfRule>
  </conditionalFormatting>
  <conditionalFormatting sqref="N57">
    <cfRule type="expression" dxfId="1619" priority="14">
      <formula>IF(NoColor,1,0)</formula>
    </cfRule>
  </conditionalFormatting>
  <conditionalFormatting sqref="N60">
    <cfRule type="expression" dxfId="1618" priority="13">
      <formula>IF(NoColor,1,0)</formula>
    </cfRule>
  </conditionalFormatting>
  <conditionalFormatting sqref="N63:N64">
    <cfRule type="expression" dxfId="1617" priority="12">
      <formula>IF(NoColor,1,0)</formula>
    </cfRule>
  </conditionalFormatting>
  <conditionalFormatting sqref="N70">
    <cfRule type="expression" dxfId="1616" priority="10">
      <formula>IF(NoColor,1,0)</formula>
    </cfRule>
  </conditionalFormatting>
  <conditionalFormatting sqref="N67">
    <cfRule type="expression" dxfId="1615" priority="11">
      <formula>IF(NoColor,1,0)</formula>
    </cfRule>
  </conditionalFormatting>
  <conditionalFormatting sqref="AN22">
    <cfRule type="expression" dxfId="1614" priority="9">
      <formula>IF(NoColor,1,0)</formula>
    </cfRule>
  </conditionalFormatting>
  <conditionalFormatting sqref="AN25">
    <cfRule type="expression" dxfId="1613" priority="8">
      <formula>IF(NoColor,1,0)</formula>
    </cfRule>
  </conditionalFormatting>
  <conditionalFormatting sqref="AN28">
    <cfRule type="expression" dxfId="1612" priority="7">
      <formula>IF(NoColor,1,0)</formula>
    </cfRule>
  </conditionalFormatting>
  <conditionalFormatting sqref="AN30">
    <cfRule type="expression" dxfId="1611" priority="6">
      <formula>IF(NoColor,1,0)</formula>
    </cfRule>
  </conditionalFormatting>
  <conditionalFormatting sqref="AN36">
    <cfRule type="expression" dxfId="1610" priority="5">
      <formula>IF(NoColor,1,0)</formula>
    </cfRule>
  </conditionalFormatting>
  <conditionalFormatting sqref="AN40">
    <cfRule type="expression" dxfId="1609" priority="4">
      <formula>IF(NoColor,1,0)</formula>
    </cfRule>
  </conditionalFormatting>
  <conditionalFormatting sqref="AN43">
    <cfRule type="expression" dxfId="1608" priority="3">
      <formula>IF(NoColor,1,0)</formula>
    </cfRule>
  </conditionalFormatting>
  <conditionalFormatting sqref="AN27">
    <cfRule type="expression" dxfId="1607" priority="2">
      <formula>IF(NoColor,1,0)</formula>
    </cfRule>
  </conditionalFormatting>
  <printOptions gridLines="1" gridLinesSet="0"/>
  <pageMargins left="0.38" right="0.25" top="0.66" bottom="0.64" header="0.5" footer="0.5"/>
  <pageSetup scale="89" orientation="portrait" horizontalDpi="120" verticalDpi="14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W243"/>
  <sheetViews>
    <sheetView zoomScaleNormal="100" zoomScaleSheetLayoutView="100" workbookViewId="0">
      <selection activeCell="AB119" sqref="AB119"/>
    </sheetView>
  </sheetViews>
  <sheetFormatPr defaultColWidth="9.140625" defaultRowHeight="12.75"/>
  <cols>
    <col min="1" max="1" width="9.28515625" style="1717" customWidth="1"/>
    <col min="2" max="2" width="4.140625" style="1717" customWidth="1"/>
    <col min="3" max="3" width="6.28515625" style="1717" customWidth="1"/>
    <col min="4" max="5" width="3.7109375" style="1717" customWidth="1"/>
    <col min="6" max="6" width="4.28515625" style="1717" customWidth="1"/>
    <col min="7" max="7" width="5.140625" style="1717" customWidth="1"/>
    <col min="8" max="8" width="10.140625" style="1717" customWidth="1"/>
    <col min="9" max="9" width="13.140625" style="1717" customWidth="1"/>
    <col min="10" max="10" width="11.85546875" style="1717" customWidth="1"/>
    <col min="11" max="11" width="2" style="1717" customWidth="1"/>
    <col min="12" max="12" width="3.28515625" style="1717" customWidth="1"/>
    <col min="13" max="13" width="5.42578125" style="1717" customWidth="1"/>
    <col min="14" max="14" width="15.28515625" style="1717" customWidth="1"/>
    <col min="15" max="15" width="4" style="1717" customWidth="1"/>
    <col min="16" max="16" width="12.140625" style="1717" customWidth="1"/>
    <col min="17" max="18" width="4.140625" style="1717" customWidth="1"/>
    <col min="19" max="19" width="3.85546875" style="1717" customWidth="1"/>
    <col min="20" max="20" width="11" style="1717" customWidth="1"/>
    <col min="21" max="21" width="2" style="1717" customWidth="1"/>
    <col min="22" max="22" width="3.5703125" style="1716" customWidth="1"/>
    <col min="23" max="23" width="13.5703125" style="1716" customWidth="1"/>
    <col min="24" max="24" width="7.28515625" style="1717" customWidth="1"/>
    <col min="25" max="25" width="16.7109375" style="1717" customWidth="1"/>
    <col min="26" max="16384" width="9.140625" style="1717"/>
  </cols>
  <sheetData>
    <row r="1" spans="1:23">
      <c r="A1" s="1712"/>
      <c r="B1" s="1712"/>
      <c r="C1" s="1712"/>
      <c r="D1" s="1713"/>
      <c r="E1" s="1712"/>
      <c r="F1" s="1712"/>
      <c r="G1" s="1712"/>
      <c r="H1" s="1712"/>
      <c r="I1" s="1712"/>
      <c r="J1" s="1714"/>
      <c r="K1" s="1712"/>
      <c r="L1" s="1712"/>
      <c r="M1" s="1712"/>
      <c r="N1" s="1715"/>
      <c r="O1" s="1712"/>
      <c r="P1" s="1715"/>
      <c r="Q1" s="1712"/>
      <c r="R1" s="1712"/>
      <c r="S1" s="1712"/>
      <c r="T1" s="1712"/>
      <c r="U1" s="1716"/>
    </row>
    <row r="2" spans="1:23" ht="15">
      <c r="A2" s="1718"/>
      <c r="B2" s="1718"/>
      <c r="C2" s="1719"/>
      <c r="D2" s="1718"/>
      <c r="E2" s="1719" t="str">
        <f>IF(OR(Pub_972&lt;&gt;"Complete.",Qual_Child_Count=0),"NOTICE!","")</f>
        <v>NOTICE!</v>
      </c>
      <c r="F2" s="1719"/>
      <c r="G2" s="1720" t="str">
        <f>IF(Qual_Child_Count=0,"No qualifying children have been indicated on Form 1040.",IF(Pub_972&lt;&gt;"Complete.","To correctly determine your Child Tax Credit, you must answer these questions.",""))</f>
        <v>No qualifying children have been indicated on Form 1040.</v>
      </c>
      <c r="H2" s="1721"/>
      <c r="I2" s="1721"/>
      <c r="J2" s="1722"/>
      <c r="K2" s="1721"/>
      <c r="L2" s="1721"/>
      <c r="M2" s="1721"/>
      <c r="N2" s="1723"/>
      <c r="O2" s="1721"/>
      <c r="P2" s="1723"/>
      <c r="Q2" s="1721"/>
      <c r="R2" s="1721"/>
      <c r="S2" s="1721"/>
      <c r="T2" s="1721"/>
      <c r="U2" s="1716"/>
    </row>
    <row r="3" spans="1:23" ht="24" customHeight="1" thickBot="1">
      <c r="A3" s="1712"/>
      <c r="B3" s="1724"/>
      <c r="C3" s="1712"/>
      <c r="D3" s="1713"/>
      <c r="E3" s="1712"/>
      <c r="F3" s="1712"/>
      <c r="G3" s="1712"/>
      <c r="H3" s="1712"/>
      <c r="I3" s="1712"/>
      <c r="J3" s="1714"/>
      <c r="K3" s="1712"/>
      <c r="L3" s="1712"/>
      <c r="M3" s="1712"/>
      <c r="N3" s="1715"/>
      <c r="O3" s="1712"/>
      <c r="P3" s="1715"/>
      <c r="Q3" s="1725" t="s">
        <v>447</v>
      </c>
      <c r="R3" s="1726" t="s">
        <v>436</v>
      </c>
      <c r="S3" s="1730">
        <f>SUM(S9:S12)</f>
        <v>0</v>
      </c>
      <c r="T3" s="1712"/>
      <c r="U3" s="1716"/>
    </row>
    <row r="4" spans="1:23" ht="12.75" customHeight="1" thickBot="1">
      <c r="A4" s="1712"/>
      <c r="B4" s="1724" t="s">
        <v>476</v>
      </c>
      <c r="C4" s="1712" t="s">
        <v>674</v>
      </c>
      <c r="D4" s="1713"/>
      <c r="E4" s="1712"/>
      <c r="F4" s="1712"/>
      <c r="G4" s="1712"/>
      <c r="H4" s="1712"/>
      <c r="I4" s="1712"/>
      <c r="J4" s="1714"/>
      <c r="K4" s="1712"/>
      <c r="L4" s="1712"/>
      <c r="M4" s="1712"/>
      <c r="N4" s="1715"/>
      <c r="O4" s="1712"/>
      <c r="P4" s="1929" t="str">
        <f>IF(Qual_Child_Count=0,"",IF(AND(Q4="",R4=""),"Check one box.  ",IF(AND(Q4&lt;&gt;"",R4&lt;&gt;""),"Check only one box. ",IF(AND(R4&lt;&gt;"",N40=""),"See Line 3 below. ",IF(AND(Q4="X",N40&lt;&gt;"",N40&lt;&gt;0),"Clear Line 3 entry.","")))))</f>
        <v/>
      </c>
      <c r="Q4" s="3321"/>
      <c r="R4" s="3701" t="str">
        <f>IF(Form2555_Used,"X","")</f>
        <v/>
      </c>
      <c r="S4" s="1731"/>
      <c r="T4" s="1712"/>
      <c r="U4" s="1716"/>
    </row>
    <row r="5" spans="1:23">
      <c r="A5" s="1712"/>
      <c r="B5" s="1724"/>
      <c r="C5" s="1712"/>
      <c r="D5" s="1727" t="s">
        <v>549</v>
      </c>
      <c r="E5" s="1712" t="s">
        <v>467</v>
      </c>
      <c r="F5" s="1712"/>
      <c r="G5" s="1712"/>
      <c r="H5" s="1712"/>
      <c r="I5" s="1712"/>
      <c r="J5" s="1714"/>
      <c r="K5" s="1712"/>
      <c r="L5" s="1712"/>
      <c r="M5" s="1712"/>
      <c r="N5" s="1715"/>
      <c r="O5" s="1712"/>
      <c r="P5" s="1715"/>
      <c r="Q5" s="1712"/>
      <c r="R5" s="1712"/>
      <c r="S5" s="1712"/>
      <c r="T5" s="1712"/>
      <c r="U5" s="1716"/>
    </row>
    <row r="6" spans="1:23">
      <c r="A6" s="1712"/>
      <c r="B6" s="1724"/>
      <c r="C6" s="1712"/>
      <c r="D6" s="1727" t="s">
        <v>549</v>
      </c>
      <c r="E6" s="1712" t="s">
        <v>446</v>
      </c>
      <c r="F6" s="1712"/>
      <c r="G6" s="1712"/>
      <c r="H6" s="1712"/>
      <c r="I6" s="1712"/>
      <c r="J6" s="1714"/>
      <c r="K6" s="1712"/>
      <c r="L6" s="1712"/>
      <c r="M6" s="1712"/>
      <c r="N6" s="1715"/>
      <c r="O6" s="1712"/>
      <c r="P6" s="1715"/>
      <c r="Q6" s="1712"/>
      <c r="R6" s="1712"/>
      <c r="S6" s="1712"/>
      <c r="T6" s="1712"/>
      <c r="U6" s="1716"/>
    </row>
    <row r="7" spans="1:23">
      <c r="A7" s="1712"/>
      <c r="B7" s="1724"/>
      <c r="C7" s="1712"/>
      <c r="D7" s="1713"/>
      <c r="E7" s="1712"/>
      <c r="F7" s="1712"/>
      <c r="G7" s="1712"/>
      <c r="H7" s="1712"/>
      <c r="I7" s="1712"/>
      <c r="J7" s="1714"/>
      <c r="K7" s="1712"/>
      <c r="L7" s="1712"/>
      <c r="M7" s="1712"/>
      <c r="N7" s="1715"/>
      <c r="O7" s="1712"/>
      <c r="P7" s="1715"/>
      <c r="Q7" s="1715"/>
      <c r="R7" s="1715"/>
      <c r="S7" s="1726"/>
      <c r="T7" s="1712"/>
      <c r="U7" s="1716"/>
    </row>
    <row r="8" spans="1:23" ht="13.5" thickBot="1">
      <c r="A8" s="1712"/>
      <c r="B8" s="1724" t="s">
        <v>0</v>
      </c>
      <c r="C8" s="1712" t="s">
        <v>763</v>
      </c>
      <c r="D8" s="1713"/>
      <c r="E8" s="1712"/>
      <c r="F8" s="1712"/>
      <c r="G8" s="1712"/>
      <c r="H8" s="1712"/>
      <c r="I8" s="1712"/>
      <c r="J8" s="1714"/>
      <c r="K8" s="1712"/>
      <c r="L8" s="1712"/>
      <c r="M8" s="1712"/>
      <c r="N8" s="1715"/>
      <c r="O8" s="1712"/>
      <c r="P8" s="1715"/>
      <c r="Q8" s="1725" t="s">
        <v>447</v>
      </c>
      <c r="R8" s="1726" t="s">
        <v>436</v>
      </c>
      <c r="S8" s="1726"/>
      <c r="T8" s="1712"/>
      <c r="U8" s="1716"/>
    </row>
    <row r="9" spans="1:23" ht="12.75" customHeight="1">
      <c r="A9" s="1712"/>
      <c r="B9" s="1724"/>
      <c r="C9" s="1712"/>
      <c r="D9" s="1727" t="s">
        <v>549</v>
      </c>
      <c r="E9" s="1712" t="str">
        <f>"Mortgage interest credit, Form 8396"</f>
        <v>Mortgage interest credit, Form 8396</v>
      </c>
      <c r="F9" s="1712"/>
      <c r="G9" s="1712"/>
      <c r="H9" s="1712"/>
      <c r="I9" s="1712"/>
      <c r="J9" s="1714"/>
      <c r="K9" s="1712"/>
      <c r="L9" s="1712"/>
      <c r="M9" s="1712"/>
      <c r="N9" s="1715"/>
      <c r="O9" s="1712"/>
      <c r="P9" s="1929" t="str">
        <f>IF(Qual_Child_Count=0,"",IF(AND(Q9="",R9=""),"Check one box.  ",IF(AND(Q9&lt;&gt;"",R9&lt;&gt;""),"Check only one box. ",IF(AND(R9&lt;&gt;"",J227=""),"See Line 11 Worksheet, Line 13.",""))))</f>
        <v/>
      </c>
      <c r="Q9" s="3315"/>
      <c r="R9" s="3318"/>
      <c r="S9" s="1926" t="str">
        <f>IF(R9&lt;&gt;"",1,"")</f>
        <v/>
      </c>
      <c r="T9" s="1712"/>
      <c r="U9" s="1716"/>
    </row>
    <row r="10" spans="1:23" ht="12.75" customHeight="1">
      <c r="A10" s="1712"/>
      <c r="B10" s="1724"/>
      <c r="C10" s="1712"/>
      <c r="D10" s="1727" t="s">
        <v>549</v>
      </c>
      <c r="E10" s="1712" t="s">
        <v>1538</v>
      </c>
      <c r="F10" s="1712"/>
      <c r="G10" s="1712"/>
      <c r="H10" s="1712"/>
      <c r="I10" s="1712"/>
      <c r="J10" s="1714"/>
      <c r="K10" s="1712"/>
      <c r="L10" s="1712"/>
      <c r="M10" s="1712"/>
      <c r="N10" s="1715"/>
      <c r="O10" s="1712"/>
      <c r="P10" s="1929" t="str">
        <f>IF(Qual_Child_Count=0,"",IF(AND(Q10="",R10=""),"Check one box.  ",IF(AND(Q10&lt;&gt;"",R10&lt;&gt;""),"Check only one box. ",IF(AND(R10&lt;&gt;"",J228=""),"See Line 11 Worksheet, Line 13.",""))))</f>
        <v/>
      </c>
      <c r="Q10" s="3316"/>
      <c r="R10" s="3319"/>
      <c r="S10" s="1729" t="str">
        <f>IF(R10&lt;&gt;"",1,"")</f>
        <v/>
      </c>
      <c r="T10" s="1712"/>
      <c r="U10" s="1716"/>
    </row>
    <row r="11" spans="1:23" ht="12.75" customHeight="1">
      <c r="A11" s="1712"/>
      <c r="B11" s="1724"/>
      <c r="C11" s="1712"/>
      <c r="D11" s="1727" t="s">
        <v>549</v>
      </c>
      <c r="E11" s="1712" t="str">
        <f>"Residential energy efficient property credit, Form 5695, Part II"</f>
        <v>Residential energy efficient property credit, Form 5695, Part II</v>
      </c>
      <c r="F11" s="1712"/>
      <c r="G11" s="1712"/>
      <c r="H11" s="1712"/>
      <c r="I11" s="1712"/>
      <c r="J11" s="1714"/>
      <c r="K11" s="1712"/>
      <c r="L11" s="1712"/>
      <c r="M11" s="1712"/>
      <c r="N11" s="1715"/>
      <c r="O11" s="1712"/>
      <c r="P11" s="1929" t="str">
        <f>IF(Qual_Child_Count=0,"",IF(AND(Q11="",R11=""),"Check one box.  ",IF(AND(Q11&lt;&gt;"",R11&lt;&gt;""),"Check only one box. ",IF(AND(R11&lt;&gt;"",J229=""),"See Lines 10 and Line 11 Worksheet, Line 13.",""))))</f>
        <v/>
      </c>
      <c r="Q11" s="3316"/>
      <c r="R11" s="3319"/>
      <c r="S11" s="1729" t="str">
        <f>IF(R11&lt;&gt;"",1,"")</f>
        <v/>
      </c>
      <c r="T11" s="1712"/>
      <c r="U11" s="1716"/>
    </row>
    <row r="12" spans="1:23" ht="12.75" customHeight="1" thickBot="1">
      <c r="A12" s="1712"/>
      <c r="B12" s="1724"/>
      <c r="C12" s="1712"/>
      <c r="D12" s="1727" t="s">
        <v>549</v>
      </c>
      <c r="E12" s="1712" t="s">
        <v>230</v>
      </c>
      <c r="F12" s="1712"/>
      <c r="G12" s="1712"/>
      <c r="H12" s="1712"/>
      <c r="I12" s="1712"/>
      <c r="J12" s="1714"/>
      <c r="K12" s="1712"/>
      <c r="L12" s="1712"/>
      <c r="M12" s="1712"/>
      <c r="N12" s="1715"/>
      <c r="O12" s="1712"/>
      <c r="P12" s="1929" t="str">
        <f>IF(Qual_Child_Count=0,"",IF(AND(Q12="",R12=""),"Check one box.  ",IF(AND(Q12&lt;&gt;"",R12&lt;&gt;""),"Check only one box. ",IF(AND(R12&lt;&gt;"",J230=""),"See Line 11 Worksheet, Line 13.",""))))</f>
        <v/>
      </c>
      <c r="Q12" s="3317"/>
      <c r="R12" s="3320"/>
      <c r="S12" s="1729" t="str">
        <f>IF(R12&lt;&gt;"",1,"")</f>
        <v/>
      </c>
      <c r="T12" s="1712"/>
      <c r="U12" s="1716"/>
    </row>
    <row r="13" spans="1:23" s="1740" customFormat="1" ht="20.25" customHeight="1">
      <c r="A13" s="1732"/>
      <c r="B13" s="1733"/>
      <c r="C13" s="1733" t="s">
        <v>432</v>
      </c>
      <c r="D13" s="1734" t="str">
        <f>IF(Qual_Child_Count=0," Not applicable",  IF(AND(Q4&lt;&gt;"",R4&lt;&gt;"")," Check only one box.",  IF(OR(AND(Q9="",R9=""),AND(Q11="",R11=""), AND(Q12="",R12=""), AND(Q4="",R4=""))," Check boxes as indicated above.",  IF(OR(AND(R9&lt;&gt;"",J227=""), AND(R10&lt;&gt;"",J228=""),AND(R11&lt;&gt;"",N93="",J229=""), AND(R12&lt;&gt;"",J230=""), AND(R4&lt;&gt;"",N40=""))," Need more information.","Complete."))))</f>
        <v xml:space="preserve"> Not applicable</v>
      </c>
      <c r="E13" s="1732"/>
      <c r="F13" s="1732"/>
      <c r="G13" s="1735"/>
      <c r="H13" s="1736"/>
      <c r="I13" s="1736"/>
      <c r="J13" s="1737"/>
      <c r="K13" s="1732"/>
      <c r="L13" s="1732"/>
      <c r="M13" s="1732"/>
      <c r="N13" s="1738"/>
      <c r="O13" s="1732"/>
      <c r="P13" s="1728"/>
      <c r="Q13" s="1732"/>
      <c r="R13" s="1728"/>
      <c r="S13" s="1732"/>
      <c r="T13" s="1732"/>
      <c r="U13" s="1739"/>
      <c r="V13" s="1739"/>
      <c r="W13" s="1739"/>
    </row>
    <row r="14" spans="1:23" ht="20.25" customHeight="1" thickBot="1">
      <c r="A14" s="1741"/>
      <c r="B14" s="1742"/>
      <c r="C14" s="1742"/>
      <c r="D14" s="1743"/>
      <c r="E14" s="1741"/>
      <c r="F14" s="1741"/>
      <c r="G14" s="1744"/>
      <c r="H14" s="1745"/>
      <c r="I14" s="1745"/>
      <c r="J14" s="1746"/>
      <c r="K14" s="1741"/>
      <c r="L14" s="1741"/>
      <c r="M14" s="1741"/>
      <c r="N14" s="1747"/>
      <c r="O14" s="1741"/>
      <c r="P14" s="1728"/>
      <c r="Q14" s="1741"/>
      <c r="R14" s="1728"/>
      <c r="S14" s="1741"/>
      <c r="T14" s="1741"/>
      <c r="U14" s="1716"/>
    </row>
    <row r="15" spans="1:23" ht="12.75" customHeight="1">
      <c r="A15" s="1748"/>
      <c r="B15" s="1749"/>
      <c r="C15" s="1750"/>
      <c r="D15" s="1751"/>
      <c r="E15" s="1752"/>
      <c r="F15" s="1752"/>
      <c r="G15" s="1752"/>
      <c r="H15" s="1752"/>
      <c r="I15" s="1752"/>
      <c r="J15" s="1753"/>
      <c r="K15" s="1752"/>
      <c r="L15" s="1752"/>
      <c r="M15" s="1752"/>
      <c r="N15" s="1754"/>
      <c r="O15" s="1752"/>
      <c r="P15" s="1754"/>
      <c r="Q15" s="1755"/>
      <c r="R15" s="1755"/>
      <c r="S15" s="1755"/>
      <c r="T15" s="1755"/>
      <c r="U15" s="1716"/>
    </row>
    <row r="16" spans="1:23" ht="12.75" customHeight="1">
      <c r="A16" s="1748"/>
      <c r="B16" s="1756"/>
      <c r="C16" s="1757" t="s">
        <v>1201</v>
      </c>
      <c r="D16" s="1758"/>
      <c r="E16" s="1759" t="s">
        <v>1262</v>
      </c>
      <c r="F16" s="1759"/>
      <c r="G16" s="1748"/>
      <c r="H16" s="1748"/>
      <c r="I16" s="1748"/>
      <c r="J16" s="1760"/>
      <c r="K16" s="1748"/>
      <c r="L16" s="1748"/>
      <c r="M16" s="1748"/>
      <c r="N16" s="1755"/>
      <c r="O16" s="1748"/>
      <c r="P16" s="1755"/>
      <c r="Q16" s="1755"/>
      <c r="R16" s="1755"/>
      <c r="S16" s="1755"/>
      <c r="T16" s="1755"/>
      <c r="U16" s="1716"/>
    </row>
    <row r="17" spans="1:21" ht="12.75" customHeight="1" thickBot="1">
      <c r="A17" s="1715"/>
      <c r="B17" s="1761"/>
      <c r="C17" s="1761"/>
      <c r="D17" s="1762"/>
      <c r="E17" s="1761"/>
      <c r="F17" s="1761"/>
      <c r="G17" s="1761"/>
      <c r="H17" s="1761"/>
      <c r="I17" s="1761"/>
      <c r="J17" s="1763"/>
      <c r="K17" s="1761"/>
      <c r="L17" s="1761"/>
      <c r="M17" s="1761"/>
      <c r="N17" s="1761"/>
      <c r="O17" s="1761"/>
      <c r="P17" s="1761"/>
      <c r="Q17" s="1715"/>
      <c r="R17" s="1715"/>
      <c r="S17" s="1715"/>
      <c r="T17" s="1715"/>
      <c r="U17" s="1716"/>
    </row>
    <row r="18" spans="1:21" ht="12.75" customHeight="1">
      <c r="A18" s="1715"/>
      <c r="B18" s="1715"/>
      <c r="C18" s="1715"/>
      <c r="D18" s="1764"/>
      <c r="E18" s="1715"/>
      <c r="F18" s="1715"/>
      <c r="G18" s="1715"/>
      <c r="H18" s="1715"/>
      <c r="I18" s="1715"/>
      <c r="J18" s="1765"/>
      <c r="K18" s="1715"/>
      <c r="L18" s="1715"/>
      <c r="M18" s="1715"/>
      <c r="N18" s="1715"/>
      <c r="O18" s="1715"/>
      <c r="P18" s="1715"/>
      <c r="Q18" s="1715"/>
      <c r="R18" s="1715"/>
      <c r="S18" s="1715"/>
      <c r="T18" s="1715"/>
      <c r="U18" s="1716"/>
    </row>
    <row r="19" spans="1:21" ht="6.75" customHeight="1" thickBot="1">
      <c r="A19" s="1766"/>
      <c r="B19" s="1766"/>
      <c r="C19" s="1767"/>
      <c r="D19" s="1768"/>
      <c r="E19" s="1766"/>
      <c r="F19" s="1766"/>
      <c r="G19" s="1766"/>
      <c r="H19" s="1766"/>
      <c r="I19" s="1766"/>
      <c r="J19" s="1766"/>
      <c r="K19" s="1766"/>
      <c r="L19" s="1766"/>
      <c r="M19" s="1766"/>
      <c r="N19" s="1766"/>
      <c r="O19" s="1766"/>
      <c r="P19" s="1766"/>
      <c r="Q19" s="1766"/>
      <c r="R19" s="1766"/>
      <c r="S19" s="1766"/>
      <c r="T19" s="1766"/>
      <c r="U19" s="1716"/>
    </row>
    <row r="20" spans="1:21" ht="41.25" customHeight="1" thickBot="1">
      <c r="A20" s="1748"/>
      <c r="B20" s="1779" t="s">
        <v>3344</v>
      </c>
      <c r="C20" s="1780"/>
      <c r="D20" s="1781"/>
      <c r="E20" s="1782"/>
      <c r="F20" s="1782"/>
      <c r="G20" s="1782"/>
      <c r="H20" s="1782"/>
      <c r="I20" s="1782"/>
      <c r="J20" s="1783"/>
      <c r="K20" s="1782"/>
      <c r="L20" s="1782"/>
      <c r="M20" s="1782"/>
      <c r="N20" s="1784"/>
      <c r="O20" s="1784" t="s">
        <v>290</v>
      </c>
      <c r="P20" s="1785"/>
      <c r="Q20" s="1755"/>
      <c r="R20" s="1755"/>
      <c r="S20" s="1755"/>
      <c r="T20" s="1755"/>
      <c r="U20" s="1716"/>
    </row>
    <row r="21" spans="1:21" ht="24" customHeight="1" thickTop="1">
      <c r="A21" s="1741"/>
      <c r="B21" s="1769"/>
      <c r="C21" s="1743"/>
      <c r="D21" s="1758"/>
      <c r="E21" s="1770"/>
      <c r="F21" s="1771"/>
      <c r="G21" s="1771" t="s">
        <v>348</v>
      </c>
      <c r="H21" s="1772" t="s">
        <v>589</v>
      </c>
      <c r="I21" s="1917" t="s">
        <v>2109</v>
      </c>
      <c r="J21" s="1773"/>
      <c r="K21" s="1773"/>
      <c r="L21" s="1773"/>
      <c r="M21" s="1773"/>
      <c r="N21" s="1773"/>
      <c r="O21" s="1773"/>
      <c r="P21" s="1773"/>
      <c r="Q21" s="1773"/>
      <c r="R21" s="1773"/>
      <c r="S21" s="1773"/>
      <c r="T21" s="1741"/>
      <c r="U21" s="1716"/>
    </row>
    <row r="22" spans="1:21" ht="11.25" customHeight="1">
      <c r="A22" s="1741"/>
      <c r="B22" s="1774"/>
      <c r="C22" s="1743"/>
      <c r="D22" s="1758"/>
      <c r="E22" s="1741"/>
      <c r="F22" s="1741"/>
      <c r="G22" s="1741"/>
      <c r="H22" s="1775"/>
      <c r="I22" s="1918" t="s">
        <v>1703</v>
      </c>
      <c r="J22" s="1776"/>
      <c r="K22" s="1741"/>
      <c r="L22" s="1741"/>
      <c r="M22" s="1741"/>
      <c r="N22" s="1741"/>
      <c r="O22" s="1777"/>
      <c r="P22" s="1778"/>
      <c r="Q22" s="1741"/>
      <c r="R22" s="1741"/>
      <c r="S22" s="1741"/>
      <c r="T22" s="1741"/>
      <c r="U22" s="1716"/>
    </row>
    <row r="23" spans="1:21" ht="12.75" customHeight="1">
      <c r="A23" s="1748"/>
      <c r="B23" s="1756"/>
      <c r="C23" s="1759"/>
      <c r="D23" s="1758"/>
      <c r="E23" s="1748"/>
      <c r="F23" s="1748"/>
      <c r="G23" s="1748"/>
      <c r="H23" s="1748"/>
      <c r="I23" s="1748"/>
      <c r="J23" s="1760"/>
      <c r="K23" s="1748"/>
      <c r="L23" s="1748"/>
      <c r="M23" s="1748"/>
      <c r="N23" s="1755"/>
      <c r="O23" s="1748"/>
      <c r="P23" s="1755"/>
      <c r="Q23" s="1755"/>
      <c r="R23" s="1755"/>
      <c r="S23" s="1755"/>
      <c r="T23" s="1755"/>
      <c r="U23" s="1716"/>
    </row>
    <row r="24" spans="1:21" ht="12.75" customHeight="1">
      <c r="A24" s="1748"/>
      <c r="B24" s="1756"/>
      <c r="C24" s="1757"/>
      <c r="D24" s="3987" t="s">
        <v>549</v>
      </c>
      <c r="E24" s="1919" t="s">
        <v>3345</v>
      </c>
      <c r="F24" s="1786"/>
      <c r="G24" s="1748"/>
      <c r="H24" s="1748"/>
      <c r="I24" s="1748"/>
      <c r="J24" s="1760"/>
      <c r="K24" s="1748"/>
      <c r="L24" s="1748"/>
      <c r="M24" s="1748"/>
      <c r="N24" s="1786"/>
      <c r="O24" s="1748" t="str">
        <f>"at the end of "&amp;TaxYear&amp;" and meet the other"</f>
        <v>at the end of 2016 and meet the other</v>
      </c>
      <c r="P24" s="1755"/>
      <c r="Q24" s="1755"/>
      <c r="R24" s="1755"/>
      <c r="S24" s="1755"/>
      <c r="T24" s="1755"/>
      <c r="U24" s="1716"/>
    </row>
    <row r="25" spans="1:21" ht="12.75" customHeight="1">
      <c r="A25" s="1748"/>
      <c r="B25" s="1756"/>
      <c r="C25" s="1757"/>
      <c r="D25" s="1758"/>
      <c r="E25" s="1919" t="s">
        <v>3346</v>
      </c>
      <c r="F25" s="1787"/>
      <c r="G25" s="1748"/>
      <c r="H25" s="1748"/>
      <c r="I25" s="1748"/>
      <c r="J25" s="1760"/>
      <c r="K25" s="1748"/>
      <c r="L25" s="1748"/>
      <c r="M25" s="1748"/>
      <c r="N25" s="1755"/>
      <c r="O25" s="1748"/>
      <c r="P25" s="1755"/>
      <c r="Q25" s="1755"/>
      <c r="R25" s="1755"/>
      <c r="S25" s="1755"/>
      <c r="T25" s="1755"/>
      <c r="U25" s="1716"/>
    </row>
    <row r="26" spans="1:21" ht="12.75" customHeight="1">
      <c r="A26" s="2557"/>
      <c r="B26" s="1756"/>
      <c r="C26" s="1759"/>
      <c r="D26" s="1758"/>
      <c r="E26" s="2557"/>
      <c r="F26" s="2557"/>
      <c r="G26" s="2557"/>
      <c r="H26" s="2557"/>
      <c r="I26" s="2557"/>
      <c r="J26" s="1760"/>
      <c r="K26" s="2557"/>
      <c r="L26" s="2557"/>
      <c r="M26" s="2557"/>
      <c r="N26" s="1755"/>
      <c r="O26" s="2557"/>
      <c r="P26" s="1755"/>
      <c r="Q26" s="1755"/>
      <c r="R26" s="1755"/>
      <c r="S26" s="1755"/>
      <c r="T26" s="1755"/>
      <c r="U26" s="1716"/>
    </row>
    <row r="27" spans="1:21" ht="12.75" customHeight="1">
      <c r="A27" s="2557"/>
      <c r="B27" s="1756"/>
      <c r="C27" s="1757"/>
      <c r="D27" s="3987" t="s">
        <v>549</v>
      </c>
      <c r="E27" s="1919" t="s">
        <v>1263</v>
      </c>
      <c r="F27" s="1786"/>
      <c r="G27" s="2557"/>
      <c r="H27" s="2557"/>
      <c r="I27" s="2557"/>
      <c r="J27" s="1760"/>
      <c r="K27" s="2557"/>
      <c r="L27" s="2557"/>
      <c r="M27" s="2557"/>
      <c r="N27" s="1786"/>
      <c r="O27" s="2557"/>
      <c r="P27" s="1755"/>
      <c r="Q27" s="1755"/>
      <c r="R27" s="1755"/>
      <c r="S27" s="1755"/>
      <c r="T27" s="1755"/>
      <c r="U27" s="1716"/>
    </row>
    <row r="28" spans="1:21" ht="12.75" customHeight="1" thickBot="1">
      <c r="A28" s="2557"/>
      <c r="B28" s="1756"/>
      <c r="C28" s="1757"/>
      <c r="D28" s="1789"/>
      <c r="E28" s="1919"/>
      <c r="F28" s="1786"/>
      <c r="G28" s="2557"/>
      <c r="H28" s="2557"/>
      <c r="I28" s="2557"/>
      <c r="J28" s="1760"/>
      <c r="K28" s="2557"/>
      <c r="L28" s="2557"/>
      <c r="M28" s="2557"/>
      <c r="N28" s="1786"/>
      <c r="O28" s="2557"/>
      <c r="P28" s="1755"/>
      <c r="Q28" s="1755"/>
      <c r="R28" s="1755"/>
      <c r="S28" s="1755"/>
      <c r="T28" s="1755"/>
      <c r="U28" s="1716"/>
    </row>
    <row r="29" spans="1:21" ht="12.75" customHeight="1" thickTop="1">
      <c r="A29" s="2557"/>
      <c r="B29" s="2559"/>
      <c r="C29" s="2560"/>
      <c r="D29" s="2561"/>
      <c r="E29" s="2562"/>
      <c r="F29" s="2563"/>
      <c r="G29" s="2564"/>
      <c r="H29" s="2564"/>
      <c r="I29" s="2564"/>
      <c r="J29" s="2565"/>
      <c r="K29" s="2564"/>
      <c r="L29" s="2564"/>
      <c r="M29" s="2564"/>
      <c r="N29" s="2563"/>
      <c r="O29" s="2564"/>
      <c r="P29" s="2566"/>
      <c r="Q29" s="1755"/>
      <c r="R29" s="1755"/>
      <c r="S29" s="1755"/>
      <c r="T29" s="1755"/>
      <c r="U29" s="1716"/>
    </row>
    <row r="30" spans="1:21" ht="21" customHeight="1">
      <c r="A30" s="1788"/>
      <c r="B30" s="4980" t="s">
        <v>598</v>
      </c>
      <c r="C30" s="4980"/>
      <c r="D30" s="1789" t="str">
        <f>O30&amp;"."</f>
        <v>1.</v>
      </c>
      <c r="E30" s="1790" t="s">
        <v>694</v>
      </c>
      <c r="F30" s="1790"/>
      <c r="G30" s="1788"/>
      <c r="H30" s="1791"/>
      <c r="I30" s="1791"/>
      <c r="J30" s="2790">
        <f>Qual_Child_Count</f>
        <v>0</v>
      </c>
      <c r="K30" s="4981" t="str">
        <f>"X "&amp;TEXT(N32,"$0,000")&amp;"."</f>
        <v>X $1,000.</v>
      </c>
      <c r="L30" s="4981"/>
      <c r="M30" s="4981"/>
      <c r="N30" s="4982"/>
      <c r="O30" s="1792" t="s">
        <v>243</v>
      </c>
      <c r="P30" s="2787">
        <f>N32*J30</f>
        <v>0</v>
      </c>
      <c r="Q30" s="1793"/>
      <c r="R30" s="1793"/>
      <c r="S30" s="1793"/>
      <c r="T30" s="1793"/>
      <c r="U30" s="1716"/>
    </row>
    <row r="31" spans="1:21" ht="12" customHeight="1">
      <c r="A31" s="1788"/>
      <c r="B31" s="1788"/>
      <c r="C31" s="1788"/>
      <c r="D31" s="1789"/>
      <c r="E31" s="1790" t="s">
        <v>1244</v>
      </c>
      <c r="F31" s="1790"/>
      <c r="G31" s="1788"/>
      <c r="H31" s="1791"/>
      <c r="I31" s="1791"/>
      <c r="J31" s="2567"/>
      <c r="K31" s="2557"/>
      <c r="L31" s="2557"/>
      <c r="M31" s="2557"/>
      <c r="N31" s="2557"/>
      <c r="O31" s="1805"/>
      <c r="P31" s="1833"/>
      <c r="Q31" s="1793"/>
      <c r="R31" s="1793"/>
      <c r="S31" s="1793"/>
      <c r="T31" s="1793"/>
      <c r="U31" s="1716"/>
    </row>
    <row r="32" spans="1:21" ht="10.5" customHeight="1">
      <c r="A32" s="1788"/>
      <c r="B32" s="1794"/>
      <c r="C32" s="1794"/>
      <c r="D32" s="1795"/>
      <c r="E32" s="1796"/>
      <c r="F32" s="1796"/>
      <c r="G32" s="1797"/>
      <c r="H32" s="1797"/>
      <c r="I32" s="1797"/>
      <c r="J32" s="1798"/>
      <c r="K32" s="1797"/>
      <c r="L32" s="1797"/>
      <c r="M32" s="1797"/>
      <c r="N32" s="1799">
        <v>1000</v>
      </c>
      <c r="O32" s="1788"/>
      <c r="P32" s="1788"/>
      <c r="Q32" s="1788"/>
      <c r="R32" s="1788"/>
      <c r="S32" s="1788"/>
      <c r="T32" s="1788"/>
      <c r="U32" s="1716"/>
    </row>
    <row r="33" spans="1:23" ht="9" customHeight="1">
      <c r="A33" s="1788"/>
      <c r="B33" s="1794"/>
      <c r="C33" s="1794"/>
      <c r="D33" s="1795"/>
      <c r="E33" s="1800"/>
      <c r="F33" s="1800"/>
      <c r="G33" s="1801"/>
      <c r="H33" s="1801"/>
      <c r="I33" s="1801"/>
      <c r="J33" s="1802"/>
      <c r="K33" s="1715"/>
      <c r="L33" s="1715"/>
      <c r="M33" s="1788"/>
      <c r="N33" s="1795"/>
      <c r="O33" s="1788"/>
      <c r="P33" s="1795"/>
      <c r="Q33" s="1795"/>
      <c r="R33" s="1795"/>
      <c r="S33" s="1795"/>
      <c r="T33" s="1795"/>
      <c r="U33" s="1716"/>
    </row>
    <row r="34" spans="1:23" ht="15" customHeight="1">
      <c r="A34" s="1788"/>
      <c r="B34" s="1733"/>
      <c r="C34" s="1790"/>
      <c r="D34" s="1789" t="str">
        <f>M34&amp;"."</f>
        <v>2.</v>
      </c>
      <c r="E34" s="1790" t="s">
        <v>776</v>
      </c>
      <c r="F34" s="1804"/>
      <c r="G34" s="1788"/>
      <c r="H34" s="1715"/>
      <c r="I34" s="1715"/>
      <c r="J34" s="1791"/>
      <c r="K34" s="1715"/>
      <c r="L34" s="1715"/>
      <c r="M34" s="1792" t="s">
        <v>244</v>
      </c>
      <c r="N34" s="2788">
        <f>Adj_Gross_Inc</f>
        <v>0</v>
      </c>
      <c r="O34" s="1788"/>
      <c r="P34" s="1795"/>
      <c r="Q34" s="1793"/>
      <c r="R34" s="1793"/>
      <c r="S34" s="1793"/>
      <c r="T34" s="1793"/>
      <c r="U34" s="1716"/>
    </row>
    <row r="35" spans="1:23" ht="18.75" customHeight="1">
      <c r="A35" s="1788"/>
      <c r="B35" s="1733"/>
      <c r="C35" s="1790"/>
      <c r="D35" s="1789"/>
      <c r="E35" s="1804" t="s">
        <v>1536</v>
      </c>
      <c r="F35" s="1804"/>
      <c r="G35" s="1788"/>
      <c r="H35" s="1715"/>
      <c r="I35" s="1715"/>
      <c r="J35" s="1791"/>
      <c r="K35" s="1715"/>
      <c r="L35" s="1715"/>
      <c r="M35" s="1805"/>
      <c r="N35" s="2568"/>
      <c r="O35" s="1788"/>
      <c r="P35" s="1795"/>
      <c r="Q35" s="1793"/>
      <c r="R35" s="1793"/>
      <c r="S35" s="1793"/>
      <c r="T35" s="1793"/>
      <c r="U35" s="1716"/>
    </row>
    <row r="36" spans="1:23" ht="7.5" customHeight="1">
      <c r="A36" s="1788"/>
      <c r="B36" s="1733"/>
      <c r="C36" s="1790"/>
      <c r="D36" s="1803"/>
      <c r="E36" s="1790"/>
      <c r="F36" s="1790"/>
      <c r="G36" s="1788"/>
      <c r="H36" s="1715"/>
      <c r="I36" s="1715"/>
      <c r="J36" s="1791"/>
      <c r="K36" s="1715"/>
      <c r="L36" s="1715"/>
      <c r="M36" s="1805"/>
      <c r="N36" s="1806"/>
      <c r="O36" s="1788"/>
      <c r="P36" s="1795"/>
      <c r="Q36" s="1793"/>
      <c r="R36" s="1793"/>
      <c r="S36" s="1793"/>
      <c r="T36" s="1793"/>
      <c r="U36" s="1716"/>
    </row>
    <row r="37" spans="1:23" ht="9" customHeight="1">
      <c r="A37" s="1788"/>
      <c r="B37" s="1794"/>
      <c r="C37" s="1794"/>
      <c r="D37" s="1795"/>
      <c r="E37" s="1800"/>
      <c r="F37" s="1800"/>
      <c r="G37" s="1801"/>
      <c r="H37" s="1801"/>
      <c r="I37" s="1801"/>
      <c r="J37" s="1802"/>
      <c r="K37" s="1715"/>
      <c r="L37" s="1715"/>
      <c r="M37" s="1788"/>
      <c r="N37" s="1795"/>
      <c r="O37" s="1788"/>
      <c r="P37" s="1795"/>
      <c r="Q37" s="1795"/>
      <c r="R37" s="1795"/>
      <c r="S37" s="1795"/>
      <c r="T37" s="1795"/>
      <c r="U37" s="1716"/>
    </row>
    <row r="38" spans="1:23" ht="12.75" customHeight="1">
      <c r="A38" s="1715"/>
      <c r="B38" s="1715"/>
      <c r="C38" s="1715"/>
      <c r="D38" s="1789" t="str">
        <f>M40&amp;"."</f>
        <v>3.</v>
      </c>
      <c r="E38" s="1807" t="s">
        <v>1202</v>
      </c>
      <c r="F38" s="1807"/>
      <c r="G38" s="1715"/>
      <c r="H38" s="1715"/>
      <c r="I38" s="1715"/>
      <c r="J38" s="1765"/>
      <c r="K38" s="1715"/>
      <c r="L38" s="1715"/>
      <c r="M38" s="1715"/>
      <c r="N38" s="1715"/>
      <c r="O38" s="1715"/>
      <c r="P38" s="1715"/>
      <c r="Q38" s="1715"/>
      <c r="R38" s="1715"/>
      <c r="S38" s="1715"/>
      <c r="T38" s="1715"/>
      <c r="U38" s="1716"/>
      <c r="W38" s="1930" t="s">
        <v>149</v>
      </c>
    </row>
    <row r="39" spans="1:23" ht="12.75" customHeight="1" thickBot="1">
      <c r="A39" s="1741"/>
      <c r="B39" s="1741"/>
      <c r="C39" s="1741"/>
      <c r="D39" s="1805"/>
      <c r="E39" s="1808" t="s">
        <v>549</v>
      </c>
      <c r="F39" s="1808"/>
      <c r="G39" s="1809" t="s">
        <v>1203</v>
      </c>
      <c r="H39" s="1741"/>
      <c r="I39" s="1741"/>
      <c r="J39" s="1776"/>
      <c r="K39" s="1741"/>
      <c r="L39" s="1741"/>
      <c r="M39" s="1741"/>
      <c r="N39" s="1741"/>
      <c r="O39" s="1741"/>
      <c r="P39" s="1741"/>
      <c r="Q39" s="1741"/>
      <c r="R39" s="1741"/>
      <c r="S39" s="1741"/>
      <c r="T39" s="1715"/>
      <c r="U39" s="1716"/>
      <c r="W39" s="1930" t="s">
        <v>661</v>
      </c>
    </row>
    <row r="40" spans="1:23" ht="19.5" customHeight="1" thickBot="1">
      <c r="A40" s="1741"/>
      <c r="B40" s="1741"/>
      <c r="C40" s="1741"/>
      <c r="D40" s="1805"/>
      <c r="E40" s="1808" t="s">
        <v>549</v>
      </c>
      <c r="F40" s="1808"/>
      <c r="G40" s="1741" t="s">
        <v>1204</v>
      </c>
      <c r="H40" s="1741"/>
      <c r="I40" s="1741"/>
      <c r="J40" s="1776"/>
      <c r="K40" s="1741"/>
      <c r="L40" s="1741"/>
      <c r="M40" s="1792" t="s">
        <v>245</v>
      </c>
      <c r="N40" s="2788">
        <f>IF(W40&lt;&gt;"",W40,SUM(ForeignHousingExclusion,ForeignHousingDeduction))</f>
        <v>0</v>
      </c>
      <c r="O40" s="1810" t="str">
        <f>IF(AND($R$4&lt;&gt;"",N40=""),"¬","")</f>
        <v/>
      </c>
      <c r="P40" s="1743" t="str">
        <f>IF(AND($R$4&lt;&gt;"",N40=""),"Enter total.","")</f>
        <v/>
      </c>
      <c r="Q40" s="1741"/>
      <c r="R40" s="1741"/>
      <c r="S40" s="1741"/>
      <c r="T40" s="1715"/>
      <c r="U40" s="1716"/>
      <c r="W40" s="1931"/>
    </row>
    <row r="41" spans="1:23" ht="12.75" customHeight="1">
      <c r="A41" s="1741"/>
      <c r="B41" s="1741"/>
      <c r="C41" s="1741"/>
      <c r="D41" s="1805"/>
      <c r="E41" s="1811"/>
      <c r="F41" s="1811"/>
      <c r="G41" s="1741" t="s">
        <v>3347</v>
      </c>
      <c r="H41" s="1741"/>
      <c r="I41" s="1741"/>
      <c r="J41" s="1776"/>
      <c r="K41" s="1741"/>
      <c r="L41" s="1741"/>
      <c r="M41" s="1741"/>
      <c r="N41" s="1741"/>
      <c r="O41" s="1741"/>
      <c r="P41" s="1741"/>
      <c r="Q41" s="1741"/>
      <c r="R41" s="1741"/>
      <c r="S41" s="1741"/>
      <c r="T41" s="1715"/>
      <c r="U41" s="1716"/>
    </row>
    <row r="42" spans="1:23" ht="15" customHeight="1">
      <c r="A42" s="1741"/>
      <c r="B42" s="1741"/>
      <c r="C42" s="1741"/>
      <c r="D42" s="1805"/>
      <c r="E42" s="1811" t="s">
        <v>1205</v>
      </c>
      <c r="F42" s="1811"/>
      <c r="G42" s="1741"/>
      <c r="H42" s="1741"/>
      <c r="I42" s="1741"/>
      <c r="J42" s="1776"/>
      <c r="K42" s="1741"/>
      <c r="L42" s="1741"/>
      <c r="M42" s="1741"/>
      <c r="N42" s="1741"/>
      <c r="O42" s="1741"/>
      <c r="P42" s="1741"/>
      <c r="Q42" s="1741"/>
      <c r="R42" s="1741"/>
      <c r="S42" s="1741"/>
      <c r="T42" s="1741"/>
      <c r="U42" s="1716"/>
    </row>
    <row r="43" spans="1:23" ht="8.25" customHeight="1">
      <c r="A43" s="1788"/>
      <c r="B43" s="1794"/>
      <c r="C43" s="1794"/>
      <c r="D43" s="1795"/>
      <c r="E43" s="1796"/>
      <c r="F43" s="1796"/>
      <c r="G43" s="1797"/>
      <c r="H43" s="1797"/>
      <c r="I43" s="1797"/>
      <c r="J43" s="1798"/>
      <c r="K43" s="1797"/>
      <c r="L43" s="1797"/>
      <c r="M43" s="1788"/>
      <c r="N43" s="1788"/>
      <c r="O43" s="1788"/>
      <c r="P43" s="1788"/>
      <c r="Q43" s="1788"/>
      <c r="R43" s="1788"/>
      <c r="S43" s="1788"/>
      <c r="T43" s="1788"/>
      <c r="U43" s="1716"/>
    </row>
    <row r="44" spans="1:23" ht="9" customHeight="1">
      <c r="A44" s="1788"/>
      <c r="B44" s="1794"/>
      <c r="C44" s="1794"/>
      <c r="D44" s="1795"/>
      <c r="E44" s="1800"/>
      <c r="F44" s="1800"/>
      <c r="G44" s="1801"/>
      <c r="H44" s="1801"/>
      <c r="I44" s="1801"/>
      <c r="J44" s="1802"/>
      <c r="K44" s="1715"/>
      <c r="L44" s="1715"/>
      <c r="M44" s="1788"/>
      <c r="N44" s="1795"/>
      <c r="O44" s="1788"/>
      <c r="P44" s="1795"/>
      <c r="Q44" s="1795"/>
      <c r="R44" s="1795"/>
      <c r="S44" s="1795"/>
      <c r="T44" s="1795"/>
      <c r="U44" s="1716"/>
    </row>
    <row r="45" spans="1:23" ht="16.5" customHeight="1">
      <c r="A45" s="1788"/>
      <c r="B45" s="1733"/>
      <c r="C45" s="1790"/>
      <c r="D45" s="1789" t="str">
        <f>M45&amp;"."</f>
        <v>4.</v>
      </c>
      <c r="E45" s="1790" t="s">
        <v>1206</v>
      </c>
      <c r="F45" s="1790"/>
      <c r="G45" s="1788"/>
      <c r="H45" s="1715"/>
      <c r="I45" s="1715"/>
      <c r="J45" s="1791"/>
      <c r="K45" s="1715"/>
      <c r="L45" s="1715"/>
      <c r="M45" s="1792" t="s">
        <v>246</v>
      </c>
      <c r="N45" s="2788">
        <f>SUM(N34,N40)</f>
        <v>0</v>
      </c>
      <c r="O45" s="1788"/>
      <c r="P45" s="1795"/>
      <c r="Q45" s="1793"/>
      <c r="R45" s="1793"/>
      <c r="S45" s="1793"/>
      <c r="T45" s="1793"/>
      <c r="U45" s="1716"/>
    </row>
    <row r="46" spans="1:23" ht="7.5" customHeight="1">
      <c r="A46" s="1788"/>
      <c r="B46" s="1794"/>
      <c r="C46" s="1794"/>
      <c r="D46" s="1795"/>
      <c r="E46" s="1796"/>
      <c r="F46" s="1796"/>
      <c r="G46" s="1797"/>
      <c r="H46" s="1797"/>
      <c r="I46" s="1797"/>
      <c r="J46" s="1798"/>
      <c r="K46" s="1797"/>
      <c r="L46" s="1797"/>
      <c r="M46" s="1788"/>
      <c r="N46" s="1788"/>
      <c r="O46" s="1788"/>
      <c r="P46" s="1788"/>
      <c r="Q46" s="1788"/>
      <c r="R46" s="1788"/>
      <c r="S46" s="1788"/>
      <c r="T46" s="1788"/>
      <c r="U46" s="1716"/>
    </row>
    <row r="47" spans="1:23" ht="9" customHeight="1">
      <c r="A47" s="1788"/>
      <c r="B47" s="1794"/>
      <c r="C47" s="1794"/>
      <c r="D47" s="1795"/>
      <c r="E47" s="1800"/>
      <c r="F47" s="1800"/>
      <c r="G47" s="1801"/>
      <c r="H47" s="1801"/>
      <c r="I47" s="1801"/>
      <c r="J47" s="1802"/>
      <c r="K47" s="1715"/>
      <c r="L47" s="1715"/>
      <c r="M47" s="1788"/>
      <c r="N47" s="1795"/>
      <c r="O47" s="1788"/>
      <c r="P47" s="1795"/>
      <c r="Q47" s="1795"/>
      <c r="R47" s="1795"/>
      <c r="S47" s="1795"/>
      <c r="T47" s="1795"/>
      <c r="U47" s="1716"/>
    </row>
    <row r="48" spans="1:23" ht="13.5" customHeight="1">
      <c r="A48" s="1715"/>
      <c r="B48" s="1715"/>
      <c r="C48" s="1715"/>
      <c r="D48" s="1789" t="str">
        <f>M51&amp;"."</f>
        <v>5.</v>
      </c>
      <c r="E48" s="1790" t="s">
        <v>1207</v>
      </c>
      <c r="F48" s="1790"/>
      <c r="G48" s="1715"/>
      <c r="H48" s="1715"/>
      <c r="I48" s="1715"/>
      <c r="J48" s="1765"/>
      <c r="K48" s="1715"/>
      <c r="L48" s="1715"/>
      <c r="M48" s="1715"/>
      <c r="N48" s="1715"/>
      <c r="O48" s="1715"/>
      <c r="P48" s="1715"/>
      <c r="Q48" s="1715"/>
      <c r="R48" s="1715"/>
      <c r="S48" s="1715"/>
      <c r="T48" s="1715"/>
      <c r="U48" s="1716"/>
    </row>
    <row r="49" spans="1:21" ht="12.75" customHeight="1">
      <c r="A49" s="1741"/>
      <c r="B49" s="1741"/>
      <c r="C49" s="1741"/>
      <c r="D49" s="1805"/>
      <c r="E49" s="1809" t="s">
        <v>1208</v>
      </c>
      <c r="F49" s="1809"/>
      <c r="G49" s="1809"/>
      <c r="H49" s="1741"/>
      <c r="I49" s="1741"/>
      <c r="J49" s="1776"/>
      <c r="K49" s="1741"/>
      <c r="L49" s="1741"/>
      <c r="M49" s="1741"/>
      <c r="N49" s="1741"/>
      <c r="O49" s="1741"/>
      <c r="P49" s="1741"/>
      <c r="Q49" s="1741"/>
      <c r="R49" s="1741"/>
      <c r="S49" s="1741"/>
      <c r="T49" s="1741"/>
      <c r="U49" s="1716"/>
    </row>
    <row r="50" spans="1:21" ht="14.25" customHeight="1">
      <c r="A50" s="1741"/>
      <c r="B50" s="1741"/>
      <c r="C50" s="1741"/>
      <c r="D50" s="1805"/>
      <c r="E50" s="1808" t="s">
        <v>549</v>
      </c>
      <c r="F50" s="1808"/>
      <c r="G50" s="1809" t="str">
        <f>"Married filing jointly – "&amp;TEXT(P50,"$0,000")</f>
        <v>Married filing jointly – $110,000</v>
      </c>
      <c r="H50" s="1741"/>
      <c r="I50" s="1741"/>
      <c r="J50" s="1776"/>
      <c r="K50" s="1741"/>
      <c r="L50" s="1741"/>
      <c r="M50" s="1741"/>
      <c r="N50" s="1741"/>
      <c r="O50" s="1741"/>
      <c r="P50" s="1812">
        <v>110000</v>
      </c>
      <c r="Q50" s="1741"/>
      <c r="R50" s="1741"/>
      <c r="S50" s="1741"/>
      <c r="T50" s="1741"/>
      <c r="U50" s="1716"/>
    </row>
    <row r="51" spans="1:21" ht="17.25" customHeight="1">
      <c r="A51" s="1741"/>
      <c r="B51" s="1741"/>
      <c r="C51" s="1741"/>
      <c r="D51" s="1805"/>
      <c r="E51" s="1808" t="s">
        <v>549</v>
      </c>
      <c r="F51" s="1808"/>
      <c r="G51" s="1741" t="s">
        <v>777</v>
      </c>
      <c r="H51" s="1741"/>
      <c r="I51" s="1741"/>
      <c r="J51" s="1776"/>
      <c r="K51" s="1741"/>
      <c r="L51" s="1741"/>
      <c r="M51" s="1792" t="s">
        <v>333</v>
      </c>
      <c r="N51" s="2788" t="str">
        <f>IF(File_Marr_Joint&lt;&gt;"",P50,IF(OR(File_Single&lt;&gt;"",File_Head&lt;&gt;"",File_Qual_Widow&lt;&gt;""),P52,IF(File_Marr_Sep&lt;&gt;"",P53,"Filing Status?")))</f>
        <v>Filing Status?</v>
      </c>
      <c r="O51" s="1741"/>
      <c r="P51" s="1812"/>
      <c r="Q51" s="1741"/>
      <c r="R51" s="1741"/>
      <c r="S51" s="1741"/>
      <c r="T51" s="1741"/>
      <c r="U51" s="1716"/>
    </row>
    <row r="52" spans="1:21" ht="12" customHeight="1">
      <c r="A52" s="1741"/>
      <c r="B52" s="1741"/>
      <c r="C52" s="1741"/>
      <c r="D52" s="1805"/>
      <c r="E52" s="1811"/>
      <c r="F52" s="1811"/>
      <c r="G52" s="1741" t="str">
        <f>"qualifying widow(er) – "&amp;TEXT(P52,"$0,000")</f>
        <v>qualifying widow(er) – $75,000</v>
      </c>
      <c r="H52" s="1741"/>
      <c r="I52" s="1741"/>
      <c r="J52" s="1776"/>
      <c r="K52" s="1741"/>
      <c r="L52" s="1741"/>
      <c r="M52" s="1741"/>
      <c r="N52" s="1741"/>
      <c r="O52" s="1741"/>
      <c r="P52" s="1812">
        <v>75000</v>
      </c>
      <c r="Q52" s="1741"/>
      <c r="R52" s="1741"/>
      <c r="S52" s="1741"/>
      <c r="T52" s="1741"/>
      <c r="U52" s="1716"/>
    </row>
    <row r="53" spans="1:21" ht="17.25" customHeight="1">
      <c r="A53" s="1741"/>
      <c r="B53" s="1741"/>
      <c r="C53" s="1741"/>
      <c r="D53" s="1805"/>
      <c r="E53" s="1808" t="s">
        <v>549</v>
      </c>
      <c r="F53" s="1808"/>
      <c r="G53" s="1741" t="str">
        <f>"Married filing separately – "&amp;TEXT(P53,"$0,000")</f>
        <v>Married filing separately – $55,000</v>
      </c>
      <c r="H53" s="1741"/>
      <c r="I53" s="1741"/>
      <c r="J53" s="1776"/>
      <c r="K53" s="1741"/>
      <c r="L53" s="1741"/>
      <c r="M53" s="1741"/>
      <c r="N53" s="1741"/>
      <c r="O53" s="1741"/>
      <c r="P53" s="1812">
        <v>55000</v>
      </c>
      <c r="Q53" s="1741"/>
      <c r="R53" s="1741"/>
      <c r="S53" s="1741"/>
      <c r="T53" s="1741"/>
      <c r="U53" s="1716"/>
    </row>
    <row r="54" spans="1:21" ht="8.25" customHeight="1">
      <c r="A54" s="1788"/>
      <c r="B54" s="1794"/>
      <c r="C54" s="1794"/>
      <c r="D54" s="1795"/>
      <c r="E54" s="1796"/>
      <c r="F54" s="1796"/>
      <c r="G54" s="1797"/>
      <c r="H54" s="1797"/>
      <c r="I54" s="1797"/>
      <c r="J54" s="1798"/>
      <c r="K54" s="1797"/>
      <c r="L54" s="1797"/>
      <c r="M54" s="1788"/>
      <c r="N54" s="1788"/>
      <c r="O54" s="1788"/>
      <c r="P54" s="1788"/>
      <c r="Q54" s="1788"/>
      <c r="R54" s="1788"/>
      <c r="S54" s="1788"/>
      <c r="T54" s="1788"/>
      <c r="U54" s="1716"/>
    </row>
    <row r="55" spans="1:21" ht="9" customHeight="1">
      <c r="A55" s="1788"/>
      <c r="B55" s="1794"/>
      <c r="C55" s="1794"/>
      <c r="D55" s="1795"/>
      <c r="E55" s="1800"/>
      <c r="F55" s="1800"/>
      <c r="G55" s="1801"/>
      <c r="H55" s="1801"/>
      <c r="I55" s="1801"/>
      <c r="J55" s="1802"/>
      <c r="K55" s="1715"/>
      <c r="L55" s="1715"/>
      <c r="M55" s="1788"/>
      <c r="N55" s="1795"/>
      <c r="O55" s="1788"/>
      <c r="P55" s="1795"/>
      <c r="Q55" s="1795"/>
      <c r="R55" s="1795"/>
      <c r="S55" s="1795"/>
      <c r="T55" s="1795"/>
      <c r="U55" s="1716"/>
    </row>
    <row r="56" spans="1:21" ht="15.75" customHeight="1">
      <c r="A56" s="1715"/>
      <c r="B56" s="1715"/>
      <c r="C56" s="1715"/>
      <c r="D56" s="1789" t="str">
        <f>M59&amp;"."</f>
        <v>6.</v>
      </c>
      <c r="E56" s="1790" t="s">
        <v>1209</v>
      </c>
      <c r="F56" s="1790"/>
      <c r="G56" s="1715"/>
      <c r="H56" s="1715"/>
      <c r="I56" s="1715"/>
      <c r="J56" s="1765"/>
      <c r="K56" s="1715"/>
      <c r="L56" s="1715"/>
      <c r="M56" s="1715"/>
      <c r="N56" s="1715"/>
      <c r="O56" s="1715"/>
      <c r="P56" s="1715"/>
      <c r="Q56" s="1715"/>
      <c r="R56" s="1715"/>
      <c r="S56" s="1715"/>
      <c r="T56" s="1715"/>
      <c r="U56" s="1716"/>
    </row>
    <row r="57" spans="1:21" ht="9.75" customHeight="1" thickBot="1">
      <c r="A57" s="1741"/>
      <c r="B57" s="1741"/>
      <c r="C57" s="1741"/>
      <c r="D57" s="1805"/>
      <c r="E57" s="1813"/>
      <c r="F57" s="1813"/>
      <c r="G57" s="1809"/>
      <c r="H57" s="1741"/>
      <c r="I57" s="1741"/>
      <c r="J57" s="1776"/>
      <c r="K57" s="1741"/>
      <c r="L57" s="1741"/>
      <c r="M57" s="1741"/>
      <c r="N57" s="1741"/>
      <c r="O57" s="1741"/>
      <c r="P57" s="1741"/>
      <c r="Q57" s="1741"/>
      <c r="R57" s="1741"/>
      <c r="S57" s="1741"/>
      <c r="T57" s="1741"/>
      <c r="U57" s="1716"/>
    </row>
    <row r="58" spans="1:21" ht="14.25" customHeight="1" thickBot="1">
      <c r="A58" s="1741"/>
      <c r="B58" s="1741"/>
      <c r="C58" s="1741"/>
      <c r="D58" s="1805"/>
      <c r="E58" s="2789" t="str">
        <f>IF(N45&gt;N51,"","X")</f>
        <v>X</v>
      </c>
      <c r="F58" s="1814"/>
      <c r="G58" s="1815" t="s">
        <v>444</v>
      </c>
      <c r="H58" s="1741" t="s">
        <v>1210</v>
      </c>
      <c r="I58" s="1741"/>
      <c r="J58" s="1776"/>
      <c r="K58" s="1741"/>
      <c r="L58" s="1741"/>
      <c r="M58" s="1741"/>
      <c r="N58" s="1741"/>
      <c r="O58" s="1741"/>
      <c r="P58" s="1741"/>
      <c r="Q58" s="1741"/>
      <c r="R58" s="1741"/>
      <c r="S58" s="1741"/>
      <c r="T58" s="1741"/>
      <c r="U58" s="1716"/>
    </row>
    <row r="59" spans="1:21" ht="17.25" customHeight="1" thickBot="1">
      <c r="A59" s="1741"/>
      <c r="B59" s="1741"/>
      <c r="C59" s="1741"/>
      <c r="D59" s="1805"/>
      <c r="E59" s="1808"/>
      <c r="F59" s="1808"/>
      <c r="G59" s="1741"/>
      <c r="H59" s="1741"/>
      <c r="I59" s="1741"/>
      <c r="J59" s="1776"/>
      <c r="K59" s="1741"/>
      <c r="L59" s="1741"/>
      <c r="M59" s="1792" t="s">
        <v>172</v>
      </c>
      <c r="N59" s="2788" t="str">
        <f>IF(E58="X","",ROUNDUP(N45-N51,-3))</f>
        <v/>
      </c>
      <c r="O59" s="1741"/>
      <c r="P59" s="1816"/>
      <c r="Q59" s="1741"/>
      <c r="R59" s="1741"/>
      <c r="S59" s="1741"/>
      <c r="T59" s="1741"/>
      <c r="U59" s="1716"/>
    </row>
    <row r="60" spans="1:21" ht="12" customHeight="1" thickBot="1">
      <c r="A60" s="1741"/>
      <c r="B60" s="1741"/>
      <c r="C60" s="1741"/>
      <c r="D60" s="1805"/>
      <c r="E60" s="2789" t="str">
        <f>IF(N45&gt;N51,"X","")</f>
        <v/>
      </c>
      <c r="F60" s="1814"/>
      <c r="G60" s="1815" t="s">
        <v>283</v>
      </c>
      <c r="H60" s="1741" t="s">
        <v>1211</v>
      </c>
      <c r="I60" s="1741"/>
      <c r="J60" s="1776"/>
      <c r="K60" s="1741"/>
      <c r="L60" s="1741"/>
      <c r="M60" s="1741"/>
      <c r="N60" s="1741"/>
      <c r="O60" s="1741"/>
      <c r="P60" s="1741"/>
      <c r="Q60" s="1741"/>
      <c r="R60" s="1741"/>
      <c r="S60" s="1741"/>
      <c r="T60" s="1741"/>
      <c r="U60" s="1716"/>
    </row>
    <row r="61" spans="1:21" ht="12" customHeight="1">
      <c r="A61" s="1741"/>
      <c r="B61" s="1741"/>
      <c r="C61" s="1741"/>
      <c r="D61" s="1805"/>
      <c r="E61" s="1817"/>
      <c r="F61" s="1817"/>
      <c r="G61" s="1818" t="s">
        <v>1212</v>
      </c>
      <c r="H61" s="1741"/>
      <c r="I61" s="1741"/>
      <c r="J61" s="1776"/>
      <c r="K61" s="1741"/>
      <c r="L61" s="1741"/>
      <c r="M61" s="1741"/>
      <c r="N61" s="1741"/>
      <c r="O61" s="1741"/>
      <c r="P61" s="1741"/>
      <c r="Q61" s="1741"/>
      <c r="R61" s="1741"/>
      <c r="S61" s="1741"/>
      <c r="T61" s="1741"/>
      <c r="U61" s="1716"/>
    </row>
    <row r="62" spans="1:21" ht="12" customHeight="1">
      <c r="A62" s="1741"/>
      <c r="B62" s="1741"/>
      <c r="C62" s="1741"/>
      <c r="D62" s="1805"/>
      <c r="E62" s="1817"/>
      <c r="F62" s="1817"/>
      <c r="G62" s="1818" t="s">
        <v>1213</v>
      </c>
      <c r="H62" s="1741"/>
      <c r="I62" s="1741"/>
      <c r="J62" s="1776"/>
      <c r="K62" s="1741"/>
      <c r="L62" s="1741"/>
      <c r="M62" s="1741"/>
      <c r="N62" s="1741"/>
      <c r="O62" s="1741"/>
      <c r="P62" s="1741"/>
      <c r="Q62" s="1741"/>
      <c r="R62" s="1741"/>
      <c r="S62" s="1741"/>
      <c r="T62" s="1741"/>
      <c r="U62" s="1716"/>
    </row>
    <row r="63" spans="1:21" ht="12" customHeight="1">
      <c r="A63" s="1741"/>
      <c r="B63" s="1741"/>
      <c r="C63" s="1741"/>
      <c r="D63" s="1805"/>
      <c r="E63" s="1817"/>
      <c r="F63" s="1817"/>
      <c r="G63" s="1818" t="s">
        <v>1214</v>
      </c>
      <c r="H63" s="1741"/>
      <c r="I63" s="1741"/>
      <c r="J63" s="1776"/>
      <c r="K63" s="1741"/>
      <c r="L63" s="1741"/>
      <c r="M63" s="1741"/>
      <c r="N63" s="1741"/>
      <c r="O63" s="1741"/>
      <c r="P63" s="1741"/>
      <c r="Q63" s="1741"/>
      <c r="R63" s="1741"/>
      <c r="S63" s="1741"/>
      <c r="T63" s="1741"/>
      <c r="U63" s="1716"/>
    </row>
    <row r="64" spans="1:21" ht="12" customHeight="1">
      <c r="A64" s="1741"/>
      <c r="B64" s="1741"/>
      <c r="C64" s="1741"/>
      <c r="D64" s="1805"/>
      <c r="E64" s="1817"/>
      <c r="F64" s="1817"/>
      <c r="G64" s="1818" t="s">
        <v>1215</v>
      </c>
      <c r="H64" s="1741"/>
      <c r="I64" s="1741"/>
      <c r="J64" s="1776"/>
      <c r="K64" s="1741"/>
      <c r="L64" s="1741"/>
      <c r="M64" s="1741"/>
      <c r="N64" s="1741"/>
      <c r="O64" s="1741"/>
      <c r="P64" s="1741"/>
      <c r="Q64" s="1741"/>
      <c r="R64" s="1741"/>
      <c r="S64" s="1741"/>
      <c r="T64" s="1741"/>
      <c r="U64" s="1716"/>
    </row>
    <row r="65" spans="1:21" ht="8.25" customHeight="1">
      <c r="A65" s="1788"/>
      <c r="B65" s="1794"/>
      <c r="C65" s="1794"/>
      <c r="D65" s="1795"/>
      <c r="E65" s="1796"/>
      <c r="F65" s="1796"/>
      <c r="G65" s="1797"/>
      <c r="H65" s="1797"/>
      <c r="I65" s="1797"/>
      <c r="J65" s="1798"/>
      <c r="K65" s="1788"/>
      <c r="L65" s="1788"/>
      <c r="M65" s="1788"/>
      <c r="N65" s="1788"/>
      <c r="O65" s="1788"/>
      <c r="P65" s="1788"/>
      <c r="Q65" s="1788"/>
      <c r="R65" s="1788"/>
      <c r="S65" s="1788"/>
      <c r="T65" s="1788"/>
      <c r="U65" s="1716"/>
    </row>
    <row r="66" spans="1:21" ht="23.25" customHeight="1">
      <c r="A66" s="1788"/>
      <c r="B66" s="1733"/>
      <c r="C66" s="1790"/>
      <c r="D66" s="1789" t="str">
        <f>O66&amp;"."</f>
        <v>7.</v>
      </c>
      <c r="E66" s="1819" t="str">
        <f>"Multiply the amount on line 6 by "&amp;TEXT(T66,"0%")&amp;" ("&amp;TEXT(T66,"0.00")&amp;"). Enter the result."</f>
        <v>Multiply the amount on line 6 by 5% (0.05). Enter the result.</v>
      </c>
      <c r="F66" s="1819"/>
      <c r="G66" s="1788"/>
      <c r="H66" s="1791"/>
      <c r="I66" s="1791"/>
      <c r="J66" s="1791"/>
      <c r="K66" s="1791"/>
      <c r="L66" s="1791"/>
      <c r="M66" s="1748"/>
      <c r="N66" s="1755"/>
      <c r="O66" s="1792" t="s">
        <v>173</v>
      </c>
      <c r="P66" s="2788">
        <f>IF(E58="X",0,N59*T66)</f>
        <v>0</v>
      </c>
      <c r="Q66" s="1793"/>
      <c r="R66" s="1793"/>
      <c r="S66" s="1793"/>
      <c r="T66" s="3988">
        <v>0.05</v>
      </c>
      <c r="U66" s="1716"/>
    </row>
    <row r="67" spans="1:21" ht="9" customHeight="1">
      <c r="A67" s="1788"/>
      <c r="B67" s="1794"/>
      <c r="C67" s="1794"/>
      <c r="D67" s="1795"/>
      <c r="E67" s="1796"/>
      <c r="F67" s="1796"/>
      <c r="G67" s="1797"/>
      <c r="H67" s="1797"/>
      <c r="I67" s="1797"/>
      <c r="J67" s="1798"/>
      <c r="K67" s="1797"/>
      <c r="L67" s="1797"/>
      <c r="M67" s="1797"/>
      <c r="N67" s="1797"/>
      <c r="O67" s="1788"/>
      <c r="P67" s="1788"/>
      <c r="Q67" s="1788"/>
      <c r="R67" s="1788"/>
      <c r="S67" s="1788"/>
      <c r="T67" s="1788"/>
      <c r="U67" s="1716"/>
    </row>
    <row r="68" spans="1:21" ht="9" customHeight="1">
      <c r="A68" s="1788"/>
      <c r="B68" s="1794"/>
      <c r="C68" s="1794"/>
      <c r="D68" s="1795"/>
      <c r="E68" s="1800"/>
      <c r="F68" s="1800"/>
      <c r="G68" s="1801"/>
      <c r="H68" s="1801"/>
      <c r="I68" s="1801"/>
      <c r="J68" s="1802"/>
      <c r="K68" s="1715"/>
      <c r="L68" s="1715"/>
      <c r="M68" s="1788"/>
      <c r="N68" s="1795"/>
      <c r="O68" s="1788"/>
      <c r="P68" s="1795"/>
      <c r="Q68" s="1795"/>
      <c r="R68" s="1795"/>
      <c r="S68" s="1795"/>
      <c r="T68" s="1795"/>
      <c r="U68" s="1716"/>
    </row>
    <row r="69" spans="1:21" ht="14.25" customHeight="1">
      <c r="A69" s="1715"/>
      <c r="B69" s="1715"/>
      <c r="C69" s="1715"/>
      <c r="D69" s="1789" t="str">
        <f>O77&amp;"."</f>
        <v>8.</v>
      </c>
      <c r="E69" s="1790" t="s">
        <v>1216</v>
      </c>
      <c r="F69" s="1790"/>
      <c r="G69" s="1715"/>
      <c r="H69" s="1715"/>
      <c r="I69" s="1715"/>
      <c r="J69" s="1765"/>
      <c r="K69" s="1715"/>
      <c r="L69" s="1715"/>
      <c r="M69" s="1715"/>
      <c r="N69" s="1715"/>
      <c r="O69" s="1715"/>
      <c r="P69" s="1715"/>
      <c r="Q69" s="1715"/>
      <c r="R69" s="1715"/>
      <c r="S69" s="1715"/>
      <c r="T69" s="1715"/>
      <c r="U69" s="1716"/>
    </row>
    <row r="70" spans="1:21" ht="9.75" customHeight="1" thickBot="1">
      <c r="A70" s="1741"/>
      <c r="B70" s="1741"/>
      <c r="C70" s="1741"/>
      <c r="D70" s="1805"/>
      <c r="E70" s="1813"/>
      <c r="F70" s="1813"/>
      <c r="G70" s="1809"/>
      <c r="H70" s="1741"/>
      <c r="I70" s="1741"/>
      <c r="J70" s="1776"/>
      <c r="K70" s="1741"/>
      <c r="L70" s="1741"/>
      <c r="M70" s="1741"/>
      <c r="N70" s="1741"/>
      <c r="O70" s="1741"/>
      <c r="P70" s="1741"/>
      <c r="Q70" s="1741"/>
      <c r="R70" s="1741"/>
      <c r="S70" s="1741"/>
      <c r="T70" s="1741"/>
      <c r="U70" s="1716"/>
    </row>
    <row r="71" spans="1:21" ht="17.25" customHeight="1" thickBot="1">
      <c r="A71" s="1741"/>
      <c r="B71" s="1741"/>
      <c r="C71" s="1741"/>
      <c r="D71" s="1805"/>
      <c r="E71" s="2789" t="str">
        <f>IF(P30&gt;P66,"","X")</f>
        <v>X</v>
      </c>
      <c r="F71" s="1814"/>
      <c r="G71" s="1815" t="s">
        <v>1217</v>
      </c>
      <c r="H71" s="1820" t="str">
        <f>IF(E71="X","    STOP","")</f>
        <v xml:space="preserve">    STOP</v>
      </c>
      <c r="I71" s="1820"/>
      <c r="J71" s="1776"/>
      <c r="K71" s="1741"/>
      <c r="L71" s="1741"/>
      <c r="M71" s="1741"/>
      <c r="N71" s="1741"/>
      <c r="O71" s="1741"/>
      <c r="P71" s="1741"/>
      <c r="Q71" s="1741"/>
      <c r="R71" s="1741"/>
      <c r="S71" s="1741"/>
      <c r="T71" s="1741"/>
      <c r="U71" s="1716"/>
    </row>
    <row r="72" spans="1:21" ht="12" customHeight="1">
      <c r="A72" s="1741"/>
      <c r="B72" s="1741"/>
      <c r="C72" s="1741"/>
      <c r="D72" s="1805"/>
      <c r="E72" s="1814"/>
      <c r="F72" s="1814"/>
      <c r="G72" s="1818" t="s">
        <v>2110</v>
      </c>
      <c r="H72" s="1741"/>
      <c r="I72" s="1741"/>
      <c r="J72" s="1776"/>
      <c r="K72" s="1741"/>
      <c r="L72" s="1741"/>
      <c r="M72" s="1741"/>
      <c r="N72" s="1741"/>
      <c r="O72" s="1741"/>
      <c r="P72" s="1741"/>
      <c r="Q72" s="1741"/>
      <c r="R72" s="1741"/>
      <c r="S72" s="1741"/>
      <c r="T72" s="1741"/>
      <c r="U72" s="1716"/>
    </row>
    <row r="73" spans="1:21" ht="12" customHeight="1">
      <c r="A73" s="1741"/>
      <c r="B73" s="1741"/>
      <c r="C73" s="1741"/>
      <c r="D73" s="1805"/>
      <c r="E73" s="1814"/>
      <c r="F73" s="1814"/>
      <c r="G73" s="1818" t="s">
        <v>2111</v>
      </c>
      <c r="H73" s="1741"/>
      <c r="I73" s="1741"/>
      <c r="J73" s="1776"/>
      <c r="K73" s="1741"/>
      <c r="L73" s="1741"/>
      <c r="M73" s="1741"/>
      <c r="N73" s="1741"/>
      <c r="O73" s="1741"/>
      <c r="P73" s="1741"/>
      <c r="Q73" s="1741"/>
      <c r="R73" s="1741"/>
      <c r="S73" s="1741"/>
      <c r="T73" s="1741"/>
      <c r="U73" s="1716"/>
    </row>
    <row r="74" spans="1:21" ht="12" customHeight="1">
      <c r="A74" s="1741"/>
      <c r="B74" s="1741"/>
      <c r="C74" s="1741"/>
      <c r="D74" s="1805"/>
      <c r="E74" s="1814"/>
      <c r="F74" s="1814"/>
      <c r="G74" s="1818" t="s">
        <v>2112</v>
      </c>
      <c r="H74" s="1741"/>
      <c r="I74" s="1741"/>
      <c r="J74" s="1776"/>
      <c r="K74" s="1741"/>
      <c r="L74" s="1741"/>
      <c r="M74" s="1741"/>
      <c r="N74" s="1741"/>
      <c r="O74" s="1741"/>
      <c r="P74" s="1741"/>
      <c r="Q74" s="1741"/>
      <c r="R74" s="1741"/>
      <c r="S74" s="1741"/>
      <c r="T74" s="1741"/>
      <c r="U74" s="1716"/>
    </row>
    <row r="75" spans="1:21" ht="12" customHeight="1">
      <c r="A75" s="1741"/>
      <c r="B75" s="1741"/>
      <c r="C75" s="1741"/>
      <c r="D75" s="1805"/>
      <c r="E75" s="1814"/>
      <c r="F75" s="1814"/>
      <c r="G75" s="1818" t="s">
        <v>2113</v>
      </c>
      <c r="H75" s="1741"/>
      <c r="I75" s="1741"/>
      <c r="J75" s="1776"/>
      <c r="K75" s="1741"/>
      <c r="L75" s="1741"/>
      <c r="M75" s="1741"/>
      <c r="N75" s="1741"/>
      <c r="O75" s="1741"/>
      <c r="P75" s="1741"/>
      <c r="Q75" s="1741"/>
      <c r="R75" s="1741"/>
      <c r="S75" s="1741"/>
      <c r="T75" s="1741"/>
      <c r="U75" s="1716"/>
    </row>
    <row r="76" spans="1:21" ht="12" customHeight="1">
      <c r="A76" s="1741"/>
      <c r="B76" s="1741"/>
      <c r="C76" s="1741"/>
      <c r="D76" s="1805"/>
      <c r="E76" s="1814"/>
      <c r="F76" s="1814"/>
      <c r="G76" s="1818" t="s">
        <v>1218</v>
      </c>
      <c r="H76" s="1741"/>
      <c r="I76" s="1741"/>
      <c r="J76" s="1776"/>
      <c r="K76" s="1741"/>
      <c r="L76" s="1741"/>
      <c r="M76" s="1741"/>
      <c r="N76" s="1741"/>
      <c r="O76" s="1741"/>
      <c r="P76" s="1741"/>
      <c r="Q76" s="1741"/>
      <c r="R76" s="1741"/>
      <c r="S76" s="1741"/>
      <c r="T76" s="1741"/>
      <c r="U76" s="1716"/>
    </row>
    <row r="77" spans="1:21" ht="17.25" customHeight="1" thickBot="1">
      <c r="A77" s="1741"/>
      <c r="B77" s="1741"/>
      <c r="C77" s="1741"/>
      <c r="D77" s="1805"/>
      <c r="E77" s="1808"/>
      <c r="F77" s="1808"/>
      <c r="G77" s="1821"/>
      <c r="H77" s="1741"/>
      <c r="I77" s="1741"/>
      <c r="J77" s="1776"/>
      <c r="K77" s="1741"/>
      <c r="L77" s="1741"/>
      <c r="M77" s="1741"/>
      <c r="N77" s="1741"/>
      <c r="O77" s="1792" t="s">
        <v>174</v>
      </c>
      <c r="P77" s="2787">
        <f>IF(E71="X",0,P30-P66)</f>
        <v>0</v>
      </c>
      <c r="Q77" s="1741"/>
      <c r="R77" s="1741"/>
      <c r="S77" s="1741"/>
      <c r="T77" s="1741"/>
      <c r="U77" s="1716"/>
    </row>
    <row r="78" spans="1:21" ht="18" customHeight="1" thickBot="1">
      <c r="A78" s="1741"/>
      <c r="B78" s="1741"/>
      <c r="C78" s="1741"/>
      <c r="D78" s="1805"/>
      <c r="E78" s="2789" t="str">
        <f>IF(P30&gt;P66,"X","")</f>
        <v/>
      </c>
      <c r="F78" s="1814"/>
      <c r="G78" s="1815" t="s">
        <v>668</v>
      </c>
      <c r="H78" s="1741" t="s">
        <v>1219</v>
      </c>
      <c r="I78" s="1741"/>
      <c r="J78" s="1776"/>
      <c r="K78" s="1741"/>
      <c r="L78" s="1741"/>
      <c r="M78" s="1741"/>
      <c r="N78" s="1741"/>
      <c r="O78" s="1741"/>
      <c r="P78" s="1741"/>
      <c r="Q78" s="1741"/>
      <c r="R78" s="1741"/>
      <c r="S78" s="1741"/>
      <c r="T78" s="1741"/>
      <c r="U78" s="1716"/>
    </row>
    <row r="79" spans="1:21" ht="12" customHeight="1">
      <c r="A79" s="1741"/>
      <c r="B79" s="1741"/>
      <c r="C79" s="1741"/>
      <c r="D79" s="1805"/>
      <c r="E79" s="1817"/>
      <c r="F79" s="1817"/>
      <c r="G79" s="1822" t="s">
        <v>1220</v>
      </c>
      <c r="H79" s="1741"/>
      <c r="I79" s="1741"/>
      <c r="J79" s="1776"/>
      <c r="K79" s="1741"/>
      <c r="L79" s="1741"/>
      <c r="M79" s="1741"/>
      <c r="N79" s="1741"/>
      <c r="O79" s="1741"/>
      <c r="P79" s="1741"/>
      <c r="Q79" s="1741"/>
      <c r="R79" s="1741"/>
      <c r="S79" s="1741"/>
      <c r="T79" s="1741"/>
      <c r="U79" s="1716"/>
    </row>
    <row r="80" spans="1:21" ht="15" customHeight="1">
      <c r="A80" s="1788"/>
      <c r="B80" s="1823"/>
      <c r="C80" s="1823"/>
      <c r="D80" s="1824"/>
      <c r="E80" s="1796"/>
      <c r="F80" s="1796"/>
      <c r="G80" s="1797"/>
      <c r="H80" s="1797"/>
      <c r="I80" s="1797"/>
      <c r="J80" s="1798"/>
      <c r="K80" s="1797"/>
      <c r="L80" s="1797"/>
      <c r="M80" s="1797"/>
      <c r="N80" s="1797"/>
      <c r="O80" s="1797"/>
      <c r="P80" s="1797"/>
      <c r="Q80" s="1788"/>
      <c r="R80" s="1788"/>
      <c r="S80" s="1788"/>
      <c r="T80" s="1788"/>
      <c r="U80" s="1716"/>
    </row>
    <row r="81" spans="1:23" ht="25.5" customHeight="1" thickBot="1">
      <c r="A81" s="1766"/>
      <c r="B81" s="1766"/>
      <c r="C81" s="1825" t="s">
        <v>1221</v>
      </c>
      <c r="D81" s="1768"/>
      <c r="E81" s="1766"/>
      <c r="F81" s="1766"/>
      <c r="G81" s="1766"/>
      <c r="H81" s="1766"/>
      <c r="I81" s="1766"/>
      <c r="J81" s="1826"/>
      <c r="K81" s="1766"/>
      <c r="L81" s="1766"/>
      <c r="M81" s="1766"/>
      <c r="N81" s="1766"/>
      <c r="O81" s="1827"/>
      <c r="P81" s="2785" t="str">
        <f>"Publication 972 ("&amp;TaxYear&amp;")"</f>
        <v>Publication 972 (2016)</v>
      </c>
      <c r="Q81" s="1766"/>
      <c r="R81" s="1766"/>
      <c r="S81" s="1766"/>
      <c r="T81" s="1766"/>
      <c r="U81" s="1716"/>
    </row>
    <row r="82" spans="1:23" ht="30.75" customHeight="1" thickBot="1">
      <c r="A82" s="1748"/>
      <c r="B82" s="1779" t="s">
        <v>1704</v>
      </c>
      <c r="C82" s="1780"/>
      <c r="D82" s="1781"/>
      <c r="E82" s="1782"/>
      <c r="F82" s="1782"/>
      <c r="G82" s="1782"/>
      <c r="H82" s="1782"/>
      <c r="I82" s="1782"/>
      <c r="J82" s="1783"/>
      <c r="K82" s="1782"/>
      <c r="L82" s="1782"/>
      <c r="M82" s="1782"/>
      <c r="N82" s="1828"/>
      <c r="O82" s="1782"/>
      <c r="P82" s="1829" t="s">
        <v>290</v>
      </c>
      <c r="Q82" s="1755"/>
      <c r="R82" s="1755"/>
      <c r="S82" s="1755"/>
      <c r="T82" s="1755"/>
      <c r="U82" s="1716"/>
    </row>
    <row r="83" spans="1:23" ht="9" customHeight="1" thickTop="1">
      <c r="A83" s="1788"/>
      <c r="B83" s="1794"/>
      <c r="C83" s="1794"/>
      <c r="D83" s="1795"/>
      <c r="E83" s="1800"/>
      <c r="F83" s="1800"/>
      <c r="G83" s="1801"/>
      <c r="H83" s="1801"/>
      <c r="I83" s="1801"/>
      <c r="J83" s="1802"/>
      <c r="K83" s="1715"/>
      <c r="L83" s="1715"/>
      <c r="M83" s="1788"/>
      <c r="N83" s="1795"/>
      <c r="O83" s="1788"/>
      <c r="P83" s="1795"/>
      <c r="Q83" s="1795"/>
      <c r="R83" s="1795"/>
      <c r="S83" s="1795"/>
      <c r="T83" s="1795"/>
      <c r="U83" s="1716"/>
    </row>
    <row r="84" spans="1:23" ht="21" customHeight="1">
      <c r="A84" s="1788"/>
      <c r="B84" s="4980" t="s">
        <v>177</v>
      </c>
      <c r="C84" s="4983"/>
      <c r="D84" s="1789" t="str">
        <f>O84&amp;"."</f>
        <v>9.</v>
      </c>
      <c r="E84" s="1830" t="s">
        <v>2114</v>
      </c>
      <c r="F84" s="1830"/>
      <c r="G84" s="1788"/>
      <c r="H84" s="1715"/>
      <c r="I84" s="1715"/>
      <c r="J84" s="1791"/>
      <c r="K84" s="1715"/>
      <c r="L84" s="1715"/>
      <c r="M84" s="1788"/>
      <c r="N84" s="1788"/>
      <c r="O84" s="1831">
        <v>9</v>
      </c>
      <c r="P84" s="2787" t="str">
        <f>IF(E71="X","",F1040_Line47)</f>
        <v/>
      </c>
      <c r="Q84" s="1793"/>
      <c r="R84" s="1793"/>
      <c r="S84" s="1793"/>
      <c r="T84" s="1793"/>
      <c r="U84" s="1716"/>
    </row>
    <row r="85" spans="1:23" ht="13.5" customHeight="1">
      <c r="A85" s="1788"/>
      <c r="B85" s="1794"/>
      <c r="C85" s="1794"/>
      <c r="D85" s="1789"/>
      <c r="E85" s="1830" t="s">
        <v>2115</v>
      </c>
      <c r="F85" s="1830"/>
      <c r="G85" s="1788"/>
      <c r="H85" s="1715"/>
      <c r="I85" s="1715"/>
      <c r="J85" s="1791"/>
      <c r="K85" s="1715"/>
      <c r="L85" s="1715"/>
      <c r="M85" s="1788"/>
      <c r="N85" s="1788"/>
      <c r="O85" s="1832"/>
      <c r="P85" s="1833"/>
      <c r="Q85" s="1793"/>
      <c r="R85" s="1793"/>
      <c r="S85" s="1793"/>
      <c r="T85" s="1793"/>
      <c r="U85" s="1716"/>
    </row>
    <row r="86" spans="1:23" ht="4.5" customHeight="1">
      <c r="A86" s="1788"/>
      <c r="B86" s="1794"/>
      <c r="C86" s="1794"/>
      <c r="D86" s="1795"/>
      <c r="E86" s="1796"/>
      <c r="F86" s="1796"/>
      <c r="G86" s="1797"/>
      <c r="H86" s="1797"/>
      <c r="I86" s="1797"/>
      <c r="J86" s="1798"/>
      <c r="K86" s="1797"/>
      <c r="L86" s="1797"/>
      <c r="M86" s="1797"/>
      <c r="N86" s="1797"/>
      <c r="O86" s="1788"/>
      <c r="P86" s="1788"/>
      <c r="Q86" s="1788"/>
      <c r="R86" s="1788"/>
      <c r="S86" s="1788"/>
      <c r="T86" s="1788"/>
      <c r="U86" s="1716"/>
    </row>
    <row r="87" spans="1:23" ht="24" customHeight="1">
      <c r="A87" s="1788"/>
      <c r="B87" s="1733"/>
      <c r="C87" s="1790"/>
      <c r="D87" s="1789" t="str">
        <f>M98&amp;"."</f>
        <v>10.</v>
      </c>
      <c r="E87" s="1790" t="s">
        <v>1222</v>
      </c>
      <c r="F87" s="1790"/>
      <c r="G87" s="1788"/>
      <c r="H87" s="1715"/>
      <c r="I87" s="1715"/>
      <c r="J87" s="1791"/>
      <c r="K87" s="1788"/>
      <c r="L87" s="1788"/>
      <c r="M87" s="1788"/>
      <c r="N87" s="1795"/>
      <c r="O87" s="1788"/>
      <c r="P87" s="1795"/>
      <c r="Q87" s="1793"/>
      <c r="R87" s="1793"/>
      <c r="S87" s="1793"/>
      <c r="T87" s="1793"/>
      <c r="U87" s="1716"/>
    </row>
    <row r="88" spans="1:23" ht="14.25" customHeight="1">
      <c r="A88" s="1788"/>
      <c r="B88" s="1733"/>
      <c r="C88" s="1790"/>
      <c r="D88" s="1789"/>
      <c r="E88" s="1794" t="s">
        <v>1266</v>
      </c>
      <c r="F88" s="1794"/>
      <c r="G88" s="1788"/>
      <c r="H88" s="1834" t="s">
        <v>1267</v>
      </c>
      <c r="I88" s="1795"/>
      <c r="J88" s="1807" t="s">
        <v>1223</v>
      </c>
      <c r="K88" s="1788"/>
      <c r="L88" s="1788"/>
      <c r="M88" s="1788"/>
      <c r="N88" s="1795"/>
      <c r="O88" s="1788"/>
      <c r="P88" s="1795"/>
      <c r="Q88" s="1793"/>
      <c r="R88" s="1793"/>
      <c r="S88" s="1793"/>
      <c r="T88" s="1793"/>
      <c r="U88" s="1716"/>
    </row>
    <row r="89" spans="1:23" ht="12.75" customHeight="1">
      <c r="A89" s="1788"/>
      <c r="B89" s="1733"/>
      <c r="C89" s="1790"/>
      <c r="D89" s="1803"/>
      <c r="E89" s="1790" t="s">
        <v>1225</v>
      </c>
      <c r="F89" s="1790"/>
      <c r="G89" s="1788"/>
      <c r="H89" s="1840" t="s">
        <v>1226</v>
      </c>
      <c r="I89" s="1715"/>
      <c r="J89" s="1790" t="s">
        <v>1230</v>
      </c>
      <c r="K89" s="1788"/>
      <c r="L89" s="1788"/>
      <c r="M89" s="1788"/>
      <c r="N89" s="2791">
        <f>Foreign_Tax_Credit</f>
        <v>0</v>
      </c>
      <c r="O89" s="1788"/>
      <c r="P89" s="1795"/>
      <c r="Q89" s="1793"/>
      <c r="R89" s="1793"/>
      <c r="S89" s="1793"/>
      <c r="T89" s="1793"/>
      <c r="U89" s="1716"/>
    </row>
    <row r="90" spans="1:23" ht="12.75" customHeight="1">
      <c r="A90" s="1788"/>
      <c r="B90" s="1733"/>
      <c r="C90" s="1790"/>
      <c r="D90" s="1803"/>
      <c r="E90" s="1790" t="s">
        <v>1228</v>
      </c>
      <c r="F90" s="1790"/>
      <c r="G90" s="1788"/>
      <c r="H90" s="1835" t="s">
        <v>1229</v>
      </c>
      <c r="I90" s="1715"/>
      <c r="J90" s="1790" t="s">
        <v>1224</v>
      </c>
      <c r="K90" s="1788"/>
      <c r="L90" s="1788"/>
      <c r="M90" s="1838" t="s">
        <v>1227</v>
      </c>
      <c r="N90" s="2792" t="str">
        <f>Care_Expenses</f>
        <v/>
      </c>
      <c r="O90" s="1788"/>
      <c r="P90" s="1795"/>
      <c r="Q90" s="1793"/>
      <c r="R90" s="1793"/>
      <c r="S90" s="1793"/>
      <c r="T90" s="1793"/>
      <c r="U90" s="1716"/>
    </row>
    <row r="91" spans="1:23" ht="12.75" customHeight="1">
      <c r="A91" s="1788"/>
      <c r="B91" s="1733"/>
      <c r="C91" s="1790"/>
      <c r="D91" s="1803"/>
      <c r="E91" s="1790" t="s">
        <v>1264</v>
      </c>
      <c r="F91" s="1790"/>
      <c r="G91" s="1788"/>
      <c r="H91" s="1835" t="s">
        <v>2117</v>
      </c>
      <c r="I91" s="1715"/>
      <c r="J91" s="1837" t="s">
        <v>1226</v>
      </c>
      <c r="K91" s="1788"/>
      <c r="L91" s="1788"/>
      <c r="M91" s="1838" t="s">
        <v>1227</v>
      </c>
      <c r="N91" s="2792">
        <f>Education</f>
        <v>0</v>
      </c>
      <c r="O91" s="1788"/>
      <c r="P91" s="1795"/>
      <c r="Q91" s="1793"/>
      <c r="R91" s="1793"/>
      <c r="S91" s="1793"/>
      <c r="T91" s="1793"/>
      <c r="U91" s="1716"/>
    </row>
    <row r="92" spans="1:23" ht="12.75" customHeight="1">
      <c r="A92" s="1788"/>
      <c r="B92" s="1733"/>
      <c r="C92" s="1790"/>
      <c r="D92" s="1803"/>
      <c r="E92" s="1819" t="s">
        <v>2116</v>
      </c>
      <c r="F92" s="1790"/>
      <c r="G92" s="1839">
        <f>ResEnergyCredits</f>
        <v>0</v>
      </c>
      <c r="H92" s="1835" t="s">
        <v>2118</v>
      </c>
      <c r="I92" s="1715"/>
      <c r="J92" s="1790" t="s">
        <v>1225</v>
      </c>
      <c r="K92" s="1788"/>
      <c r="L92" s="1788"/>
      <c r="M92" s="1838" t="s">
        <v>1227</v>
      </c>
      <c r="N92" s="2791">
        <f>Retirement_Savings</f>
        <v>0</v>
      </c>
      <c r="O92" s="1788"/>
      <c r="P92" s="1795"/>
      <c r="Q92" s="1793"/>
      <c r="R92" s="1793"/>
      <c r="S92" s="1793"/>
      <c r="T92" s="1793"/>
      <c r="U92" s="1716"/>
      <c r="W92" s="1930"/>
    </row>
    <row r="93" spans="1:23" ht="12.75" customHeight="1">
      <c r="A93" s="1788"/>
      <c r="B93" s="1733"/>
      <c r="C93" s="1790"/>
      <c r="D93" s="1925" t="str">
        <f>IF(R11&lt;&gt;"","®","")</f>
        <v/>
      </c>
      <c r="E93" s="1819" t="s">
        <v>1705</v>
      </c>
      <c r="F93" s="1790"/>
      <c r="G93" s="1788"/>
      <c r="H93" s="1840"/>
      <c r="I93" s="1715"/>
      <c r="J93" s="1927"/>
      <c r="K93" s="1788"/>
      <c r="L93" s="1928"/>
      <c r="M93" s="1838" t="s">
        <v>1227</v>
      </c>
      <c r="N93" s="2793"/>
      <c r="O93" s="1788"/>
      <c r="P93" s="1795"/>
      <c r="Q93" s="1793"/>
      <c r="R93" s="1793"/>
      <c r="S93" s="1793"/>
      <c r="T93" s="1793"/>
      <c r="U93" s="1716"/>
      <c r="W93" s="1930"/>
    </row>
    <row r="94" spans="1:23" ht="12.75" customHeight="1">
      <c r="A94" s="1788"/>
      <c r="B94" s="1733"/>
      <c r="C94" s="1790"/>
      <c r="D94" s="1803"/>
      <c r="E94" s="1790" t="s">
        <v>1706</v>
      </c>
      <c r="F94" s="1790"/>
      <c r="G94" s="1788"/>
      <c r="H94" s="1835"/>
      <c r="I94" s="1715"/>
      <c r="J94" s="1790"/>
      <c r="K94" s="1788"/>
      <c r="L94" s="1788"/>
      <c r="M94" s="1838" t="s">
        <v>1227</v>
      </c>
      <c r="N94" s="2793"/>
      <c r="O94" s="1788"/>
      <c r="P94" s="1795"/>
      <c r="Q94" s="1793"/>
      <c r="R94" s="1793"/>
      <c r="S94" s="1793"/>
      <c r="T94" s="1793"/>
      <c r="U94" s="1716"/>
    </row>
    <row r="95" spans="1:23" ht="12.75" customHeight="1">
      <c r="A95" s="1788"/>
      <c r="B95" s="1733"/>
      <c r="C95" s="1790"/>
      <c r="D95" s="1803"/>
      <c r="E95" s="1923" t="s">
        <v>1537</v>
      </c>
      <c r="F95" s="1790"/>
      <c r="G95" s="1788"/>
      <c r="H95" s="1715"/>
      <c r="I95" s="1715"/>
      <c r="J95" s="1790"/>
      <c r="K95" s="1788"/>
      <c r="L95" s="1925"/>
      <c r="M95" s="1838" t="s">
        <v>1227</v>
      </c>
      <c r="N95" s="2793"/>
      <c r="O95" s="1788"/>
      <c r="P95" s="1795"/>
      <c r="Q95" s="1793"/>
      <c r="R95" s="1793"/>
      <c r="S95" s="1793"/>
      <c r="T95" s="1793"/>
      <c r="U95" s="1716"/>
      <c r="W95" s="1930" t="s">
        <v>149</v>
      </c>
    </row>
    <row r="96" spans="1:23" ht="12.75" customHeight="1">
      <c r="A96" s="1788"/>
      <c r="B96" s="1733"/>
      <c r="C96" s="1790"/>
      <c r="D96" s="1803"/>
      <c r="E96" s="1790" t="s">
        <v>1265</v>
      </c>
      <c r="F96" s="1790"/>
      <c r="G96" s="1788"/>
      <c r="H96" s="1715"/>
      <c r="I96" s="1715"/>
      <c r="J96" s="1790"/>
      <c r="K96" s="1788"/>
      <c r="L96" s="1788"/>
      <c r="M96" s="1838" t="s">
        <v>1227</v>
      </c>
      <c r="N96" s="2793"/>
      <c r="O96" s="1788"/>
      <c r="P96" s="1795"/>
      <c r="Q96" s="1793"/>
      <c r="R96" s="1793"/>
      <c r="S96" s="1793"/>
      <c r="T96" s="1793"/>
      <c r="U96" s="1716"/>
      <c r="W96" s="1930" t="s">
        <v>661</v>
      </c>
    </row>
    <row r="97" spans="1:23" ht="5.25" customHeight="1" thickBot="1">
      <c r="A97" s="1788"/>
      <c r="B97" s="1733"/>
      <c r="C97" s="1790"/>
      <c r="D97" s="1803"/>
      <c r="E97" s="1790"/>
      <c r="F97" s="1790"/>
      <c r="G97" s="1788"/>
      <c r="H97" s="1715"/>
      <c r="I97" s="1715"/>
      <c r="J97" s="1790"/>
      <c r="K97" s="1788"/>
      <c r="L97" s="1788"/>
      <c r="M97" s="1838"/>
      <c r="N97" s="1836"/>
      <c r="O97" s="1788"/>
      <c r="P97" s="1795"/>
      <c r="Q97" s="1793"/>
      <c r="R97" s="1793"/>
      <c r="S97" s="1793"/>
      <c r="T97" s="1793"/>
      <c r="U97" s="1716"/>
    </row>
    <row r="98" spans="1:23" ht="21" customHeight="1" thickBot="1">
      <c r="A98" s="1788"/>
      <c r="B98" s="1733"/>
      <c r="C98" s="1790"/>
      <c r="D98" s="1803"/>
      <c r="E98" s="1788"/>
      <c r="F98" s="1788"/>
      <c r="G98" s="1788"/>
      <c r="H98" s="1788"/>
      <c r="I98" s="1788"/>
      <c r="J98" s="1841" t="s">
        <v>1231</v>
      </c>
      <c r="K98" s="1788"/>
      <c r="L98" s="1788"/>
      <c r="M98" s="1792" t="s">
        <v>176</v>
      </c>
      <c r="N98" s="2794" t="str">
        <f>IF(W98&lt;&gt;"",W98,IF(E71="X","",SUM(N89:N96)))</f>
        <v/>
      </c>
      <c r="O98" s="1788"/>
      <c r="P98" s="1795"/>
      <c r="Q98" s="1793"/>
      <c r="R98" s="1793"/>
      <c r="S98" s="1793"/>
      <c r="T98" s="1793"/>
      <c r="U98" s="1716"/>
      <c r="W98" s="1931"/>
    </row>
    <row r="99" spans="1:23" ht="8.25" customHeight="1">
      <c r="A99" s="1788"/>
      <c r="B99" s="1794"/>
      <c r="C99" s="1794"/>
      <c r="D99" s="1795"/>
      <c r="E99" s="1842"/>
      <c r="F99" s="1842"/>
      <c r="G99" s="1797"/>
      <c r="H99" s="1797"/>
      <c r="I99" s="1797"/>
      <c r="J99" s="1798"/>
      <c r="K99" s="1788"/>
      <c r="L99" s="1788"/>
      <c r="M99" s="1788"/>
      <c r="N99" s="1795"/>
      <c r="O99" s="1788"/>
      <c r="P99" s="1795"/>
      <c r="Q99" s="1795"/>
      <c r="R99" s="1795"/>
      <c r="S99" s="1795"/>
      <c r="T99" s="1795"/>
      <c r="U99" s="1716"/>
    </row>
    <row r="100" spans="1:23" ht="11.25" customHeight="1">
      <c r="A100" s="1788"/>
      <c r="B100" s="1794"/>
      <c r="C100" s="1794"/>
      <c r="D100" s="1795"/>
      <c r="E100" s="1843"/>
      <c r="F100" s="1843"/>
      <c r="G100" s="1788"/>
      <c r="H100" s="1788"/>
      <c r="I100" s="1788"/>
      <c r="J100" s="1733"/>
      <c r="K100" s="1788"/>
      <c r="L100" s="1788"/>
      <c r="M100" s="1788"/>
      <c r="N100" s="1795"/>
      <c r="O100" s="1788"/>
      <c r="P100" s="1795"/>
      <c r="Q100" s="1795"/>
      <c r="R100" s="1795"/>
      <c r="S100" s="1795"/>
      <c r="T100" s="1795"/>
      <c r="U100" s="1716"/>
    </row>
    <row r="101" spans="1:23" ht="15.75" customHeight="1">
      <c r="A101" s="1788"/>
      <c r="B101" s="1794"/>
      <c r="C101" s="1794"/>
      <c r="D101" s="1789" t="str">
        <f>O108&amp;"."</f>
        <v>11.</v>
      </c>
      <c r="E101" s="1819" t="s">
        <v>763</v>
      </c>
      <c r="F101" s="1819"/>
      <c r="G101" s="1788"/>
      <c r="H101" s="1788"/>
      <c r="I101" s="1788"/>
      <c r="J101" s="1733"/>
      <c r="K101" s="1788"/>
      <c r="L101" s="1788"/>
      <c r="M101" s="1788"/>
      <c r="N101" s="1795"/>
      <c r="O101" s="1788"/>
      <c r="P101" s="1795"/>
      <c r="Q101" s="1795"/>
      <c r="R101" s="1795"/>
      <c r="S101" s="1795"/>
      <c r="T101" s="1795"/>
      <c r="U101" s="1716"/>
    </row>
    <row r="102" spans="1:23" ht="15" customHeight="1">
      <c r="A102" s="1715"/>
      <c r="B102" s="1715"/>
      <c r="C102" s="1715"/>
      <c r="D102" s="1925" t="str">
        <f>IF(R9&lt;&gt;"","®","")</f>
        <v/>
      </c>
      <c r="E102" s="1727" t="s">
        <v>549</v>
      </c>
      <c r="F102" s="1727"/>
      <c r="G102" s="1712" t="s">
        <v>1232</v>
      </c>
      <c r="H102" s="1715"/>
      <c r="I102" s="1715"/>
      <c r="J102" s="1765"/>
      <c r="K102" s="1715"/>
      <c r="L102" s="1715"/>
      <c r="M102" s="1715"/>
      <c r="N102" s="1715"/>
      <c r="O102" s="1715"/>
      <c r="P102" s="1715"/>
      <c r="Q102" s="1715"/>
      <c r="R102" s="1715"/>
      <c r="S102" s="1715"/>
      <c r="T102" s="1715"/>
      <c r="U102" s="1716"/>
    </row>
    <row r="103" spans="1:23" ht="15" customHeight="1">
      <c r="A103" s="1715"/>
      <c r="B103" s="1715"/>
      <c r="C103" s="1715"/>
      <c r="D103" s="1925" t="str">
        <f>IF(R10&lt;&gt;"","®","")</f>
        <v/>
      </c>
      <c r="E103" s="1727" t="s">
        <v>549</v>
      </c>
      <c r="F103" s="1727"/>
      <c r="G103" s="1712" t="s">
        <v>1538</v>
      </c>
      <c r="H103" s="1715"/>
      <c r="I103" s="1715"/>
      <c r="J103" s="1765"/>
      <c r="K103" s="1715"/>
      <c r="L103" s="1715"/>
      <c r="M103" s="1715"/>
      <c r="N103" s="1715"/>
      <c r="O103" s="1715"/>
      <c r="P103" s="1715"/>
      <c r="Q103" s="1715"/>
      <c r="R103" s="1715"/>
      <c r="S103" s="1715"/>
      <c r="T103" s="1715"/>
      <c r="U103" s="1716"/>
    </row>
    <row r="104" spans="1:23" ht="15" customHeight="1">
      <c r="A104" s="1715"/>
      <c r="B104" s="1715"/>
      <c r="C104" s="1715"/>
      <c r="D104" s="1925" t="str">
        <f>IF(R11&lt;&gt;"","®","")</f>
        <v/>
      </c>
      <c r="E104" s="1727" t="s">
        <v>549</v>
      </c>
      <c r="F104" s="1727"/>
      <c r="G104" s="1712" t="s">
        <v>1707</v>
      </c>
      <c r="H104" s="1715"/>
      <c r="I104" s="1715"/>
      <c r="J104" s="1765"/>
      <c r="K104" s="1715"/>
      <c r="L104" s="1715"/>
      <c r="M104" s="1715"/>
      <c r="N104" s="1715"/>
      <c r="O104" s="1715"/>
      <c r="P104" s="1715"/>
      <c r="Q104" s="1715"/>
      <c r="R104" s="1715"/>
      <c r="S104" s="1715"/>
      <c r="T104" s="1715"/>
      <c r="U104" s="1716"/>
    </row>
    <row r="105" spans="1:23" ht="15" customHeight="1">
      <c r="A105" s="1715"/>
      <c r="B105" s="1715"/>
      <c r="C105" s="1715"/>
      <c r="D105" s="1925" t="str">
        <f>IF(R12&lt;&gt;"","®","")</f>
        <v/>
      </c>
      <c r="E105" s="1727" t="s">
        <v>549</v>
      </c>
      <c r="F105" s="1727"/>
      <c r="G105" s="1712" t="s">
        <v>230</v>
      </c>
      <c r="H105" s="1715"/>
      <c r="I105" s="1715"/>
      <c r="J105" s="1765"/>
      <c r="K105" s="1715"/>
      <c r="L105" s="1715"/>
      <c r="M105" s="1715"/>
      <c r="N105" s="1715"/>
      <c r="O105" s="1715"/>
      <c r="P105" s="1715"/>
      <c r="Q105" s="1715"/>
      <c r="R105" s="1715"/>
      <c r="S105" s="1715"/>
      <c r="T105" s="1715"/>
      <c r="U105" s="1716"/>
    </row>
    <row r="106" spans="1:23" ht="15" customHeight="1" thickBot="1">
      <c r="A106" s="1715"/>
      <c r="B106" s="1715"/>
      <c r="C106" s="1715"/>
      <c r="D106" s="1764"/>
      <c r="E106" s="1715"/>
      <c r="F106" s="1715"/>
      <c r="G106" s="1715"/>
      <c r="H106" s="1715"/>
      <c r="I106" s="1715"/>
      <c r="J106" s="1765"/>
      <c r="K106" s="1715"/>
      <c r="L106" s="1715"/>
      <c r="M106" s="1715"/>
      <c r="N106" s="1715"/>
      <c r="O106" s="1715"/>
      <c r="P106" s="1715"/>
      <c r="Q106" s="1715"/>
      <c r="R106" s="1715"/>
      <c r="S106" s="1715"/>
      <c r="T106" s="1715"/>
      <c r="U106" s="1716"/>
      <c r="W106" s="1930" t="s">
        <v>149</v>
      </c>
    </row>
    <row r="107" spans="1:23" ht="15" customHeight="1" thickBot="1">
      <c r="A107" s="1715"/>
      <c r="B107" s="1715"/>
      <c r="C107" s="1715"/>
      <c r="D107" s="1764"/>
      <c r="E107" s="2789" t="str">
        <f>IF(OR(R9&lt;&gt;"",R10&lt;&gt;"",R11&lt;&gt;"",R12&lt;&gt;""),"","X")</f>
        <v>X</v>
      </c>
      <c r="F107" s="1814"/>
      <c r="G107" s="1834" t="s">
        <v>297</v>
      </c>
      <c r="H107" s="1715" t="str">
        <f>"Enter the amount from Line "&amp;M98&amp;"."</f>
        <v>Enter the amount from Line 10.</v>
      </c>
      <c r="I107" s="1715"/>
      <c r="J107" s="1765"/>
      <c r="K107" s="1715"/>
      <c r="L107" s="1715"/>
      <c r="M107" s="1715"/>
      <c r="N107" s="1715"/>
      <c r="O107" s="1715"/>
      <c r="P107" s="1715"/>
      <c r="Q107" s="1715"/>
      <c r="R107" s="1715"/>
      <c r="S107" s="1715"/>
      <c r="T107" s="1715"/>
      <c r="U107" s="1716"/>
      <c r="W107" s="1930" t="s">
        <v>661</v>
      </c>
    </row>
    <row r="108" spans="1:23" ht="18.75" customHeight="1" thickBot="1">
      <c r="A108" s="1715"/>
      <c r="B108" s="1715"/>
      <c r="C108" s="1715"/>
      <c r="D108" s="1844"/>
      <c r="E108" s="1715"/>
      <c r="F108" s="1715"/>
      <c r="G108" s="1715"/>
      <c r="H108" s="1715"/>
      <c r="I108" s="1715"/>
      <c r="J108" s="1765"/>
      <c r="K108" s="1715"/>
      <c r="L108" s="1715"/>
      <c r="M108" s="1715"/>
      <c r="N108" s="1715"/>
      <c r="O108" s="1792" t="s">
        <v>1233</v>
      </c>
      <c r="P108" s="2787" t="str">
        <f>IF(W108&lt;&gt;"",W108,IF(E71="X","",IF(E107="X",N98,IF(OR(Form2555_Used,AND(E109="X",E165="X",D166)),N98,P236))))</f>
        <v/>
      </c>
      <c r="Q108" s="1715"/>
      <c r="R108" s="1715"/>
      <c r="S108" s="1715"/>
      <c r="T108" s="1715"/>
      <c r="U108" s="1716"/>
      <c r="W108" s="1931"/>
    </row>
    <row r="109" spans="1:23" ht="15" customHeight="1" thickBot="1">
      <c r="A109" s="1715"/>
      <c r="B109" s="1715"/>
      <c r="C109" s="1715"/>
      <c r="D109" s="1764"/>
      <c r="E109" s="2789" t="str">
        <f>IF(OR(R9&lt;&gt;"",R10&lt;&gt;"",R11&lt;&gt;"",R12&lt;&gt;""),"X","")</f>
        <v/>
      </c>
      <c r="F109" s="1814"/>
      <c r="G109" s="1834" t="s">
        <v>265</v>
      </c>
      <c r="H109" s="1845" t="s">
        <v>3079</v>
      </c>
      <c r="I109" s="1845"/>
      <c r="J109" s="1846"/>
      <c r="K109" s="1821"/>
      <c r="L109" s="1715"/>
      <c r="M109" s="1715"/>
      <c r="N109" s="1715"/>
      <c r="O109" s="1715"/>
      <c r="P109" s="1715"/>
      <c r="Q109" s="1715"/>
      <c r="R109" s="1715"/>
      <c r="S109" s="1715"/>
      <c r="T109" s="1715"/>
      <c r="U109" s="1716"/>
    </row>
    <row r="110" spans="1:23" ht="15" customHeight="1">
      <c r="A110" s="1715"/>
      <c r="B110" s="1715"/>
      <c r="C110" s="1715"/>
      <c r="D110" s="1715"/>
      <c r="E110" s="1715"/>
      <c r="F110" s="1715"/>
      <c r="G110" s="1834"/>
      <c r="H110" s="1845" t="s">
        <v>3080</v>
      </c>
      <c r="I110" s="1845"/>
      <c r="J110" s="1846"/>
      <c r="K110" s="1821"/>
      <c r="L110" s="1715"/>
      <c r="M110" s="1715"/>
      <c r="N110" s="1715"/>
      <c r="O110" s="1715"/>
      <c r="P110" s="1715"/>
      <c r="Q110" s="1715"/>
      <c r="R110" s="1715"/>
      <c r="S110" s="1715"/>
      <c r="T110" s="1715"/>
      <c r="U110" s="1716"/>
    </row>
    <row r="111" spans="1:23" ht="15" customHeight="1">
      <c r="A111" s="1715"/>
      <c r="B111" s="1715"/>
      <c r="C111" s="1715"/>
      <c r="D111" s="1764"/>
      <c r="E111" s="1847"/>
      <c r="F111" s="1847"/>
      <c r="G111" s="1848"/>
      <c r="H111" s="1848" t="s">
        <v>1234</v>
      </c>
      <c r="I111" s="1848"/>
      <c r="J111" s="1733"/>
      <c r="K111" s="1788"/>
      <c r="L111" s="1788"/>
      <c r="M111" s="1788"/>
      <c r="N111" s="1788"/>
      <c r="O111" s="1715"/>
      <c r="P111" s="1715"/>
      <c r="Q111" s="1715"/>
      <c r="R111" s="1715"/>
      <c r="S111" s="1715"/>
      <c r="T111" s="1715"/>
      <c r="U111" s="1716"/>
    </row>
    <row r="112" spans="1:23" ht="7.5" customHeight="1">
      <c r="A112" s="1715"/>
      <c r="B112" s="1715"/>
      <c r="C112" s="1715"/>
      <c r="D112" s="1764"/>
      <c r="E112" s="1796"/>
      <c r="F112" s="1796"/>
      <c r="G112" s="1797"/>
      <c r="H112" s="1797"/>
      <c r="I112" s="1797"/>
      <c r="J112" s="1798"/>
      <c r="K112" s="1797"/>
      <c r="L112" s="1797"/>
      <c r="M112" s="1797"/>
      <c r="N112" s="1797"/>
      <c r="O112" s="1715"/>
      <c r="P112" s="1715"/>
      <c r="Q112" s="1715"/>
      <c r="R112" s="1715"/>
      <c r="S112" s="1715"/>
      <c r="T112" s="1715"/>
      <c r="U112" s="1716"/>
    </row>
    <row r="113" spans="1:21" ht="6" customHeight="1">
      <c r="A113" s="1715"/>
      <c r="B113" s="1715"/>
      <c r="C113" s="1715"/>
      <c r="D113" s="1764"/>
      <c r="E113" s="1847"/>
      <c r="F113" s="1847"/>
      <c r="G113" s="1788"/>
      <c r="H113" s="1788"/>
      <c r="I113" s="1788"/>
      <c r="J113" s="1733"/>
      <c r="K113" s="1788"/>
      <c r="L113" s="1788"/>
      <c r="M113" s="1788"/>
      <c r="N113" s="1788"/>
      <c r="O113" s="1715"/>
      <c r="P113" s="1715"/>
      <c r="Q113" s="1715"/>
      <c r="R113" s="1715"/>
      <c r="S113" s="1715"/>
      <c r="T113" s="1715"/>
      <c r="U113" s="1716"/>
    </row>
    <row r="114" spans="1:21" ht="23.25" customHeight="1">
      <c r="A114" s="1788"/>
      <c r="B114" s="1733"/>
      <c r="C114" s="1790"/>
      <c r="D114" s="1789" t="str">
        <f>O114&amp;"."</f>
        <v>12.</v>
      </c>
      <c r="E114" s="1819" t="s">
        <v>1235</v>
      </c>
      <c r="F114" s="1819"/>
      <c r="G114" s="1788"/>
      <c r="H114" s="1791"/>
      <c r="I114" s="1791"/>
      <c r="J114" s="1791"/>
      <c r="K114" s="1791"/>
      <c r="L114" s="1791"/>
      <c r="M114" s="1748"/>
      <c r="N114" s="1755"/>
      <c r="O114" s="1792" t="s">
        <v>355</v>
      </c>
      <c r="P114" s="2787" t="str">
        <f>IF(E71="X","",IF(SUM(P84,-P108)&lt;0,0,SUM(P84,-P108)))</f>
        <v/>
      </c>
      <c r="Q114" s="1793"/>
      <c r="R114" s="1793"/>
      <c r="S114" s="1793"/>
      <c r="T114" s="1793"/>
      <c r="U114" s="1716"/>
    </row>
    <row r="115" spans="1:21" ht="9" customHeight="1">
      <c r="A115" s="1788"/>
      <c r="B115" s="1794"/>
      <c r="C115" s="1794"/>
      <c r="D115" s="1795"/>
      <c r="E115" s="1796"/>
      <c r="F115" s="1796"/>
      <c r="G115" s="1797"/>
      <c r="H115" s="1797"/>
      <c r="I115" s="1797"/>
      <c r="J115" s="1798"/>
      <c r="K115" s="1797"/>
      <c r="L115" s="1797"/>
      <c r="M115" s="1797"/>
      <c r="N115" s="1797"/>
      <c r="O115" s="1788"/>
      <c r="P115" s="1788"/>
      <c r="Q115" s="1788"/>
      <c r="R115" s="1788"/>
      <c r="S115" s="1788"/>
      <c r="T115" s="1788"/>
      <c r="U115" s="1716"/>
    </row>
    <row r="116" spans="1:21" ht="21" customHeight="1">
      <c r="A116" s="1788"/>
      <c r="B116" s="1794"/>
      <c r="C116" s="1794"/>
      <c r="D116" s="1789" t="str">
        <f>O119&amp;"."</f>
        <v>13.</v>
      </c>
      <c r="E116" s="1819" t="s">
        <v>1236</v>
      </c>
      <c r="F116" s="1819"/>
      <c r="G116" s="1788"/>
      <c r="H116" s="1788"/>
      <c r="I116" s="1788"/>
      <c r="J116" s="1733"/>
      <c r="K116" s="1788"/>
      <c r="L116" s="1788"/>
      <c r="M116" s="1788"/>
      <c r="N116" s="1795"/>
      <c r="O116" s="1788"/>
      <c r="P116" s="1795"/>
      <c r="Q116" s="1795"/>
      <c r="R116" s="1795"/>
      <c r="S116" s="1795"/>
      <c r="T116" s="1795"/>
      <c r="U116" s="1716"/>
    </row>
    <row r="117" spans="1:21" ht="15" customHeight="1" thickBot="1">
      <c r="A117" s="1715"/>
      <c r="B117" s="1715"/>
      <c r="C117" s="1715"/>
      <c r="D117" s="1764"/>
      <c r="E117" s="1715"/>
      <c r="F117" s="1715"/>
      <c r="G117" s="1715"/>
      <c r="H117" s="1715"/>
      <c r="I117" s="1715"/>
      <c r="J117" s="1765"/>
      <c r="K117" s="1715"/>
      <c r="L117" s="1715"/>
      <c r="M117" s="1715"/>
      <c r="N117" s="1715"/>
      <c r="O117" s="1715"/>
      <c r="P117" s="1715"/>
      <c r="Q117" s="1715"/>
      <c r="R117" s="1715"/>
      <c r="S117" s="1715"/>
      <c r="T117" s="1715"/>
      <c r="U117" s="1716"/>
    </row>
    <row r="118" spans="1:21" ht="21" customHeight="1" thickBot="1">
      <c r="A118" s="1715"/>
      <c r="B118" s="1715"/>
      <c r="C118" s="1715"/>
      <c r="D118" s="1764"/>
      <c r="E118" s="2789" t="str">
        <f>IF(P77&gt;P114,"","X")</f>
        <v>X</v>
      </c>
      <c r="F118" s="1814"/>
      <c r="G118" s="1759" t="s">
        <v>444</v>
      </c>
      <c r="H118" s="1741" t="str">
        <f>"Enter the amount from line "&amp;O77&amp;"."</f>
        <v>Enter the amount from line 8.</v>
      </c>
      <c r="I118" s="1741"/>
      <c r="J118" s="1765"/>
      <c r="K118" s="1715"/>
      <c r="L118" s="1715"/>
      <c r="M118" s="1834" t="s">
        <v>574</v>
      </c>
      <c r="N118" s="1715"/>
      <c r="O118" s="1715"/>
      <c r="P118" s="1715"/>
      <c r="Q118" s="1715"/>
      <c r="R118" s="1715"/>
      <c r="S118" s="1715"/>
      <c r="T118" s="1715"/>
      <c r="U118" s="1716"/>
    </row>
    <row r="119" spans="1:21" ht="22.5" customHeight="1" thickTop="1" thickBot="1">
      <c r="A119" s="1715"/>
      <c r="B119" s="1715"/>
      <c r="C119" s="1715"/>
      <c r="D119" s="1764"/>
      <c r="E119" s="1715"/>
      <c r="F119" s="1715"/>
      <c r="G119" s="1715"/>
      <c r="H119" s="1715"/>
      <c r="I119" s="1715"/>
      <c r="J119" s="1765"/>
      <c r="K119" s="1849"/>
      <c r="L119" s="1850"/>
      <c r="M119" s="1850" t="s">
        <v>573</v>
      </c>
      <c r="N119" s="1851"/>
      <c r="O119" s="1852" t="s">
        <v>1237</v>
      </c>
      <c r="P119" s="2787">
        <f>IF(E118&lt;&gt;"",P77,P114)</f>
        <v>0</v>
      </c>
      <c r="Q119" s="1715"/>
      <c r="R119" s="1715"/>
      <c r="S119" s="1715"/>
      <c r="T119" s="1715"/>
      <c r="U119" s="1716"/>
    </row>
    <row r="120" spans="1:21" ht="21" customHeight="1" thickTop="1" thickBot="1">
      <c r="A120" s="1715"/>
      <c r="B120" s="1715"/>
      <c r="C120" s="1715"/>
      <c r="D120" s="1764"/>
      <c r="E120" s="2789" t="str">
        <f>IF(P77&gt;P114,"X","")</f>
        <v/>
      </c>
      <c r="F120" s="1814"/>
      <c r="G120" s="1759" t="s">
        <v>283</v>
      </c>
      <c r="H120" s="1732" t="str">
        <f>"Enter the amount from line "&amp;O114&amp;"."</f>
        <v>Enter the amount from line 12.</v>
      </c>
      <c r="I120" s="1732"/>
      <c r="J120" s="1765"/>
      <c r="K120" s="1715"/>
      <c r="L120" s="1715"/>
      <c r="M120" s="1715"/>
      <c r="N120" s="1715"/>
      <c r="O120" s="1853" t="s">
        <v>747</v>
      </c>
      <c r="P120" s="1854"/>
      <c r="Q120" s="1715"/>
      <c r="R120" s="1715"/>
      <c r="S120" s="1715"/>
      <c r="T120" s="1715"/>
      <c r="U120" s="1716"/>
    </row>
    <row r="121" spans="1:21" ht="12.75" customHeight="1">
      <c r="A121" s="1715"/>
      <c r="B121" s="1715"/>
      <c r="C121" s="1715"/>
      <c r="D121" s="1764"/>
      <c r="E121" s="1715"/>
      <c r="F121" s="1715"/>
      <c r="G121" s="1715"/>
      <c r="H121" s="1715" t="s">
        <v>1238</v>
      </c>
      <c r="I121" s="1715"/>
      <c r="J121" s="1765"/>
      <c r="K121" s="1715"/>
      <c r="L121" s="1715"/>
      <c r="M121" s="1715"/>
      <c r="N121" s="1715"/>
      <c r="O121" s="3104" t="s">
        <v>2205</v>
      </c>
      <c r="P121" s="1715"/>
      <c r="Q121" s="1715"/>
      <c r="R121" s="1715"/>
      <c r="S121" s="1715"/>
      <c r="T121" s="1715"/>
      <c r="U121" s="1716"/>
    </row>
    <row r="122" spans="1:21" ht="12.75" customHeight="1">
      <c r="A122" s="1715"/>
      <c r="B122" s="1715"/>
      <c r="C122" s="1715"/>
      <c r="D122" s="1764"/>
      <c r="E122" s="1715"/>
      <c r="F122" s="1715"/>
      <c r="G122" s="1715"/>
      <c r="H122" s="1715"/>
      <c r="I122" s="1715"/>
      <c r="J122" s="1765"/>
      <c r="K122" s="1715"/>
      <c r="L122" s="1715"/>
      <c r="M122" s="1715"/>
      <c r="N122" s="1715"/>
      <c r="O122" s="3104" t="s">
        <v>3349</v>
      </c>
      <c r="P122" s="1715"/>
      <c r="Q122" s="1856"/>
      <c r="R122" s="1715"/>
      <c r="S122" s="1715"/>
      <c r="T122" s="1715"/>
      <c r="U122" s="1716"/>
    </row>
    <row r="123" spans="1:21" ht="12.75" customHeight="1">
      <c r="A123" s="1715"/>
      <c r="B123" s="1715"/>
      <c r="C123" s="1715"/>
      <c r="D123" s="1764"/>
      <c r="E123" s="1715"/>
      <c r="F123" s="1715"/>
      <c r="G123" s="1715"/>
      <c r="H123" s="1715"/>
      <c r="I123" s="1715"/>
      <c r="J123" s="1765"/>
      <c r="K123" s="1715"/>
      <c r="L123" s="1715"/>
      <c r="M123" s="1715"/>
      <c r="N123" s="1715"/>
      <c r="O123" s="1855" t="s">
        <v>1268</v>
      </c>
      <c r="P123" s="1715"/>
      <c r="Q123" s="1857"/>
      <c r="R123" s="1715"/>
      <c r="S123" s="1715"/>
      <c r="T123" s="1715"/>
      <c r="U123" s="1716"/>
    </row>
    <row r="124" spans="1:21" ht="15" customHeight="1">
      <c r="A124" s="1715"/>
      <c r="B124" s="1715"/>
      <c r="C124" s="1715"/>
      <c r="D124" s="1764"/>
      <c r="E124" s="1715"/>
      <c r="F124" s="1715"/>
      <c r="G124" s="1715"/>
      <c r="H124" s="1715"/>
      <c r="I124" s="1715"/>
      <c r="J124" s="1765"/>
      <c r="K124" s="1715"/>
      <c r="L124" s="1715"/>
      <c r="M124" s="1715"/>
      <c r="N124" s="1715"/>
      <c r="O124" s="4133" t="s">
        <v>3348</v>
      </c>
      <c r="P124" s="1715"/>
      <c r="Q124" s="1715"/>
      <c r="R124" s="1715"/>
      <c r="S124" s="1715"/>
      <c r="T124" s="1715"/>
      <c r="U124" s="1716"/>
    </row>
    <row r="125" spans="1:21" ht="15" customHeight="1">
      <c r="A125" s="1715"/>
      <c r="B125" s="1715"/>
      <c r="C125" s="1715"/>
      <c r="D125" s="1764"/>
      <c r="E125" s="1715"/>
      <c r="F125" s="1715"/>
      <c r="G125" s="1715"/>
      <c r="H125" s="1715"/>
      <c r="I125" s="1715"/>
      <c r="J125" s="1765"/>
      <c r="K125" s="1715"/>
      <c r="L125" s="1715"/>
      <c r="M125" s="1715"/>
      <c r="N125" s="1715"/>
      <c r="O125" s="1715"/>
      <c r="P125" s="1715"/>
      <c r="Q125" s="1715"/>
      <c r="R125" s="1715"/>
      <c r="S125" s="1715"/>
      <c r="T125" s="1715"/>
      <c r="U125" s="1716"/>
    </row>
    <row r="126" spans="1:21" ht="15" customHeight="1">
      <c r="A126" s="1715"/>
      <c r="B126" s="1858"/>
      <c r="C126" s="1715"/>
      <c r="D126" s="1764"/>
      <c r="E126" s="1715"/>
      <c r="F126" s="1715"/>
      <c r="G126" s="1715"/>
      <c r="H126" s="1715"/>
      <c r="I126" s="1715"/>
      <c r="J126" s="1765"/>
      <c r="K126" s="1715"/>
      <c r="L126" s="1715"/>
      <c r="M126" s="1715"/>
      <c r="N126" s="1715"/>
      <c r="O126" s="1715"/>
      <c r="P126" s="1715"/>
      <c r="Q126" s="1715"/>
      <c r="R126" s="1715"/>
      <c r="S126" s="1715"/>
      <c r="T126" s="1715"/>
      <c r="U126" s="1716"/>
    </row>
    <row r="127" spans="1:21" ht="15" customHeight="1">
      <c r="A127" s="1715"/>
      <c r="B127" s="1715"/>
      <c r="C127" s="1715"/>
      <c r="D127" s="1764"/>
      <c r="E127" s="1715"/>
      <c r="F127" s="1715"/>
      <c r="G127" s="1715"/>
      <c r="H127" s="1715" t="s">
        <v>1239</v>
      </c>
      <c r="I127" s="1715"/>
      <c r="J127" s="1765"/>
      <c r="K127" s="1715"/>
      <c r="L127" s="1715"/>
      <c r="M127" s="1715"/>
      <c r="N127" s="1715"/>
      <c r="O127" s="1715"/>
      <c r="P127" s="1715"/>
      <c r="Q127" s="1715"/>
      <c r="R127" s="1715"/>
      <c r="S127" s="1715"/>
      <c r="T127" s="1715"/>
      <c r="U127" s="1716"/>
    </row>
    <row r="128" spans="1:21" ht="15" customHeight="1">
      <c r="A128" s="1715"/>
      <c r="B128" s="1715"/>
      <c r="C128" s="1715"/>
      <c r="D128" s="1764"/>
      <c r="E128" s="1715"/>
      <c r="F128" s="1715"/>
      <c r="G128" s="1795"/>
      <c r="H128" s="1715" t="s">
        <v>2119</v>
      </c>
      <c r="I128" s="1715"/>
      <c r="J128" s="1765"/>
      <c r="K128" s="1715"/>
      <c r="L128" s="1715"/>
      <c r="M128" s="1715"/>
      <c r="N128" s="1715"/>
      <c r="O128" s="1715"/>
      <c r="P128" s="1715"/>
      <c r="Q128" s="1715"/>
      <c r="R128" s="1715"/>
      <c r="S128" s="1715"/>
      <c r="T128" s="1715"/>
      <c r="U128" s="1716"/>
    </row>
    <row r="129" spans="1:21" ht="15" customHeight="1">
      <c r="A129" s="1715"/>
      <c r="B129" s="1715"/>
      <c r="C129" s="1715"/>
      <c r="D129" s="1764"/>
      <c r="E129" s="1715"/>
      <c r="F129" s="1715"/>
      <c r="G129" s="1715"/>
      <c r="H129" s="1715" t="s">
        <v>2120</v>
      </c>
      <c r="I129" s="1715"/>
      <c r="J129" s="1765"/>
      <c r="K129" s="1715"/>
      <c r="L129" s="1715"/>
      <c r="M129" s="1715"/>
      <c r="N129" s="1715"/>
      <c r="O129" s="1715"/>
      <c r="P129" s="1715"/>
      <c r="Q129" s="1715"/>
      <c r="R129" s="1715"/>
      <c r="S129" s="1715"/>
      <c r="T129" s="1715"/>
      <c r="U129" s="1716"/>
    </row>
    <row r="130" spans="1:21" ht="15" customHeight="1">
      <c r="A130" s="1715"/>
      <c r="B130" s="1715"/>
      <c r="C130" s="1715"/>
      <c r="D130" s="1764"/>
      <c r="E130" s="1715"/>
      <c r="F130" s="1715"/>
      <c r="G130" s="1715"/>
      <c r="H130" s="1715"/>
      <c r="I130" s="1715"/>
      <c r="J130" s="1765"/>
      <c r="K130" s="1715"/>
      <c r="L130" s="1715"/>
      <c r="M130" s="1715"/>
      <c r="N130" s="1715"/>
      <c r="O130" s="1715"/>
      <c r="P130" s="1715"/>
      <c r="Q130" s="1715"/>
      <c r="R130" s="1715"/>
      <c r="S130" s="1715"/>
      <c r="T130" s="1715"/>
      <c r="U130" s="1716"/>
    </row>
    <row r="131" spans="1:21" ht="15" customHeight="1">
      <c r="A131" s="1715"/>
      <c r="B131" s="1715"/>
      <c r="C131" s="1715"/>
      <c r="D131" s="1764"/>
      <c r="E131" s="1715"/>
      <c r="F131" s="1715"/>
      <c r="G131" s="1859" t="s">
        <v>549</v>
      </c>
      <c r="H131" s="1715" t="s">
        <v>2121</v>
      </c>
      <c r="I131" s="1715"/>
      <c r="J131" s="1765"/>
      <c r="K131" s="1715"/>
      <c r="L131" s="1715"/>
      <c r="M131" s="1715"/>
      <c r="N131" s="1715"/>
      <c r="O131" s="1715"/>
      <c r="P131" s="1715"/>
      <c r="Q131" s="1715"/>
      <c r="R131" s="1715"/>
      <c r="S131" s="1715"/>
      <c r="T131" s="1715"/>
      <c r="U131" s="1716"/>
    </row>
    <row r="132" spans="1:21" ht="15" customHeight="1">
      <c r="A132" s="1715"/>
      <c r="B132" s="1715"/>
      <c r="C132" s="1715"/>
      <c r="D132" s="1764"/>
      <c r="E132" s="1715"/>
      <c r="F132" s="1715"/>
      <c r="G132" s="1715"/>
      <c r="H132" s="1715" t="s">
        <v>2122</v>
      </c>
      <c r="I132" s="1715"/>
      <c r="J132" s="1715"/>
      <c r="K132" s="1715"/>
      <c r="L132" s="1715"/>
      <c r="M132" s="1715"/>
      <c r="N132" s="1715"/>
      <c r="O132" s="1715"/>
      <c r="P132" s="1715"/>
      <c r="Q132" s="1715"/>
      <c r="R132" s="1715"/>
      <c r="S132" s="1715"/>
      <c r="T132" s="1715"/>
      <c r="U132" s="1716"/>
    </row>
    <row r="133" spans="1:21" ht="12.75" customHeight="1">
      <c r="A133" s="1715"/>
      <c r="B133" s="1715"/>
      <c r="C133" s="1715"/>
      <c r="D133" s="1764"/>
      <c r="E133" s="1715"/>
      <c r="F133" s="1715"/>
      <c r="G133" s="1715"/>
      <c r="H133" s="1715" t="s">
        <v>2123</v>
      </c>
      <c r="I133" s="1715"/>
      <c r="J133" s="1765"/>
      <c r="K133" s="1715"/>
      <c r="L133" s="1715"/>
      <c r="M133" s="1715"/>
      <c r="N133" s="1715"/>
      <c r="O133" s="1715"/>
      <c r="P133" s="1715"/>
      <c r="Q133" s="1715"/>
      <c r="R133" s="1715"/>
      <c r="S133" s="1715"/>
      <c r="T133" s="1715"/>
      <c r="U133" s="1716"/>
    </row>
    <row r="134" spans="1:21" ht="15" customHeight="1">
      <c r="A134" s="1715"/>
      <c r="B134" s="1715"/>
      <c r="C134" s="1715"/>
      <c r="D134" s="1764"/>
      <c r="E134" s="1715"/>
      <c r="F134" s="1715"/>
      <c r="G134" s="1859" t="s">
        <v>549</v>
      </c>
      <c r="H134" s="1715" t="s">
        <v>3350</v>
      </c>
      <c r="I134" s="1715"/>
      <c r="J134" s="1765"/>
      <c r="K134" s="1715"/>
      <c r="L134" s="1715"/>
      <c r="M134" s="1715"/>
      <c r="N134" s="1715"/>
      <c r="O134" s="1715"/>
      <c r="P134" s="1715"/>
      <c r="Q134" s="1715"/>
      <c r="R134" s="1715"/>
      <c r="S134" s="1715"/>
      <c r="T134" s="1715"/>
      <c r="U134" s="1716"/>
    </row>
    <row r="135" spans="1:21" ht="19.5" customHeight="1">
      <c r="A135" s="1715"/>
      <c r="B135" s="1715"/>
      <c r="C135" s="1715"/>
      <c r="D135" s="1764"/>
      <c r="E135" s="1715"/>
      <c r="F135" s="1715"/>
      <c r="G135" s="1715"/>
      <c r="H135" s="1890" t="s">
        <v>1539</v>
      </c>
      <c r="I135" s="1715"/>
      <c r="J135" s="1765"/>
      <c r="K135" s="1715"/>
      <c r="L135" s="1715"/>
      <c r="M135" s="1715"/>
      <c r="N135" s="1715"/>
      <c r="O135" s="1715"/>
      <c r="P135" s="1715"/>
      <c r="Q135" s="1715"/>
      <c r="R135" s="1715"/>
      <c r="S135" s="1715"/>
      <c r="T135" s="1715"/>
      <c r="U135" s="1716"/>
    </row>
    <row r="136" spans="1:21" ht="21" customHeight="1" thickBot="1">
      <c r="A136" s="1860"/>
      <c r="B136" s="2786" t="str">
        <f>"Publication 972 ("&amp;TaxYear&amp;")"</f>
        <v>Publication 972 (2016)</v>
      </c>
      <c r="C136" s="1861"/>
      <c r="D136" s="1862"/>
      <c r="E136" s="1863"/>
      <c r="F136" s="1863"/>
      <c r="G136" s="1864"/>
      <c r="H136" s="1863"/>
      <c r="I136" s="1863"/>
      <c r="J136" s="1865"/>
      <c r="K136" s="1866"/>
      <c r="L136" s="1866"/>
      <c r="M136" s="1866"/>
      <c r="N136" s="1867"/>
      <c r="O136" s="1867"/>
      <c r="P136" s="2784"/>
      <c r="Q136" s="1869" t="s">
        <v>1240</v>
      </c>
      <c r="R136" s="1869"/>
      <c r="S136" s="1716"/>
      <c r="T136" s="1868"/>
      <c r="U136" s="1716"/>
    </row>
    <row r="137" spans="1:21" ht="25.5" customHeight="1" thickBot="1">
      <c r="A137" s="1870"/>
      <c r="B137" s="1871" t="str">
        <f>"Line "&amp;O108&amp;" Worksheet"</f>
        <v>Line 11 Worksheet</v>
      </c>
      <c r="C137" s="1872"/>
      <c r="D137" s="1873"/>
      <c r="E137" s="1874"/>
      <c r="F137" s="1874"/>
      <c r="G137" s="1874"/>
      <c r="H137" s="1874"/>
      <c r="I137" s="1874"/>
      <c r="J137" s="1875"/>
      <c r="K137" s="1874"/>
      <c r="L137" s="1874"/>
      <c r="M137" s="1874"/>
      <c r="N137" s="1876"/>
      <c r="O137" s="1874"/>
      <c r="P137" s="1877"/>
      <c r="Q137" s="1877"/>
      <c r="R137" s="1877" t="s">
        <v>290</v>
      </c>
      <c r="S137" s="1755"/>
      <c r="T137" s="1755"/>
      <c r="U137" s="1716"/>
    </row>
    <row r="138" spans="1:21" ht="9" customHeight="1" thickTop="1">
      <c r="A138" s="1788"/>
      <c r="B138" s="1794"/>
      <c r="C138" s="1794"/>
      <c r="D138" s="1795"/>
      <c r="E138" s="1800"/>
      <c r="F138" s="1800"/>
      <c r="G138" s="1801"/>
      <c r="H138" s="1801"/>
      <c r="I138" s="1801"/>
      <c r="J138" s="1802"/>
      <c r="K138" s="1715"/>
      <c r="L138" s="1715"/>
      <c r="M138" s="1788"/>
      <c r="N138" s="1795"/>
      <c r="O138" s="1788"/>
      <c r="P138" s="1795"/>
      <c r="Q138" s="1795"/>
      <c r="R138" s="1795"/>
      <c r="S138" s="1795"/>
      <c r="T138" s="1795"/>
      <c r="U138" s="1716"/>
    </row>
    <row r="139" spans="1:21" ht="13.5" customHeight="1">
      <c r="A139" s="1788"/>
      <c r="B139" s="1794"/>
      <c r="C139" s="1794"/>
      <c r="D139" s="1878"/>
      <c r="E139" s="1879"/>
      <c r="F139" s="1879"/>
      <c r="G139" s="1880" t="s">
        <v>1241</v>
      </c>
      <c r="H139" s="1819" t="s">
        <v>1540</v>
      </c>
      <c r="I139" s="1819"/>
      <c r="J139" s="1733"/>
      <c r="K139" s="1715"/>
      <c r="L139" s="1715"/>
      <c r="M139" s="1788"/>
      <c r="N139" s="1795"/>
      <c r="O139" s="1788"/>
      <c r="P139" s="1795"/>
      <c r="Q139" s="1795"/>
      <c r="R139" s="1795"/>
      <c r="S139" s="1795"/>
      <c r="T139" s="1795"/>
      <c r="U139" s="1716"/>
    </row>
    <row r="140" spans="1:21" ht="12.75" customHeight="1">
      <c r="A140" s="1748"/>
      <c r="B140" s="1756"/>
      <c r="C140" s="1759"/>
      <c r="D140" s="1758"/>
      <c r="E140" s="1748"/>
      <c r="F140" s="1748"/>
      <c r="G140" s="3047" t="s">
        <v>2124</v>
      </c>
      <c r="H140" s="1819" t="s">
        <v>2125</v>
      </c>
      <c r="I140" s="1759"/>
      <c r="J140" s="1760"/>
      <c r="K140" s="1748"/>
      <c r="L140" s="1748"/>
      <c r="M140" s="1748"/>
      <c r="N140" s="1755"/>
      <c r="O140" s="1748"/>
      <c r="P140" s="1755"/>
      <c r="Q140" s="1755"/>
      <c r="R140" s="1755"/>
      <c r="S140" s="1755"/>
      <c r="T140" s="1881" t="s">
        <v>1275</v>
      </c>
      <c r="U140" s="1716"/>
    </row>
    <row r="141" spans="1:21" ht="19.5" customHeight="1">
      <c r="A141" s="1748"/>
      <c r="B141" s="1756"/>
      <c r="C141" s="1757"/>
      <c r="D141" s="1882"/>
      <c r="E141" s="3048" t="s">
        <v>3081</v>
      </c>
      <c r="F141" s="1883"/>
      <c r="G141" s="1884"/>
      <c r="H141" s="1884"/>
      <c r="I141" s="1884"/>
      <c r="J141" s="1884"/>
      <c r="K141" s="1884"/>
      <c r="L141" s="1884"/>
      <c r="M141" s="1884"/>
      <c r="N141" s="1884"/>
      <c r="O141" s="1884"/>
      <c r="P141" s="1884"/>
      <c r="Q141" s="1884"/>
      <c r="R141" s="1755"/>
      <c r="S141" s="1755"/>
      <c r="T141" s="2795" t="str">
        <f>IF(E107&lt;&gt;"","No",IF(E109&lt;&gt;"","Yes",""))</f>
        <v>No</v>
      </c>
      <c r="U141" s="1716"/>
    </row>
    <row r="142" spans="1:21" ht="12" customHeight="1" thickBot="1">
      <c r="A142" s="1715"/>
      <c r="B142" s="1761"/>
      <c r="C142" s="1761"/>
      <c r="D142" s="1762"/>
      <c r="E142" s="3646" t="s">
        <v>3082</v>
      </c>
      <c r="F142" s="1761"/>
      <c r="G142" s="1761"/>
      <c r="H142" s="1761"/>
      <c r="I142" s="1761"/>
      <c r="J142" s="1763"/>
      <c r="K142" s="1761"/>
      <c r="L142" s="1761"/>
      <c r="M142" s="1761"/>
      <c r="N142" s="1761"/>
      <c r="O142" s="1761"/>
      <c r="P142" s="1761"/>
      <c r="Q142" s="1715"/>
      <c r="R142" s="1715"/>
      <c r="S142" s="1715"/>
      <c r="T142" s="1715"/>
      <c r="U142" s="1716"/>
    </row>
    <row r="143" spans="1:21" ht="9" customHeight="1">
      <c r="A143" s="1788"/>
      <c r="B143" s="1794"/>
      <c r="C143" s="1794"/>
      <c r="D143" s="1795"/>
      <c r="E143" s="1843"/>
      <c r="F143" s="1800"/>
      <c r="G143" s="1801"/>
      <c r="H143" s="1801"/>
      <c r="I143" s="1801"/>
      <c r="J143" s="1802"/>
      <c r="K143" s="1715"/>
      <c r="L143" s="1715"/>
      <c r="M143" s="1788"/>
      <c r="N143" s="1795"/>
      <c r="O143" s="1788"/>
      <c r="P143" s="1795"/>
      <c r="Q143" s="1795"/>
      <c r="R143" s="1795"/>
      <c r="S143" s="1795"/>
      <c r="T143" s="1795"/>
      <c r="U143" s="1716"/>
    </row>
    <row r="144" spans="1:21" ht="15" customHeight="1">
      <c r="A144" s="1788"/>
      <c r="B144" s="1733"/>
      <c r="C144" s="1790"/>
      <c r="D144" s="1803" t="s">
        <v>476</v>
      </c>
      <c r="E144" s="1788" t="s">
        <v>1269</v>
      </c>
      <c r="F144" s="1788"/>
      <c r="G144" s="1788"/>
      <c r="H144" s="1715"/>
      <c r="I144" s="1715"/>
      <c r="J144" s="1791"/>
      <c r="K144" s="1715"/>
      <c r="L144" s="1715"/>
      <c r="M144" s="1788"/>
      <c r="N144" s="1788"/>
      <c r="O144" s="1792" t="s">
        <v>243</v>
      </c>
      <c r="P144" s="2787" t="str">
        <f>IF(T141="No","",P77)</f>
        <v/>
      </c>
      <c r="Q144" s="1793"/>
      <c r="R144" s="1793"/>
      <c r="S144" s="1793"/>
      <c r="T144" s="1793"/>
      <c r="U144" s="1716"/>
    </row>
    <row r="145" spans="1:21" ht="6.75" customHeight="1">
      <c r="A145" s="1788"/>
      <c r="B145" s="1794"/>
      <c r="C145" s="1794"/>
      <c r="D145" s="1795"/>
      <c r="E145" s="1796"/>
      <c r="F145" s="1796"/>
      <c r="G145" s="1797"/>
      <c r="H145" s="1797"/>
      <c r="I145" s="1797"/>
      <c r="J145" s="1798"/>
      <c r="K145" s="1797"/>
      <c r="L145" s="1797"/>
      <c r="M145" s="1797"/>
      <c r="N145" s="1797"/>
      <c r="O145" s="1788"/>
      <c r="P145" s="1788"/>
      <c r="Q145" s="1788"/>
      <c r="R145" s="1788"/>
      <c r="S145" s="1788"/>
      <c r="T145" s="1788"/>
      <c r="U145" s="1716"/>
    </row>
    <row r="146" spans="1:21" ht="9" customHeight="1">
      <c r="A146" s="1788"/>
      <c r="B146" s="1794"/>
      <c r="C146" s="1794"/>
      <c r="D146" s="1795"/>
      <c r="E146" s="1800"/>
      <c r="F146" s="1800"/>
      <c r="G146" s="1801"/>
      <c r="H146" s="1801"/>
      <c r="I146" s="1801"/>
      <c r="J146" s="1802"/>
      <c r="K146" s="1715"/>
      <c r="L146" s="1715"/>
      <c r="M146" s="1788"/>
      <c r="N146" s="1795"/>
      <c r="O146" s="1788"/>
      <c r="P146" s="1795"/>
      <c r="Q146" s="1795"/>
      <c r="R146" s="1795"/>
      <c r="S146" s="1795"/>
      <c r="T146" s="1795"/>
      <c r="U146" s="1716"/>
    </row>
    <row r="147" spans="1:21" ht="14.25" customHeight="1">
      <c r="A147" s="1788"/>
      <c r="B147" s="1733"/>
      <c r="C147" s="1790"/>
      <c r="D147" s="1803" t="s">
        <v>0</v>
      </c>
      <c r="E147" s="1790" t="s">
        <v>1270</v>
      </c>
      <c r="F147" s="1790"/>
      <c r="G147" s="1788"/>
      <c r="H147" s="1715"/>
      <c r="I147" s="1715"/>
      <c r="J147" s="1791"/>
      <c r="K147" s="1715"/>
      <c r="L147" s="1715"/>
      <c r="M147" s="1792" t="s">
        <v>244</v>
      </c>
      <c r="N147" s="2796"/>
      <c r="O147" s="1788"/>
      <c r="P147" s="1795"/>
      <c r="Q147" s="1793"/>
      <c r="R147" s="1793"/>
      <c r="S147" s="1793"/>
      <c r="T147" s="1793"/>
      <c r="U147" s="1716"/>
    </row>
    <row r="148" spans="1:21" ht="12.75" customHeight="1">
      <c r="A148" s="1788"/>
      <c r="B148" s="1733"/>
      <c r="C148" s="1790"/>
      <c r="D148" s="1803"/>
      <c r="E148" s="1790" t="s">
        <v>1271</v>
      </c>
      <c r="F148" s="1790"/>
      <c r="G148" s="1788"/>
      <c r="H148" s="1715"/>
      <c r="I148" s="1715"/>
      <c r="J148" s="1791"/>
      <c r="K148" s="1715"/>
      <c r="L148" s="1715"/>
      <c r="M148" s="1805"/>
      <c r="N148" s="1806"/>
      <c r="O148" s="1788"/>
      <c r="P148" s="1795"/>
      <c r="Q148" s="1793"/>
      <c r="R148" s="1793"/>
      <c r="S148" s="1793"/>
      <c r="T148" s="1793"/>
      <c r="U148" s="1716"/>
    </row>
    <row r="149" spans="1:21" ht="6.75" customHeight="1">
      <c r="A149" s="1788"/>
      <c r="B149" s="1794"/>
      <c r="C149" s="1794"/>
      <c r="D149" s="1795"/>
      <c r="E149" s="1796"/>
      <c r="F149" s="1796"/>
      <c r="G149" s="1797"/>
      <c r="H149" s="1797"/>
      <c r="I149" s="1797"/>
      <c r="J149" s="1798"/>
      <c r="K149" s="1715"/>
      <c r="L149" s="1715"/>
      <c r="M149" s="1788"/>
      <c r="N149" s="1788"/>
      <c r="O149" s="1788"/>
      <c r="P149" s="1788"/>
      <c r="Q149" s="1788"/>
      <c r="R149" s="1788"/>
      <c r="S149" s="1788"/>
      <c r="T149" s="1788"/>
      <c r="U149" s="1716"/>
    </row>
    <row r="150" spans="1:21" ht="6.75" customHeight="1">
      <c r="A150" s="1788"/>
      <c r="B150" s="1794"/>
      <c r="C150" s="1794"/>
      <c r="D150" s="1795"/>
      <c r="E150" s="1800"/>
      <c r="F150" s="1800"/>
      <c r="G150" s="1801"/>
      <c r="H150" s="1801"/>
      <c r="I150" s="1801"/>
      <c r="J150" s="1802"/>
      <c r="K150" s="1715"/>
      <c r="L150" s="1715"/>
      <c r="M150" s="1788"/>
      <c r="N150" s="1795"/>
      <c r="O150" s="1788"/>
      <c r="P150" s="1795"/>
      <c r="Q150" s="1795"/>
      <c r="R150" s="1795"/>
      <c r="S150" s="1795"/>
      <c r="T150" s="1795"/>
      <c r="U150" s="1716"/>
    </row>
    <row r="151" spans="1:21" ht="13.5" customHeight="1">
      <c r="A151" s="1715"/>
      <c r="B151" s="1715"/>
      <c r="C151" s="1715"/>
      <c r="D151" s="1803" t="s">
        <v>1</v>
      </c>
      <c r="E151" s="1715" t="str">
        <f>"Is the amount on line 2 more than "&amp;TEXT(P151,"$0,000")&amp;"?"</f>
        <v>Is the amount on line 2 more than $3,000?</v>
      </c>
      <c r="F151" s="1715"/>
      <c r="G151" s="1715"/>
      <c r="H151" s="1715"/>
      <c r="I151" s="1715"/>
      <c r="J151" s="1765"/>
      <c r="K151" s="1715"/>
      <c r="L151" s="1715"/>
      <c r="M151" s="1715"/>
      <c r="N151" s="1839"/>
      <c r="O151" s="1715"/>
      <c r="P151" s="1839">
        <v>3000</v>
      </c>
      <c r="Q151" s="1715"/>
      <c r="R151" s="1715"/>
      <c r="S151" s="1715"/>
      <c r="T151" s="1715"/>
      <c r="U151" s="1716"/>
    </row>
    <row r="152" spans="1:21" ht="9.75" customHeight="1" thickBot="1">
      <c r="A152" s="1741"/>
      <c r="B152" s="1741"/>
      <c r="C152" s="1741"/>
      <c r="D152" s="1805"/>
      <c r="E152" s="1813"/>
      <c r="F152" s="1813"/>
      <c r="G152" s="1809"/>
      <c r="H152" s="1741"/>
      <c r="I152" s="1741"/>
      <c r="J152" s="1776"/>
      <c r="K152" s="1741"/>
      <c r="L152" s="1741"/>
      <c r="M152" s="1741"/>
      <c r="N152" s="1741"/>
      <c r="O152" s="1741"/>
      <c r="P152" s="1741"/>
      <c r="Q152" s="1741"/>
      <c r="R152" s="1741"/>
      <c r="S152" s="1741"/>
      <c r="T152" s="1741"/>
      <c r="U152" s="1716"/>
    </row>
    <row r="153" spans="1:21" ht="14.25" customHeight="1" thickBot="1">
      <c r="A153" s="1741"/>
      <c r="B153" s="1741"/>
      <c r="C153" s="1741"/>
      <c r="D153" s="1805"/>
      <c r="E153" s="2789" t="str">
        <f>IF(T141="No","",IF(N147&gt;P151,"","X"))</f>
        <v/>
      </c>
      <c r="F153" s="1814"/>
      <c r="G153" s="1815" t="s">
        <v>444</v>
      </c>
      <c r="H153" s="1741" t="s">
        <v>1242</v>
      </c>
      <c r="I153" s="1741"/>
      <c r="J153" s="1776"/>
      <c r="K153" s="1741"/>
      <c r="L153" s="1741"/>
      <c r="M153" s="1741"/>
      <c r="N153" s="1741"/>
      <c r="O153" s="1741"/>
      <c r="P153" s="1741"/>
      <c r="Q153" s="1741"/>
      <c r="R153" s="1741"/>
      <c r="S153" s="1741"/>
      <c r="T153" s="1741"/>
      <c r="U153" s="1716"/>
    </row>
    <row r="154" spans="1:21" ht="12" customHeight="1">
      <c r="A154" s="1741"/>
      <c r="B154" s="1741"/>
      <c r="C154" s="1741"/>
      <c r="D154" s="1805"/>
      <c r="E154" s="1814"/>
      <c r="F154" s="1814"/>
      <c r="G154" s="1818"/>
      <c r="H154" s="1818" t="s">
        <v>1243</v>
      </c>
      <c r="I154" s="1818"/>
      <c r="J154" s="1776"/>
      <c r="K154" s="1741"/>
      <c r="L154" s="1741"/>
      <c r="M154" s="1741"/>
      <c r="N154" s="1741"/>
      <c r="O154" s="1741"/>
      <c r="P154" s="1741"/>
      <c r="Q154" s="1741"/>
      <c r="R154" s="1741"/>
      <c r="S154" s="1741"/>
      <c r="T154" s="1741"/>
      <c r="U154" s="1716"/>
    </row>
    <row r="155" spans="1:21" ht="18.75" customHeight="1" thickBot="1">
      <c r="A155" s="1741"/>
      <c r="B155" s="1741"/>
      <c r="C155" s="1741"/>
      <c r="D155" s="1805"/>
      <c r="E155" s="1808"/>
      <c r="F155" s="1808"/>
      <c r="G155" s="1741"/>
      <c r="H155" s="1741"/>
      <c r="I155" s="1741"/>
      <c r="J155" s="1776"/>
      <c r="K155" s="1741"/>
      <c r="L155" s="1741"/>
      <c r="M155" s="1792" t="s">
        <v>245</v>
      </c>
      <c r="N155" s="2787" t="str">
        <f>IF(T141="No","",IF(E153="X","",N147-P151))</f>
        <v/>
      </c>
      <c r="O155" s="1741"/>
      <c r="P155" s="1816"/>
      <c r="Q155" s="1741"/>
      <c r="R155" s="1741"/>
      <c r="S155" s="1741"/>
      <c r="T155" s="1741"/>
      <c r="U155" s="1716"/>
    </row>
    <row r="156" spans="1:21" ht="14.25" customHeight="1" thickBot="1">
      <c r="A156" s="1741"/>
      <c r="B156" s="1741"/>
      <c r="C156" s="1741"/>
      <c r="D156" s="1805"/>
      <c r="E156" s="2789" t="str">
        <f>IF(T141="No","",IF(N147&gt;P151,"X",""))</f>
        <v/>
      </c>
      <c r="F156" s="1814"/>
      <c r="G156" s="1815" t="s">
        <v>283</v>
      </c>
      <c r="H156" s="1741" t="str">
        <f>"Subtract "&amp;TEXT(P151,"$0,000")&amp;" from the amount on line "&amp;M147&amp;"."</f>
        <v>Subtract $3,000 from the amount on line 2.</v>
      </c>
      <c r="I156" s="1741"/>
      <c r="J156" s="1776"/>
      <c r="K156" s="1741"/>
      <c r="L156" s="1741"/>
      <c r="M156" s="1741"/>
      <c r="N156" s="1741"/>
      <c r="O156" s="1741"/>
      <c r="P156" s="1741"/>
      <c r="Q156" s="1741"/>
      <c r="R156" s="1741"/>
      <c r="S156" s="1741"/>
      <c r="T156" s="1741"/>
      <c r="U156" s="1716"/>
    </row>
    <row r="157" spans="1:21" ht="12" customHeight="1">
      <c r="A157" s="1741"/>
      <c r="B157" s="1741"/>
      <c r="C157" s="1741"/>
      <c r="D157" s="1805"/>
      <c r="E157" s="1817"/>
      <c r="F157" s="1817"/>
      <c r="G157" s="1818"/>
      <c r="H157" s="1818" t="s">
        <v>1244</v>
      </c>
      <c r="I157" s="1818"/>
      <c r="J157" s="1776"/>
      <c r="K157" s="1741"/>
      <c r="L157" s="1741"/>
      <c r="M157" s="1741"/>
      <c r="N157" s="1741"/>
      <c r="O157" s="1741"/>
      <c r="P157" s="1741"/>
      <c r="Q157" s="1741"/>
      <c r="R157" s="1741"/>
      <c r="S157" s="1741"/>
      <c r="T157" s="1741"/>
      <c r="U157" s="1716"/>
    </row>
    <row r="158" spans="1:21" ht="6" customHeight="1">
      <c r="A158" s="1741"/>
      <c r="B158" s="1741"/>
      <c r="C158" s="1741"/>
      <c r="D158" s="1805"/>
      <c r="E158" s="1796"/>
      <c r="F158" s="1796"/>
      <c r="G158" s="1797"/>
      <c r="H158" s="1797"/>
      <c r="I158" s="1797"/>
      <c r="J158" s="1798"/>
      <c r="K158" s="1797"/>
      <c r="L158" s="1797"/>
      <c r="M158" s="1797"/>
      <c r="N158" s="1797"/>
      <c r="O158" s="1741"/>
      <c r="P158" s="1741"/>
      <c r="Q158" s="1741"/>
      <c r="R158" s="1741"/>
      <c r="S158" s="1741"/>
      <c r="T158" s="1741"/>
      <c r="U158" s="1716"/>
    </row>
    <row r="159" spans="1:21" ht="9" customHeight="1">
      <c r="A159" s="1788"/>
      <c r="B159" s="1794"/>
      <c r="C159" s="1794"/>
      <c r="D159" s="1795"/>
      <c r="E159" s="1800"/>
      <c r="F159" s="1800"/>
      <c r="G159" s="1801"/>
      <c r="H159" s="1801"/>
      <c r="I159" s="1801"/>
      <c r="J159" s="1802"/>
      <c r="K159" s="1715"/>
      <c r="L159" s="1715"/>
      <c r="M159" s="1788"/>
      <c r="N159" s="1795"/>
      <c r="O159" s="1788"/>
      <c r="P159" s="1795"/>
      <c r="Q159" s="1795"/>
      <c r="R159" s="1795"/>
      <c r="S159" s="1795"/>
      <c r="T159" s="1795"/>
      <c r="U159" s="1716"/>
    </row>
    <row r="160" spans="1:21" ht="15.75" customHeight="1">
      <c r="A160" s="1788"/>
      <c r="B160" s="1733"/>
      <c r="C160" s="1790"/>
      <c r="D160" s="1803" t="s">
        <v>642</v>
      </c>
      <c r="E160" s="1788" t="str">
        <f>"Multiply the amount on line "&amp;3&amp;" by "&amp;TEXT(N160,"0%")&amp;" ("&amp;TEXT(N160,"0.00")&amp;") and enter the result."</f>
        <v>Multiply the amount on line 3 by 15% (0.15) and enter the result.</v>
      </c>
      <c r="F160" s="1788"/>
      <c r="G160" s="1788"/>
      <c r="H160" s="1715"/>
      <c r="I160" s="1715"/>
      <c r="J160" s="1791"/>
      <c r="K160" s="1715"/>
      <c r="L160" s="1715"/>
      <c r="M160" s="1788"/>
      <c r="N160" s="1839">
        <v>0.15</v>
      </c>
      <c r="O160" s="1792" t="s">
        <v>246</v>
      </c>
      <c r="P160" s="2787" t="str">
        <f>IF(T141="No","",IF(E153="X",0,ROUND(N155*N160,0)))</f>
        <v/>
      </c>
      <c r="Q160" s="1793"/>
      <c r="R160" s="1793"/>
      <c r="S160" s="1793"/>
      <c r="T160" s="1793"/>
      <c r="U160" s="1716"/>
    </row>
    <row r="161" spans="1:21" ht="7.5" customHeight="1">
      <c r="A161" s="1788"/>
      <c r="B161" s="1794"/>
      <c r="C161" s="1794"/>
      <c r="D161" s="1795"/>
      <c r="E161" s="1796"/>
      <c r="F161" s="1796"/>
      <c r="G161" s="1797"/>
      <c r="H161" s="1797"/>
      <c r="I161" s="1797"/>
      <c r="J161" s="1798"/>
      <c r="K161" s="1797"/>
      <c r="L161" s="1797"/>
      <c r="M161" s="1797"/>
      <c r="N161" s="1797"/>
      <c r="O161" s="1788"/>
      <c r="P161" s="1788"/>
      <c r="Q161" s="1788"/>
      <c r="R161" s="1788"/>
      <c r="S161" s="1788"/>
      <c r="T161" s="1788"/>
      <c r="U161" s="1716"/>
    </row>
    <row r="162" spans="1:21" ht="9" customHeight="1">
      <c r="A162" s="1788"/>
      <c r="B162" s="1794"/>
      <c r="C162" s="1794"/>
      <c r="D162" s="1795"/>
      <c r="E162" s="1800"/>
      <c r="F162" s="1800"/>
      <c r="G162" s="1801"/>
      <c r="H162" s="1801"/>
      <c r="I162" s="1801"/>
      <c r="J162" s="1802"/>
      <c r="K162" s="1715"/>
      <c r="L162" s="1715"/>
      <c r="M162" s="1788"/>
      <c r="N162" s="1795"/>
      <c r="O162" s="1788"/>
      <c r="P162" s="1795"/>
      <c r="Q162" s="1795"/>
      <c r="R162" s="1795"/>
      <c r="S162" s="1795"/>
      <c r="T162" s="1795"/>
      <c r="U162" s="1716"/>
    </row>
    <row r="163" spans="1:21" ht="12" customHeight="1">
      <c r="A163" s="1715"/>
      <c r="B163" s="1715"/>
      <c r="C163" s="1715"/>
      <c r="D163" s="1803" t="s">
        <v>53</v>
      </c>
      <c r="E163" s="1715" t="str">
        <f>"Is the amount on line 1 of the Child Tax Credit Worksheet "&amp;TEXT(P163,"$0,000")&amp;" or more?"</f>
        <v>Is the amount on line 1 of the Child Tax Credit Worksheet $3,000 or more?</v>
      </c>
      <c r="F163" s="1715"/>
      <c r="G163" s="1715"/>
      <c r="H163" s="1715"/>
      <c r="I163" s="1715"/>
      <c r="J163" s="1765"/>
      <c r="K163" s="1715"/>
      <c r="L163" s="1715"/>
      <c r="M163" s="1715"/>
      <c r="N163" s="1715"/>
      <c r="O163" s="1715"/>
      <c r="P163" s="1839">
        <v>3000</v>
      </c>
      <c r="Q163" s="1715"/>
      <c r="R163" s="1715"/>
      <c r="S163" s="1715"/>
      <c r="T163" s="1715"/>
      <c r="U163" s="1716"/>
    </row>
    <row r="164" spans="1:21" ht="9" customHeight="1" thickBot="1">
      <c r="A164" s="1741"/>
      <c r="B164" s="1741"/>
      <c r="C164" s="1741"/>
      <c r="D164" s="1805"/>
      <c r="E164" s="1813"/>
      <c r="F164" s="1813"/>
      <c r="G164" s="1809"/>
      <c r="H164" s="1741"/>
      <c r="I164" s="1741"/>
      <c r="J164" s="1776"/>
      <c r="K164" s="1741"/>
      <c r="L164" s="1741"/>
      <c r="M164" s="1741"/>
      <c r="N164" s="1741"/>
      <c r="O164" s="1741"/>
      <c r="P164" s="1741"/>
      <c r="Q164" s="1741"/>
      <c r="R164" s="1741"/>
      <c r="S164" s="1741"/>
      <c r="T164" s="1741"/>
      <c r="U164" s="1716"/>
    </row>
    <row r="165" spans="1:21" ht="12.75" customHeight="1" thickBot="1">
      <c r="A165" s="1741"/>
      <c r="B165" s="1741"/>
      <c r="C165" s="1741"/>
      <c r="D165" s="1805"/>
      <c r="E165" s="2789" t="str">
        <f>IF(T141="No","",IF(P30&gt;=P163,"","X"))</f>
        <v/>
      </c>
      <c r="F165" s="1922" t="s">
        <v>444</v>
      </c>
      <c r="G165" s="1818"/>
      <c r="H165" s="1885"/>
      <c r="I165" s="1885"/>
      <c r="J165" s="1776"/>
      <c r="K165" s="1741"/>
      <c r="L165" s="1741"/>
      <c r="M165" s="1741"/>
      <c r="N165" s="1741"/>
      <c r="O165" s="1741"/>
      <c r="P165" s="1844"/>
      <c r="Q165" s="1741"/>
      <c r="R165" s="1741"/>
      <c r="S165" s="1741"/>
      <c r="T165" s="1741"/>
      <c r="U165" s="1716"/>
    </row>
    <row r="166" spans="1:21" ht="12.75" customHeight="1">
      <c r="A166" s="1741"/>
      <c r="B166" s="1741"/>
      <c r="C166" s="1741"/>
      <c r="D166" s="4978" t="b">
        <f>IF(AND(E165="X",P160=0),TRUE,FALSE)</f>
        <v>0</v>
      </c>
      <c r="E166" s="4984"/>
      <c r="F166" s="1920" t="s">
        <v>549</v>
      </c>
      <c r="G166" s="1741" t="s">
        <v>2126</v>
      </c>
      <c r="H166" s="1885"/>
      <c r="I166" s="1885"/>
      <c r="J166" s="1776"/>
      <c r="K166" s="1741"/>
      <c r="L166" s="1741"/>
      <c r="M166" s="1741"/>
      <c r="N166" s="1741"/>
      <c r="O166" s="1741"/>
      <c r="P166" s="1844"/>
      <c r="Q166" s="1741"/>
      <c r="R166" s="1741"/>
      <c r="S166" s="1741"/>
      <c r="T166" s="1741"/>
      <c r="U166" s="1716"/>
    </row>
    <row r="167" spans="1:21" ht="12.75" customHeight="1">
      <c r="A167" s="1741"/>
      <c r="B167" s="1741"/>
      <c r="C167" s="1741"/>
      <c r="D167" s="1805"/>
      <c r="E167" s="1814"/>
      <c r="F167" s="1814"/>
      <c r="G167" s="1741" t="s">
        <v>2128</v>
      </c>
      <c r="H167" s="1741"/>
      <c r="I167" s="1741"/>
      <c r="J167" s="1776"/>
      <c r="K167" s="1741"/>
      <c r="L167" s="1741"/>
      <c r="M167" s="1741"/>
      <c r="N167" s="1741"/>
      <c r="O167" s="1741"/>
      <c r="P167" s="1844"/>
      <c r="Q167" s="1741"/>
      <c r="R167" s="1741"/>
      <c r="S167" s="1741"/>
      <c r="T167" s="1741"/>
      <c r="U167" s="1716"/>
    </row>
    <row r="168" spans="1:21" ht="12.75" customHeight="1">
      <c r="A168" s="1741"/>
      <c r="B168" s="1741"/>
      <c r="C168" s="1741"/>
      <c r="D168" s="1805"/>
      <c r="E168" s="1814"/>
      <c r="F168" s="1814"/>
      <c r="G168" s="1741" t="s">
        <v>2127</v>
      </c>
      <c r="H168" s="1741"/>
      <c r="I168" s="1741"/>
      <c r="J168" s="1776"/>
      <c r="K168" s="1741"/>
      <c r="L168" s="1741"/>
      <c r="M168" s="1741"/>
      <c r="N168" s="1741"/>
      <c r="O168" s="1741"/>
      <c r="P168" s="1741"/>
      <c r="Q168" s="1741"/>
      <c r="R168" s="1741"/>
      <c r="S168" s="1741"/>
      <c r="T168" s="1741"/>
      <c r="U168" s="1716"/>
    </row>
    <row r="169" spans="1:21" ht="12.75" customHeight="1">
      <c r="A169" s="1741"/>
      <c r="B169" s="1741"/>
      <c r="C169" s="1741"/>
      <c r="D169" s="1741"/>
      <c r="E169" s="1741"/>
      <c r="F169" s="1741"/>
      <c r="G169" s="1741" t="s">
        <v>2129</v>
      </c>
      <c r="H169" s="1741"/>
      <c r="I169" s="1741"/>
      <c r="J169" s="1776"/>
      <c r="K169" s="1741"/>
      <c r="L169" s="1741"/>
      <c r="M169" s="1741"/>
      <c r="N169" s="1741"/>
      <c r="O169" s="1741"/>
      <c r="P169" s="1741"/>
      <c r="Q169" s="1741"/>
      <c r="R169" s="1741"/>
      <c r="S169" s="1741"/>
      <c r="T169" s="1741"/>
      <c r="U169" s="1716"/>
    </row>
    <row r="170" spans="1:21" ht="12.75" customHeight="1">
      <c r="A170" s="1741"/>
      <c r="B170" s="1741"/>
      <c r="C170" s="1741"/>
      <c r="D170" s="1741"/>
      <c r="E170" s="1741"/>
      <c r="F170" s="1920" t="s">
        <v>549</v>
      </c>
      <c r="G170" s="1741" t="s">
        <v>2130</v>
      </c>
      <c r="H170" s="1741"/>
      <c r="I170" s="1741"/>
      <c r="J170" s="1776"/>
      <c r="K170" s="1741"/>
      <c r="L170" s="1741"/>
      <c r="M170" s="1741"/>
      <c r="N170" s="1741"/>
      <c r="O170" s="1741"/>
      <c r="P170" s="1741"/>
      <c r="Q170" s="1741"/>
      <c r="R170" s="1741"/>
      <c r="S170" s="1741"/>
      <c r="T170" s="1741"/>
      <c r="U170" s="1716"/>
    </row>
    <row r="171" spans="1:21" ht="12.75" customHeight="1">
      <c r="A171" s="1741"/>
      <c r="B171" s="1741"/>
      <c r="C171" s="1741"/>
      <c r="D171" s="1741"/>
      <c r="E171" s="1741"/>
      <c r="F171" s="1741"/>
      <c r="G171" s="1741" t="s">
        <v>2131</v>
      </c>
      <c r="H171" s="1741"/>
      <c r="I171" s="1741"/>
      <c r="J171" s="1776"/>
      <c r="K171" s="1741"/>
      <c r="L171" s="1741"/>
      <c r="M171" s="1741"/>
      <c r="N171" s="1741"/>
      <c r="O171" s="1741"/>
      <c r="P171" s="1741"/>
      <c r="Q171" s="1741"/>
      <c r="R171" s="1741"/>
      <c r="S171" s="1741"/>
      <c r="T171" s="1741"/>
      <c r="U171" s="1716"/>
    </row>
    <row r="172" spans="1:21" ht="7.5" customHeight="1" thickBot="1">
      <c r="A172" s="1741"/>
      <c r="B172" s="1741"/>
      <c r="C172" s="1741"/>
      <c r="D172" s="1805"/>
      <c r="E172" s="1808"/>
      <c r="F172" s="1808"/>
      <c r="G172" s="1821"/>
      <c r="H172" s="1741"/>
      <c r="I172" s="1741"/>
      <c r="J172" s="1776"/>
      <c r="K172" s="1741"/>
      <c r="L172" s="1741"/>
      <c r="M172" s="1741"/>
      <c r="N172" s="1741"/>
      <c r="O172" s="1741"/>
      <c r="P172" s="1741"/>
      <c r="Q172" s="1741"/>
      <c r="R172" s="1741"/>
      <c r="S172" s="1741"/>
      <c r="T172" s="1741"/>
      <c r="U172" s="1716"/>
    </row>
    <row r="173" spans="1:21" ht="12" customHeight="1" thickBot="1">
      <c r="A173" s="1741"/>
      <c r="B173" s="1741"/>
      <c r="C173" s="1741"/>
      <c r="D173" s="1805"/>
      <c r="E173" s="2789" t="str">
        <f>IF(T141="No","",IF(P30&gt;=P163,"X",""))</f>
        <v/>
      </c>
      <c r="F173" s="1921" t="s">
        <v>265</v>
      </c>
      <c r="G173" s="1818" t="s">
        <v>2130</v>
      </c>
      <c r="H173" s="1741"/>
      <c r="I173" s="1741"/>
      <c r="J173" s="1776"/>
      <c r="K173" s="1741"/>
      <c r="L173" s="1741"/>
      <c r="M173" s="1741"/>
      <c r="N173" s="1741"/>
      <c r="O173" s="1741"/>
      <c r="P173" s="1844"/>
      <c r="Q173" s="1741"/>
      <c r="R173" s="1741"/>
      <c r="S173" s="1741"/>
      <c r="T173" s="1741"/>
      <c r="U173" s="1716"/>
    </row>
    <row r="174" spans="1:21" ht="12" customHeight="1">
      <c r="A174" s="1741"/>
      <c r="B174" s="1741"/>
      <c r="C174" s="4978" t="b">
        <f>IF(AND(E173="X",P160&gt;=P144),TRUE,FALSE)</f>
        <v>0</v>
      </c>
      <c r="D174" s="4979"/>
      <c r="E174" s="4979"/>
      <c r="F174" s="4979"/>
      <c r="G174" s="1818" t="s">
        <v>2131</v>
      </c>
      <c r="H174" s="1741"/>
      <c r="I174" s="1741"/>
      <c r="J174" s="1776"/>
      <c r="K174" s="1741"/>
      <c r="L174" s="1741"/>
      <c r="M174" s="1741"/>
      <c r="N174" s="1741"/>
      <c r="O174" s="1741"/>
      <c r="P174" s="1741"/>
      <c r="Q174" s="1741"/>
      <c r="R174" s="1741"/>
      <c r="S174" s="1741"/>
      <c r="T174" s="1741"/>
      <c r="U174" s="1716"/>
    </row>
    <row r="175" spans="1:21" ht="12" customHeight="1">
      <c r="A175" s="1741"/>
      <c r="B175" s="1741"/>
      <c r="C175" s="1741"/>
      <c r="D175" s="1805"/>
      <c r="E175" s="1817"/>
      <c r="F175" s="1817"/>
      <c r="G175" s="1818" t="s">
        <v>1276</v>
      </c>
      <c r="H175" s="1741"/>
      <c r="I175" s="1741"/>
      <c r="J175" s="1776"/>
      <c r="K175" s="1741"/>
      <c r="L175" s="1741"/>
      <c r="M175" s="1741"/>
      <c r="N175" s="1741"/>
      <c r="O175" s="1741"/>
      <c r="P175" s="1741"/>
      <c r="Q175" s="1741"/>
      <c r="R175" s="1741"/>
      <c r="S175" s="1741"/>
      <c r="T175" s="1741"/>
      <c r="U175" s="1716"/>
    </row>
    <row r="176" spans="1:21" ht="15.75" customHeight="1">
      <c r="A176" s="1741"/>
      <c r="B176" s="1741"/>
      <c r="C176" s="1741"/>
      <c r="D176" s="1805"/>
      <c r="E176" s="1817"/>
      <c r="F176" s="1817"/>
      <c r="G176" s="1818"/>
      <c r="H176" s="1741"/>
      <c r="I176" s="1741"/>
      <c r="J176" s="1741"/>
      <c r="K176" s="1741"/>
      <c r="L176" s="1741"/>
      <c r="M176" s="1741"/>
      <c r="N176" s="1741"/>
      <c r="O176" s="1741"/>
      <c r="P176" s="1741"/>
      <c r="Q176" s="1741"/>
      <c r="R176" s="1741"/>
      <c r="S176" s="1741"/>
      <c r="T176" s="1741"/>
      <c r="U176" s="1716"/>
    </row>
    <row r="177" spans="1:23" ht="9" customHeight="1">
      <c r="A177" s="1788"/>
      <c r="B177" s="1794"/>
      <c r="C177" s="1794"/>
      <c r="D177" s="1795"/>
      <c r="E177" s="1800"/>
      <c r="F177" s="1800"/>
      <c r="G177" s="1801"/>
      <c r="H177" s="1801"/>
      <c r="I177" s="1801"/>
      <c r="J177" s="1801"/>
      <c r="K177" s="1801"/>
      <c r="L177" s="1801"/>
      <c r="M177" s="1801"/>
      <c r="N177" s="1801"/>
      <c r="O177" s="1788"/>
      <c r="P177" s="1795"/>
      <c r="Q177" s="1795"/>
      <c r="R177" s="1795"/>
      <c r="S177" s="1795"/>
      <c r="T177" s="1795"/>
      <c r="U177" s="1716"/>
    </row>
    <row r="178" spans="1:23" ht="13.5" customHeight="1">
      <c r="A178" s="1788"/>
      <c r="B178" s="3049"/>
      <c r="C178" s="1790"/>
      <c r="D178" s="1790"/>
      <c r="E178" s="1790"/>
      <c r="F178" s="1803" t="s">
        <v>122</v>
      </c>
      <c r="G178" s="1790" t="s">
        <v>1708</v>
      </c>
      <c r="H178" s="1790"/>
      <c r="I178" s="1788"/>
      <c r="J178" s="1715"/>
      <c r="K178" s="1715"/>
      <c r="L178" s="1791"/>
      <c r="M178" s="1715"/>
      <c r="N178" s="1715"/>
      <c r="O178" s="1788"/>
      <c r="P178" s="1788"/>
      <c r="Q178" s="1788"/>
      <c r="R178" s="1795"/>
      <c r="S178" s="1793"/>
      <c r="T178" s="1793"/>
      <c r="U178" s="1793"/>
      <c r="W178" s="1930"/>
    </row>
    <row r="179" spans="1:23" ht="13.5" customHeight="1">
      <c r="A179" s="1788"/>
      <c r="B179" s="3049"/>
      <c r="C179" s="1790"/>
      <c r="D179" s="1790"/>
      <c r="E179" s="1791" t="s">
        <v>1245</v>
      </c>
      <c r="F179" s="1803"/>
      <c r="G179" s="1790" t="s">
        <v>1709</v>
      </c>
      <c r="H179" s="1790"/>
      <c r="I179" s="1788"/>
      <c r="J179" s="1715"/>
      <c r="K179" s="1715"/>
      <c r="L179" s="1791"/>
      <c r="M179" s="1715"/>
      <c r="N179" s="1715"/>
      <c r="O179" s="1788"/>
      <c r="P179" s="1788"/>
      <c r="Q179" s="1788"/>
      <c r="R179" s="1795"/>
      <c r="S179" s="1793"/>
      <c r="T179" s="1793"/>
      <c r="U179" s="1793"/>
      <c r="W179" s="1930"/>
    </row>
    <row r="180" spans="1:23" ht="13.5" customHeight="1">
      <c r="A180" s="1788"/>
      <c r="B180" s="3049"/>
      <c r="C180" s="1790"/>
      <c r="D180" s="1790"/>
      <c r="E180" s="1841" t="s">
        <v>1246</v>
      </c>
      <c r="F180" s="1803"/>
      <c r="G180" s="1790" t="s">
        <v>1710</v>
      </c>
      <c r="H180" s="1790"/>
      <c r="I180" s="1788"/>
      <c r="J180" s="1715"/>
      <c r="K180" s="1715"/>
      <c r="L180" s="1791"/>
      <c r="M180" s="1715"/>
      <c r="N180" s="1715"/>
      <c r="O180" s="1788"/>
      <c r="P180" s="1788"/>
      <c r="Q180" s="1788"/>
      <c r="R180" s="1795"/>
      <c r="S180" s="1793"/>
      <c r="T180" s="1793"/>
      <c r="U180" s="1793"/>
      <c r="W180" s="1930" t="s">
        <v>149</v>
      </c>
    </row>
    <row r="181" spans="1:23" ht="12.75" customHeight="1" thickBot="1">
      <c r="A181" s="1788"/>
      <c r="B181" s="3049"/>
      <c r="C181" s="1791"/>
      <c r="D181" s="1791"/>
      <c r="E181" s="1791" t="s">
        <v>1248</v>
      </c>
      <c r="F181" s="1803"/>
      <c r="G181" s="1790" t="s">
        <v>1711</v>
      </c>
      <c r="H181" s="1790"/>
      <c r="I181" s="1788"/>
      <c r="J181" s="1715"/>
      <c r="K181" s="1715"/>
      <c r="L181" s="1791"/>
      <c r="M181" s="1715"/>
      <c r="N181" s="1715"/>
      <c r="O181" s="1805"/>
      <c r="P181" s="1806"/>
      <c r="Q181" s="1788"/>
      <c r="R181" s="1795"/>
      <c r="S181" s="1793"/>
      <c r="T181" s="1793"/>
      <c r="U181" s="1793"/>
      <c r="W181" s="1930" t="s">
        <v>661</v>
      </c>
    </row>
    <row r="182" spans="1:23" ht="17.25" customHeight="1" thickBot="1">
      <c r="A182" s="1821"/>
      <c r="B182" s="3050"/>
      <c r="C182" s="1841"/>
      <c r="D182" s="1841"/>
      <c r="E182" s="1841" t="s">
        <v>1250</v>
      </c>
      <c r="F182" s="1805"/>
      <c r="G182" s="1808" t="s">
        <v>549</v>
      </c>
      <c r="H182" s="1809" t="s">
        <v>1247</v>
      </c>
      <c r="I182" s="1809"/>
      <c r="J182" s="1741"/>
      <c r="K182" s="1741"/>
      <c r="L182" s="1841"/>
      <c r="M182" s="1792" t="s">
        <v>172</v>
      </c>
      <c r="N182" s="2787" t="str">
        <f xml:space="preserve">   IF(W182&lt;&gt;"",W182,
    IF(OR(T141="No",E165="X",C174),"",
   SUM(W2_SS_Tax_Withheld,MedCare_Tax_Withheld)))</f>
        <v/>
      </c>
      <c r="O182" s="1805"/>
      <c r="P182" s="1806"/>
      <c r="Q182" s="1821"/>
      <c r="R182" s="1814"/>
      <c r="S182" s="1886"/>
      <c r="T182" s="1886"/>
      <c r="U182" s="1886"/>
      <c r="W182" s="1931"/>
    </row>
    <row r="183" spans="1:23" ht="12.75" customHeight="1">
      <c r="A183" s="1788"/>
      <c r="B183" s="3049"/>
      <c r="C183" s="1791"/>
      <c r="D183" s="1791"/>
      <c r="E183" s="1895" t="str">
        <f>"completing lines"</f>
        <v>completing lines</v>
      </c>
      <c r="F183" s="1803"/>
      <c r="G183" s="1727" t="s">
        <v>549</v>
      </c>
      <c r="H183" s="1712" t="s">
        <v>1249</v>
      </c>
      <c r="I183" s="1712"/>
      <c r="J183" s="1715"/>
      <c r="K183" s="1715"/>
      <c r="L183" s="1791"/>
      <c r="M183" s="1715"/>
      <c r="N183" s="1715"/>
      <c r="O183" s="1805"/>
      <c r="P183" s="1806"/>
      <c r="Q183" s="1788"/>
      <c r="R183" s="1795"/>
      <c r="S183" s="1793"/>
      <c r="T183" s="1793"/>
      <c r="U183" s="1793"/>
    </row>
    <row r="184" spans="1:23" ht="13.5" customHeight="1">
      <c r="A184" s="1788"/>
      <c r="B184" s="3051"/>
      <c r="C184" s="1841"/>
      <c r="D184" s="1895"/>
      <c r="E184" s="1895" t="s">
        <v>1712</v>
      </c>
      <c r="F184" s="1795"/>
      <c r="G184" s="1800"/>
      <c r="H184" s="1800"/>
      <c r="I184" s="1801"/>
      <c r="J184" s="1801"/>
      <c r="K184" s="1801"/>
      <c r="L184" s="1802"/>
      <c r="M184" s="1715"/>
      <c r="N184" s="1715"/>
      <c r="O184" s="1788"/>
      <c r="P184" s="1795"/>
      <c r="Q184" s="1788"/>
      <c r="R184" s="1795"/>
      <c r="S184" s="1795"/>
      <c r="T184" s="1795"/>
      <c r="U184" s="1795"/>
    </row>
    <row r="185" spans="1:23" ht="12.75" customHeight="1" thickBot="1">
      <c r="A185" s="1788"/>
      <c r="B185" s="3049"/>
      <c r="C185" s="1791"/>
      <c r="D185" s="1791"/>
      <c r="E185" s="1791"/>
      <c r="F185" s="1803" t="s">
        <v>123</v>
      </c>
      <c r="G185" s="1807" t="s">
        <v>1202</v>
      </c>
      <c r="H185" s="1807"/>
      <c r="I185" s="1788"/>
      <c r="J185" s="1715"/>
      <c r="K185" s="1715"/>
      <c r="L185" s="1791"/>
      <c r="M185" s="1715"/>
      <c r="N185" s="1715"/>
      <c r="O185" s="1788"/>
      <c r="P185" s="1795"/>
      <c r="Q185" s="1788"/>
      <c r="R185" s="1795"/>
      <c r="S185" s="1793"/>
      <c r="T185" s="1793"/>
      <c r="U185" s="1793"/>
      <c r="W185" s="1930"/>
    </row>
    <row r="186" spans="1:23" s="1860" customFormat="1" ht="16.5" customHeight="1" thickBot="1">
      <c r="A186" s="1788"/>
      <c r="B186" s="1733"/>
      <c r="C186" s="1790"/>
      <c r="D186" s="1790"/>
      <c r="E186" s="1790"/>
      <c r="F186" s="1803"/>
      <c r="G186" s="1808" t="s">
        <v>549</v>
      </c>
      <c r="H186" s="1788" t="s">
        <v>2132</v>
      </c>
      <c r="I186" s="1788"/>
      <c r="J186" s="1715"/>
      <c r="K186" s="1715"/>
      <c r="L186" s="1791"/>
      <c r="M186" s="2569" t="s">
        <v>173</v>
      </c>
      <c r="N186" s="2787" t="str">
        <f xml:space="preserve">   IF(W186&lt;&gt;"",W186,IF(OR(T141="No",E165="X",C174),"",SUM('1040'!V60,'1040'!AB95)))</f>
        <v/>
      </c>
      <c r="O186" s="1788"/>
      <c r="P186" s="1795"/>
      <c r="Q186" s="1788"/>
      <c r="R186" s="1795"/>
      <c r="S186" s="1793"/>
      <c r="T186" s="1793"/>
      <c r="U186" s="1793"/>
      <c r="V186" s="1716"/>
      <c r="W186" s="1931"/>
    </row>
    <row r="187" spans="1:23" ht="16.5" customHeight="1">
      <c r="A187" s="1788"/>
      <c r="B187" s="1733"/>
      <c r="C187" s="1790"/>
      <c r="D187" s="1790"/>
      <c r="E187" s="1790"/>
      <c r="F187" s="1803"/>
      <c r="G187" s="1808" t="s">
        <v>549</v>
      </c>
      <c r="H187" s="1809" t="s">
        <v>1272</v>
      </c>
      <c r="I187" s="1809"/>
      <c r="J187" s="1715"/>
      <c r="K187" s="1715"/>
      <c r="L187" s="1791"/>
      <c r="M187" s="1715"/>
      <c r="N187" s="1715"/>
      <c r="O187" s="1788"/>
      <c r="P187" s="1795"/>
      <c r="Q187" s="1715"/>
      <c r="R187" s="1795"/>
      <c r="S187" s="1793"/>
      <c r="T187" s="1793"/>
      <c r="U187" s="1793"/>
    </row>
    <row r="188" spans="1:23" ht="12.75" customHeight="1">
      <c r="A188" s="1788"/>
      <c r="B188" s="1733"/>
      <c r="C188" s="1790"/>
      <c r="D188" s="1790"/>
      <c r="E188" s="1790"/>
      <c r="F188" s="1803"/>
      <c r="G188" s="1727"/>
      <c r="H188" s="1712" t="s">
        <v>3083</v>
      </c>
      <c r="I188" s="1712"/>
      <c r="J188" s="1715"/>
      <c r="K188" s="1715"/>
      <c r="L188" s="1791"/>
      <c r="M188" s="1715"/>
      <c r="N188" s="1715"/>
      <c r="O188" s="1788"/>
      <c r="P188" s="1795"/>
      <c r="Q188" s="1788"/>
      <c r="R188" s="1795"/>
      <c r="S188" s="1793"/>
      <c r="T188" s="1793"/>
      <c r="U188" s="1793"/>
    </row>
    <row r="189" spans="1:23" ht="17.25" customHeight="1">
      <c r="A189" s="1848"/>
      <c r="B189" s="1887"/>
      <c r="C189" s="1804"/>
      <c r="D189" s="1804"/>
      <c r="E189" s="1804"/>
      <c r="F189" s="1888"/>
      <c r="G189" s="1889"/>
      <c r="H189" s="1889"/>
      <c r="I189" s="1889"/>
      <c r="J189" s="1890"/>
      <c r="K189" s="1890"/>
      <c r="L189" s="1891"/>
      <c r="M189" s="1890"/>
      <c r="N189" s="1890"/>
      <c r="O189" s="1888"/>
      <c r="P189" s="1892"/>
      <c r="Q189" s="1848"/>
      <c r="R189" s="1893"/>
      <c r="S189" s="1894"/>
      <c r="T189" s="1894"/>
      <c r="U189" s="1894"/>
    </row>
    <row r="190" spans="1:23" ht="10.5" customHeight="1">
      <c r="A190" s="1848"/>
      <c r="B190" s="1887"/>
      <c r="C190" s="1804"/>
      <c r="D190" s="1888"/>
      <c r="E190" s="1889"/>
      <c r="F190" s="1889"/>
      <c r="G190" s="1889"/>
      <c r="H190" s="1890"/>
      <c r="I190" s="1890"/>
      <c r="J190" s="1891"/>
      <c r="K190" s="1890"/>
      <c r="L190" s="1890"/>
      <c r="M190" s="1888"/>
      <c r="N190" s="1892"/>
      <c r="O190" s="1848"/>
      <c r="P190" s="1893"/>
      <c r="Q190" s="1894"/>
      <c r="R190" s="1894"/>
      <c r="S190" s="1894"/>
      <c r="T190" s="1894"/>
      <c r="U190" s="1716"/>
    </row>
    <row r="191" spans="1:23" ht="5.25" customHeight="1" thickBot="1">
      <c r="A191" s="1788"/>
      <c r="B191" s="1794"/>
      <c r="C191" s="1794"/>
      <c r="D191" s="1795"/>
      <c r="E191" s="1800"/>
      <c r="F191" s="1800"/>
      <c r="G191" s="1801"/>
      <c r="H191" s="1801"/>
      <c r="I191" s="1801"/>
      <c r="J191" s="1802"/>
      <c r="K191" s="1715"/>
      <c r="L191" s="1715"/>
      <c r="M191" s="1788"/>
      <c r="N191" s="1795"/>
      <c r="O191" s="1788"/>
      <c r="P191" s="1795"/>
      <c r="Q191" s="1795"/>
      <c r="R191" s="1795"/>
      <c r="S191" s="1795"/>
      <c r="T191" s="1795"/>
      <c r="U191" s="1716"/>
    </row>
    <row r="192" spans="1:23" ht="16.5" customHeight="1" thickBot="1">
      <c r="A192" s="1788"/>
      <c r="B192" s="1733"/>
      <c r="C192" s="1790"/>
      <c r="D192" s="1803" t="s">
        <v>338</v>
      </c>
      <c r="E192" s="1788" t="s">
        <v>1251</v>
      </c>
      <c r="F192" s="1788"/>
      <c r="G192" s="1788"/>
      <c r="H192" s="1715"/>
      <c r="I192" s="1715"/>
      <c r="J192" s="1791"/>
      <c r="K192" s="1715"/>
      <c r="L192" s="1715"/>
      <c r="M192" s="1792" t="s">
        <v>174</v>
      </c>
      <c r="N192" s="2787" t="str">
        <f xml:space="preserve"> IF(W192&lt;&gt;"",W192,
   IF(OR(T141="No",E165="X",C174),"",
    SUM(N182,N186)))</f>
        <v/>
      </c>
      <c r="O192" s="1788"/>
      <c r="P192" s="1795"/>
      <c r="Q192" s="1793"/>
      <c r="R192" s="1793"/>
      <c r="S192" s="1793"/>
      <c r="T192" s="1793"/>
      <c r="U192" s="1716"/>
      <c r="W192" s="1931"/>
    </row>
    <row r="193" spans="1:23" ht="6" customHeight="1">
      <c r="A193" s="1788"/>
      <c r="B193" s="1794"/>
      <c r="C193" s="1794"/>
      <c r="D193" s="1795"/>
      <c r="E193" s="1796"/>
      <c r="F193" s="1796"/>
      <c r="G193" s="1797"/>
      <c r="H193" s="1797"/>
      <c r="I193" s="1797"/>
      <c r="J193" s="1798"/>
      <c r="K193" s="1715"/>
      <c r="L193" s="1715"/>
      <c r="M193" s="1788"/>
      <c r="N193" s="1788"/>
      <c r="O193" s="1788"/>
      <c r="P193" s="1788"/>
      <c r="Q193" s="1788"/>
      <c r="R193" s="1788"/>
      <c r="S193" s="1788"/>
      <c r="T193" s="1788"/>
      <c r="U193" s="1716"/>
    </row>
    <row r="194" spans="1:23" ht="27" customHeight="1" thickBot="1">
      <c r="A194" s="1766"/>
      <c r="B194" s="1766"/>
      <c r="C194" s="1825" t="s">
        <v>1252</v>
      </c>
      <c r="D194" s="1768"/>
      <c r="E194" s="1766"/>
      <c r="F194" s="1766"/>
      <c r="G194" s="1766"/>
      <c r="H194" s="1766"/>
      <c r="I194" s="1766"/>
      <c r="J194" s="1826"/>
      <c r="K194" s="1766"/>
      <c r="L194" s="1766"/>
      <c r="M194" s="1766"/>
      <c r="N194" s="1766"/>
      <c r="O194" s="1827"/>
      <c r="P194" s="1825" t="str">
        <f>"Publication 972 ("&amp;TaxYear&amp;")"</f>
        <v>Publication 972 (2016)</v>
      </c>
      <c r="Q194" s="1766"/>
      <c r="R194" s="1766"/>
      <c r="S194" s="1766"/>
      <c r="T194" s="1766"/>
      <c r="U194" s="1716"/>
    </row>
    <row r="195" spans="1:23" ht="30.75" customHeight="1" thickBot="1">
      <c r="A195" s="1870"/>
      <c r="B195" s="1871" t="s">
        <v>1541</v>
      </c>
      <c r="C195" s="1872"/>
      <c r="D195" s="1873"/>
      <c r="E195" s="1874"/>
      <c r="F195" s="1874"/>
      <c r="G195" s="1874"/>
      <c r="H195" s="1874"/>
      <c r="I195" s="1874"/>
      <c r="J195" s="1875"/>
      <c r="K195" s="1874"/>
      <c r="L195" s="1874"/>
      <c r="M195" s="1874"/>
      <c r="N195" s="1876"/>
      <c r="O195" s="1874"/>
      <c r="P195" s="1877"/>
      <c r="Q195" s="1896"/>
      <c r="R195" s="1896"/>
      <c r="S195" s="1896"/>
      <c r="T195" s="1896"/>
      <c r="U195" s="1716"/>
    </row>
    <row r="196" spans="1:23" ht="7.5" customHeight="1" thickTop="1">
      <c r="A196" s="1741"/>
      <c r="B196" s="1741"/>
      <c r="C196" s="1741"/>
      <c r="D196" s="1805"/>
      <c r="E196" s="1817"/>
      <c r="F196" s="1817"/>
      <c r="G196" s="1821"/>
      <c r="H196" s="1741"/>
      <c r="I196" s="1741"/>
      <c r="J196" s="1776"/>
      <c r="K196" s="1741"/>
      <c r="L196" s="1741"/>
      <c r="M196" s="1741"/>
      <c r="N196" s="1741"/>
      <c r="O196" s="1741"/>
      <c r="P196" s="1741"/>
      <c r="Q196" s="1741"/>
      <c r="R196" s="1741"/>
      <c r="S196" s="1741"/>
      <c r="T196" s="1741"/>
      <c r="U196" s="1716"/>
    </row>
    <row r="197" spans="1:23" ht="9" customHeight="1" thickBot="1">
      <c r="A197" s="1788"/>
      <c r="B197" s="1794"/>
      <c r="C197" s="1794"/>
      <c r="D197" s="1795"/>
      <c r="E197" s="1843"/>
      <c r="F197" s="1843"/>
      <c r="G197" s="1788"/>
      <c r="H197" s="1788"/>
      <c r="I197" s="1788"/>
      <c r="J197" s="1733"/>
      <c r="K197" s="1715"/>
      <c r="L197" s="1715"/>
      <c r="M197" s="1788"/>
      <c r="N197" s="1795"/>
      <c r="O197" s="1788"/>
      <c r="P197" s="1795"/>
      <c r="Q197" s="1795"/>
      <c r="R197" s="1795"/>
      <c r="S197" s="1795"/>
      <c r="T197" s="1795"/>
      <c r="U197" s="1716"/>
    </row>
    <row r="198" spans="1:23" ht="17.25" customHeight="1" thickBot="1">
      <c r="A198" s="1788"/>
      <c r="B198" s="1733"/>
      <c r="C198" s="1790"/>
      <c r="D198" s="1803" t="s">
        <v>339</v>
      </c>
      <c r="E198" s="1790" t="s">
        <v>2134</v>
      </c>
      <c r="F198" s="1790"/>
      <c r="G198" s="1788"/>
      <c r="H198" s="1715"/>
      <c r="I198" s="1715"/>
      <c r="J198" s="1791"/>
      <c r="K198" s="1715"/>
      <c r="L198" s="1715"/>
      <c r="M198" s="1792" t="s">
        <v>175</v>
      </c>
      <c r="N198" s="2787" t="str">
        <f xml:space="preserve"> IF(W198&lt;&gt;"",W198,
   IF(OR(T141="No",E165="X",C174),"",
   SUM('1040'!V104,ExcessSSTax)))</f>
        <v/>
      </c>
      <c r="O198" s="1788"/>
      <c r="P198" s="1795"/>
      <c r="Q198" s="1793"/>
      <c r="R198" s="1793"/>
      <c r="S198" s="1793"/>
      <c r="T198" s="1793"/>
      <c r="U198" s="1716"/>
      <c r="W198" s="1931"/>
    </row>
    <row r="199" spans="1:23" ht="12" customHeight="1">
      <c r="A199" s="1788"/>
      <c r="B199" s="1733"/>
      <c r="C199" s="1790"/>
      <c r="D199" s="1803"/>
      <c r="E199" s="1788" t="s">
        <v>2133</v>
      </c>
      <c r="F199" s="1788"/>
      <c r="G199" s="1788"/>
      <c r="H199" s="1715"/>
      <c r="I199" s="1715"/>
      <c r="J199" s="1791"/>
      <c r="K199" s="1715"/>
      <c r="L199" s="1715"/>
      <c r="M199" s="1788"/>
      <c r="N199" s="1788"/>
      <c r="O199" s="1788"/>
      <c r="P199" s="1795"/>
      <c r="Q199" s="1793"/>
      <c r="R199" s="1793"/>
      <c r="S199" s="1793"/>
      <c r="T199" s="1793"/>
      <c r="U199" s="1716"/>
    </row>
    <row r="200" spans="1:23" ht="9" customHeight="1">
      <c r="A200" s="1788"/>
      <c r="B200" s="1794"/>
      <c r="C200" s="1794"/>
      <c r="D200" s="1795"/>
      <c r="E200" s="1843"/>
      <c r="F200" s="1843"/>
      <c r="G200" s="1788"/>
      <c r="H200" s="1788"/>
      <c r="I200" s="1788"/>
      <c r="J200" s="1733"/>
      <c r="K200" s="1715"/>
      <c r="L200" s="1715"/>
      <c r="M200" s="1788"/>
      <c r="N200" s="1795"/>
      <c r="O200" s="1797"/>
      <c r="P200" s="1824"/>
      <c r="Q200" s="1795"/>
      <c r="R200" s="1795"/>
      <c r="S200" s="1795"/>
      <c r="T200" s="1795"/>
      <c r="U200" s="1716"/>
    </row>
    <row r="201" spans="1:23" ht="19.5" customHeight="1">
      <c r="A201" s="1788"/>
      <c r="B201" s="1733"/>
      <c r="C201" s="1790"/>
      <c r="D201" s="1803" t="s">
        <v>477</v>
      </c>
      <c r="E201" s="1788" t="s">
        <v>1253</v>
      </c>
      <c r="F201" s="1788"/>
      <c r="G201" s="1788"/>
      <c r="H201" s="1715"/>
      <c r="I201" s="1715"/>
      <c r="J201" s="1791"/>
      <c r="K201" s="1715"/>
      <c r="L201" s="1715"/>
      <c r="M201" s="1788"/>
      <c r="N201" s="3052"/>
      <c r="O201" s="1792" t="s">
        <v>176</v>
      </c>
      <c r="P201" s="2787">
        <f>IF(OR(NOT(D166),NOT(C174)),0,
  IF(OR(T141="No",E174),"",
  IF(SUM(N192,-N198)&lt;=0,0,
       SUM(N192,-N198))))</f>
        <v>0</v>
      </c>
      <c r="Q201" s="3053"/>
      <c r="R201" s="1793"/>
      <c r="S201" s="1793"/>
      <c r="T201" s="1793"/>
      <c r="U201" s="1716"/>
    </row>
    <row r="202" spans="1:23" ht="14.25" customHeight="1">
      <c r="A202" s="1788"/>
      <c r="B202" s="1794"/>
      <c r="C202" s="1794"/>
      <c r="D202" s="1795"/>
      <c r="E202" s="1897"/>
      <c r="F202" s="1897"/>
      <c r="G202" s="1788"/>
      <c r="H202" s="1788"/>
      <c r="I202" s="1788"/>
      <c r="J202" s="1733"/>
      <c r="K202" s="1788"/>
      <c r="L202" s="1788"/>
      <c r="M202" s="1788"/>
      <c r="N202" s="1788"/>
      <c r="O202" s="1788"/>
      <c r="P202" s="1788"/>
      <c r="Q202" s="1788"/>
      <c r="R202" s="1788"/>
      <c r="S202" s="1788"/>
      <c r="T202" s="1788"/>
      <c r="U202" s="1716"/>
    </row>
    <row r="203" spans="1:23" s="1900" customFormat="1" ht="10.5" customHeight="1">
      <c r="A203" s="1788"/>
      <c r="B203" s="1794"/>
      <c r="C203" s="1794"/>
      <c r="D203" s="1795"/>
      <c r="E203" s="1898"/>
      <c r="F203" s="1898"/>
      <c r="G203" s="1801"/>
      <c r="H203" s="1801"/>
      <c r="I203" s="1801"/>
      <c r="J203" s="1802"/>
      <c r="K203" s="1801"/>
      <c r="L203" s="1801"/>
      <c r="M203" s="1801"/>
      <c r="N203" s="1801"/>
      <c r="O203" s="1788"/>
      <c r="P203" s="1788"/>
      <c r="Q203" s="1788"/>
      <c r="R203" s="1788"/>
      <c r="S203" s="1788"/>
      <c r="T203" s="1788"/>
      <c r="U203" s="1899"/>
      <c r="V203" s="1899"/>
      <c r="W203" s="1899"/>
    </row>
    <row r="204" spans="1:23" ht="21" customHeight="1">
      <c r="A204" s="1788"/>
      <c r="B204" s="1733"/>
      <c r="C204" s="1790"/>
      <c r="D204" s="1805" t="s">
        <v>478</v>
      </c>
      <c r="E204" s="1923" t="s">
        <v>1254</v>
      </c>
      <c r="F204" s="1923"/>
      <c r="G204" s="1923"/>
      <c r="H204" s="1741"/>
      <c r="I204" s="1741"/>
      <c r="J204" s="1788"/>
      <c r="K204" s="1788"/>
      <c r="L204" s="1788"/>
      <c r="M204" s="1788"/>
      <c r="N204" s="1788"/>
      <c r="O204" s="1792" t="s">
        <v>1233</v>
      </c>
      <c r="P204" s="2787" t="str">
        <f>IF(OR(E166,T141="No"),"",MAX(P160,P201))</f>
        <v/>
      </c>
      <c r="Q204" s="1793"/>
      <c r="R204" s="1793"/>
      <c r="S204" s="1793"/>
      <c r="T204" s="1793"/>
      <c r="U204" s="1716"/>
    </row>
    <row r="205" spans="1:23" ht="7.5" customHeight="1">
      <c r="A205" s="1788"/>
      <c r="B205" s="1794"/>
      <c r="C205" s="1794"/>
      <c r="D205" s="1795"/>
      <c r="E205" s="1842"/>
      <c r="F205" s="1842"/>
      <c r="G205" s="1797"/>
      <c r="H205" s="1797"/>
      <c r="I205" s="1797"/>
      <c r="J205" s="1798"/>
      <c r="K205" s="1901"/>
      <c r="L205" s="1901"/>
      <c r="M205" s="1797"/>
      <c r="N205" s="1824"/>
      <c r="O205" s="1788"/>
      <c r="P205" s="1795"/>
      <c r="Q205" s="1795"/>
      <c r="R205" s="1795"/>
      <c r="S205" s="1795"/>
      <c r="T205" s="1795"/>
      <c r="U205" s="1716"/>
    </row>
    <row r="206" spans="1:23" ht="15.75" customHeight="1">
      <c r="A206" s="1788"/>
      <c r="B206" s="1794"/>
      <c r="C206" s="1794"/>
      <c r="D206" s="1803" t="s">
        <v>479</v>
      </c>
      <c r="E206" s="1819" t="str">
        <f>"   Is the amount on line "&amp;O204&amp;" of this worksheet more than the amount on line "&amp;O144&amp;"?"</f>
        <v xml:space="preserve">   Is the amount on line 11 of this worksheet more than the amount on line 1?</v>
      </c>
      <c r="F206" s="1819"/>
      <c r="G206" s="1788"/>
      <c r="H206" s="1788"/>
      <c r="I206" s="1788"/>
      <c r="J206" s="1733"/>
      <c r="K206" s="1788"/>
      <c r="L206" s="1788"/>
      <c r="M206" s="1788"/>
      <c r="N206" s="1795"/>
      <c r="O206" s="1788"/>
      <c r="P206" s="1795"/>
      <c r="Q206" s="1795"/>
      <c r="R206" s="1795"/>
      <c r="S206" s="1795"/>
      <c r="T206" s="1795"/>
      <c r="U206" s="1716"/>
    </row>
    <row r="207" spans="1:23" ht="8.25" customHeight="1" thickBot="1">
      <c r="A207" s="1715"/>
      <c r="B207" s="1715"/>
      <c r="C207" s="1715"/>
      <c r="D207" s="1764"/>
      <c r="E207" s="1715"/>
      <c r="F207" s="1715"/>
      <c r="G207" s="1715"/>
      <c r="H207" s="1715"/>
      <c r="I207" s="1715"/>
      <c r="J207" s="1765"/>
      <c r="K207" s="1715"/>
      <c r="L207" s="1715"/>
      <c r="M207" s="1715"/>
      <c r="N207" s="1715"/>
      <c r="O207" s="1715"/>
      <c r="P207" s="1715"/>
      <c r="Q207" s="1715"/>
      <c r="R207" s="1715"/>
      <c r="S207" s="1715"/>
      <c r="T207" s="1715"/>
      <c r="U207" s="1716"/>
    </row>
    <row r="208" spans="1:23" ht="15" customHeight="1" thickBot="1">
      <c r="A208" s="1715"/>
      <c r="B208" s="1715"/>
      <c r="C208" s="1715"/>
      <c r="D208" s="1764"/>
      <c r="E208" s="2789" t="str">
        <f>IF(AND(E165="X",D166),"",IF(T141="No","",IF(P204&gt;P144,"","X")))</f>
        <v/>
      </c>
      <c r="F208" s="1924" t="s">
        <v>297</v>
      </c>
      <c r="G208" s="1715" t="str">
        <f>"Subtract line "&amp;O204&amp;" from line "&amp;O144&amp;". Enter the result."</f>
        <v>Subtract line 11 from line 1. Enter the result.</v>
      </c>
      <c r="H208" s="1715"/>
      <c r="I208" s="1715"/>
      <c r="J208" s="1765"/>
      <c r="K208" s="1715"/>
      <c r="L208" s="1715"/>
      <c r="M208" s="1715"/>
      <c r="N208" s="1715"/>
      <c r="O208" s="1715"/>
      <c r="P208" s="1715"/>
      <c r="Q208" s="1715"/>
      <c r="R208" s="1715"/>
      <c r="S208" s="1715"/>
      <c r="T208" s="1715"/>
      <c r="U208" s="1716"/>
    </row>
    <row r="209" spans="1:21" ht="14.25" customHeight="1" thickBot="1">
      <c r="A209" s="1715"/>
      <c r="B209" s="1715"/>
      <c r="C209" s="1715"/>
      <c r="D209" s="1844"/>
      <c r="E209" s="1715"/>
      <c r="F209" s="1715"/>
      <c r="G209" s="1715"/>
      <c r="H209" s="1715"/>
      <c r="I209" s="1715"/>
      <c r="J209" s="1765"/>
      <c r="K209" s="1715"/>
      <c r="L209" s="1715"/>
      <c r="M209" s="1715"/>
      <c r="N209" s="1715"/>
      <c r="O209" s="1792" t="s">
        <v>355</v>
      </c>
      <c r="P209" s="2787" t="str">
        <f>IF(OR(E166,T141="No"),"",IF(E210="X",0,SUM(P144,-P204)))</f>
        <v/>
      </c>
      <c r="Q209" s="1715"/>
      <c r="R209" s="1715"/>
      <c r="S209" s="1715"/>
      <c r="T209" s="1715"/>
      <c r="U209" s="1716"/>
    </row>
    <row r="210" spans="1:21" ht="17.25" customHeight="1" thickBot="1">
      <c r="A210" s="1715"/>
      <c r="B210" s="1715"/>
      <c r="C210" s="1715"/>
      <c r="D210" s="1764"/>
      <c r="E210" s="2789" t="str">
        <f>IF(AND(E165="X",D166),"",IF(T141="No","",IF(P204&gt;P144,"X","")))</f>
        <v/>
      </c>
      <c r="F210" s="1924" t="s">
        <v>265</v>
      </c>
      <c r="G210" s="1715" t="s">
        <v>667</v>
      </c>
      <c r="H210" s="1715"/>
      <c r="I210" s="1715"/>
      <c r="J210" s="1765"/>
      <c r="K210" s="1715"/>
      <c r="L210" s="1715"/>
      <c r="M210" s="1715"/>
      <c r="N210" s="1715"/>
      <c r="O210" s="1715"/>
      <c r="P210" s="1715"/>
      <c r="Q210" s="1715"/>
      <c r="R210" s="1715"/>
      <c r="S210" s="1715"/>
      <c r="T210" s="1715"/>
      <c r="U210" s="1716"/>
    </row>
    <row r="211" spans="1:21" ht="8.25" customHeight="1">
      <c r="A211" s="1715" t="s">
        <v>1255</v>
      </c>
      <c r="B211" s="1715"/>
      <c r="C211" s="1715"/>
      <c r="D211" s="1764"/>
      <c r="E211" s="1796"/>
      <c r="F211" s="1796"/>
      <c r="G211" s="1797"/>
      <c r="H211" s="1797"/>
      <c r="I211" s="1797"/>
      <c r="J211" s="1798"/>
      <c r="K211" s="1797"/>
      <c r="L211" s="1797"/>
      <c r="M211" s="1797"/>
      <c r="N211" s="1797"/>
      <c r="O211" s="1715"/>
      <c r="P211" s="1715"/>
      <c r="Q211" s="1715"/>
      <c r="R211" s="1715"/>
      <c r="S211" s="1715"/>
      <c r="T211" s="1715"/>
      <c r="U211" s="1716"/>
    </row>
    <row r="212" spans="1:21" ht="6.75" customHeight="1">
      <c r="A212" s="1788"/>
      <c r="B212" s="1794"/>
      <c r="C212" s="1794"/>
      <c r="D212" s="1795"/>
      <c r="E212" s="1843"/>
      <c r="F212" s="1843"/>
      <c r="G212" s="1788"/>
      <c r="H212" s="1788"/>
      <c r="I212" s="1788"/>
      <c r="J212" s="1733"/>
      <c r="K212" s="1715"/>
      <c r="L212" s="1715"/>
      <c r="M212" s="1788"/>
      <c r="N212" s="1795"/>
      <c r="O212" s="1788"/>
      <c r="P212" s="1795"/>
      <c r="Q212" s="1795"/>
      <c r="R212" s="1795"/>
      <c r="S212" s="1795"/>
      <c r="T212" s="1795"/>
      <c r="U212" s="1716"/>
    </row>
    <row r="213" spans="1:21">
      <c r="A213" s="1788"/>
      <c r="B213" s="1794"/>
      <c r="C213" s="1794"/>
      <c r="D213" s="1795"/>
      <c r="E213" s="1819" t="s">
        <v>1273</v>
      </c>
      <c r="F213" s="1834"/>
      <c r="G213" s="1788"/>
      <c r="H213" s="1788"/>
      <c r="I213" s="1788"/>
      <c r="J213" s="1733"/>
      <c r="K213" s="1715"/>
      <c r="L213" s="1715"/>
      <c r="M213" s="1788"/>
      <c r="N213" s="1795"/>
      <c r="O213" s="1788"/>
      <c r="P213" s="1795"/>
      <c r="Q213" s="1795"/>
      <c r="R213" s="1795"/>
      <c r="S213" s="1795"/>
      <c r="T213" s="1795"/>
      <c r="U213" s="1716"/>
    </row>
    <row r="214" spans="1:21">
      <c r="A214" s="1788"/>
      <c r="B214" s="1794"/>
      <c r="C214" s="1794"/>
      <c r="D214" s="1795"/>
      <c r="E214" s="1819" t="str">
        <f>"Use the amount from line "&amp;12&amp;" above when you are asked to enter the amount"</f>
        <v>Use the amount from line 12 above when you are asked to enter the amount</v>
      </c>
      <c r="F214" s="1819"/>
      <c r="G214" s="1788"/>
      <c r="H214" s="1788"/>
      <c r="I214" s="1788"/>
      <c r="J214" s="1733"/>
      <c r="K214" s="1715"/>
      <c r="L214" s="1715"/>
      <c r="M214" s="1788"/>
      <c r="N214" s="1795"/>
      <c r="O214" s="1788"/>
      <c r="P214" s="1795"/>
      <c r="Q214" s="1795"/>
      <c r="R214" s="1795"/>
      <c r="S214" s="1795"/>
      <c r="T214" s="1795"/>
      <c r="U214" s="1716"/>
    </row>
    <row r="215" spans="1:21">
      <c r="A215" s="1788"/>
      <c r="B215" s="1794"/>
      <c r="C215" s="1794"/>
      <c r="D215" s="1795"/>
      <c r="E215" s="1819" t="s">
        <v>1256</v>
      </c>
      <c r="F215" s="1819"/>
      <c r="G215" s="1788"/>
      <c r="H215" s="1788"/>
      <c r="I215" s="1788"/>
      <c r="J215" s="1733"/>
      <c r="K215" s="1715"/>
      <c r="L215" s="1715"/>
      <c r="M215" s="1788"/>
      <c r="N215" s="1795"/>
      <c r="O215" s="1788"/>
      <c r="P215" s="1795"/>
      <c r="Q215" s="1795"/>
      <c r="R215" s="1795"/>
      <c r="S215" s="1795"/>
      <c r="T215" s="1795"/>
      <c r="U215" s="1716"/>
    </row>
    <row r="216" spans="1:21" ht="6.75" customHeight="1">
      <c r="A216" s="1788"/>
      <c r="B216" s="1794"/>
      <c r="C216" s="1794"/>
      <c r="D216" s="1795"/>
      <c r="E216" s="1819"/>
      <c r="F216" s="1819"/>
      <c r="G216" s="1788"/>
      <c r="H216" s="1788"/>
      <c r="I216" s="1788"/>
      <c r="J216" s="1733"/>
      <c r="K216" s="1715"/>
      <c r="L216" s="1715"/>
      <c r="M216" s="1788"/>
      <c r="N216" s="1795"/>
      <c r="O216" s="1788"/>
      <c r="P216" s="1795"/>
      <c r="Q216" s="1795"/>
      <c r="R216" s="1795"/>
      <c r="S216" s="1795"/>
      <c r="T216" s="1795"/>
      <c r="U216" s="1716"/>
    </row>
    <row r="217" spans="1:21">
      <c r="A217" s="1788"/>
      <c r="B217" s="1794"/>
      <c r="C217" s="1794"/>
      <c r="D217" s="1795"/>
      <c r="E217" s="1808" t="s">
        <v>549</v>
      </c>
      <c r="F217" s="1808"/>
      <c r="G217" s="1788" t="s">
        <v>1232</v>
      </c>
      <c r="H217" s="1788"/>
      <c r="I217" s="1788"/>
      <c r="J217" s="1733"/>
      <c r="K217" s="1715"/>
      <c r="L217" s="1715"/>
      <c r="M217" s="1788"/>
      <c r="N217" s="1795"/>
      <c r="O217" s="1788"/>
      <c r="P217" s="1795"/>
      <c r="Q217" s="1795"/>
      <c r="R217" s="1795"/>
      <c r="S217" s="1795"/>
      <c r="T217" s="1795"/>
      <c r="U217" s="1716"/>
    </row>
    <row r="218" spans="1:21">
      <c r="A218" s="1788"/>
      <c r="B218" s="1794"/>
      <c r="C218" s="1794"/>
      <c r="D218" s="1795"/>
      <c r="E218" s="1808" t="s">
        <v>549</v>
      </c>
      <c r="F218" s="1808"/>
      <c r="G218" s="1788" t="s">
        <v>1538</v>
      </c>
      <c r="H218" s="1788"/>
      <c r="I218" s="1788"/>
      <c r="J218" s="1733"/>
      <c r="K218" s="1715"/>
      <c r="L218" s="1715"/>
      <c r="M218" s="1788"/>
      <c r="N218" s="1795"/>
      <c r="O218" s="1788"/>
      <c r="P218" s="1795"/>
      <c r="Q218" s="1795"/>
      <c r="R218" s="1795"/>
      <c r="S218" s="1795"/>
      <c r="T218" s="1795"/>
      <c r="U218" s="1716"/>
    </row>
    <row r="219" spans="1:21">
      <c r="A219" s="1788"/>
      <c r="B219" s="1794"/>
      <c r="C219" s="1794"/>
      <c r="D219" s="1795"/>
      <c r="E219" s="1808" t="s">
        <v>549</v>
      </c>
      <c r="F219" s="1808"/>
      <c r="G219" s="1788" t="s">
        <v>1707</v>
      </c>
      <c r="H219" s="1788"/>
      <c r="I219" s="1788"/>
      <c r="J219" s="1733"/>
      <c r="K219" s="1715"/>
      <c r="L219" s="1715"/>
      <c r="M219" s="1788"/>
      <c r="N219" s="1795"/>
      <c r="O219" s="1788"/>
      <c r="P219" s="1795"/>
      <c r="Q219" s="1795"/>
      <c r="R219" s="1795"/>
      <c r="S219" s="1795"/>
      <c r="T219" s="1795"/>
      <c r="U219" s="1716"/>
    </row>
    <row r="220" spans="1:21">
      <c r="A220" s="1788"/>
      <c r="B220" s="1794"/>
      <c r="C220" s="1794"/>
      <c r="D220" s="1795"/>
      <c r="E220" s="1808" t="s">
        <v>549</v>
      </c>
      <c r="F220" s="1808"/>
      <c r="G220" s="1788" t="s">
        <v>230</v>
      </c>
      <c r="H220" s="1788"/>
      <c r="I220" s="1788"/>
      <c r="J220" s="1733"/>
      <c r="K220" s="1715"/>
      <c r="L220" s="1715"/>
      <c r="M220" s="1788"/>
      <c r="N220" s="1795"/>
      <c r="O220" s="1788"/>
      <c r="P220" s="1795"/>
      <c r="Q220" s="1795"/>
      <c r="R220" s="1795"/>
      <c r="S220" s="1795"/>
      <c r="T220" s="1795"/>
      <c r="U220" s="1716"/>
    </row>
    <row r="221" spans="1:21" ht="6.75" customHeight="1">
      <c r="A221" s="1788"/>
      <c r="B221" s="1794"/>
      <c r="C221" s="1794"/>
      <c r="D221" s="1795"/>
      <c r="E221" s="1819"/>
      <c r="F221" s="1819"/>
      <c r="G221" s="1788"/>
      <c r="H221" s="1788"/>
      <c r="I221" s="1788"/>
      <c r="J221" s="1733"/>
      <c r="K221" s="1715"/>
      <c r="L221" s="1715"/>
      <c r="M221" s="1788"/>
      <c r="N221" s="1795"/>
      <c r="O221" s="1788"/>
      <c r="P221" s="1795"/>
      <c r="Q221" s="1795"/>
      <c r="R221" s="1795"/>
      <c r="S221" s="1795"/>
      <c r="T221" s="1795"/>
      <c r="U221" s="1716"/>
    </row>
    <row r="222" spans="1:21">
      <c r="A222" s="1788"/>
      <c r="B222" s="1794"/>
      <c r="C222" s="1794"/>
      <c r="D222" s="1795"/>
      <c r="E222" s="1855" t="s">
        <v>1274</v>
      </c>
      <c r="F222" s="1855"/>
      <c r="G222" s="1788"/>
      <c r="H222" s="1788"/>
      <c r="I222" s="1788"/>
      <c r="J222" s="1733"/>
      <c r="K222" s="1715"/>
      <c r="L222" s="1715"/>
      <c r="M222" s="1788"/>
      <c r="N222" s="1795"/>
      <c r="O222" s="1788"/>
      <c r="P222" s="1795"/>
      <c r="Q222" s="1795"/>
      <c r="R222" s="1795"/>
      <c r="S222" s="1795"/>
      <c r="T222" s="1795"/>
      <c r="U222" s="1716"/>
    </row>
    <row r="223" spans="1:21" ht="7.5" customHeight="1">
      <c r="A223" s="1715" t="s">
        <v>1255</v>
      </c>
      <c r="B223" s="1715"/>
      <c r="C223" s="1715"/>
      <c r="D223" s="1764"/>
      <c r="E223" s="1796"/>
      <c r="F223" s="1796"/>
      <c r="G223" s="1797"/>
      <c r="H223" s="1797"/>
      <c r="I223" s="1797"/>
      <c r="J223" s="1798"/>
      <c r="K223" s="1797"/>
      <c r="L223" s="1797"/>
      <c r="M223" s="1797"/>
      <c r="N223" s="1797"/>
      <c r="O223" s="1715"/>
      <c r="P223" s="1715"/>
      <c r="Q223" s="1715"/>
      <c r="R223" s="1715"/>
      <c r="S223" s="1715"/>
      <c r="T223" s="1715"/>
      <c r="U223" s="1716"/>
    </row>
    <row r="224" spans="1:21" ht="6.75" customHeight="1">
      <c r="A224" s="1788"/>
      <c r="B224" s="1794"/>
      <c r="C224" s="1794"/>
      <c r="D224" s="1795"/>
      <c r="E224" s="1819"/>
      <c r="F224" s="1819"/>
      <c r="G224" s="1788"/>
      <c r="H224" s="1788"/>
      <c r="I224" s="1788"/>
      <c r="J224" s="1733"/>
      <c r="K224" s="1715"/>
      <c r="L224" s="1715"/>
      <c r="M224" s="1788"/>
      <c r="N224" s="1795"/>
      <c r="O224" s="1788"/>
      <c r="P224" s="1795"/>
      <c r="Q224" s="1795"/>
      <c r="R224" s="1795"/>
      <c r="S224" s="1795"/>
      <c r="T224" s="1795"/>
      <c r="U224" s="1716"/>
    </row>
    <row r="225" spans="1:21">
      <c r="A225" s="1788"/>
      <c r="B225" s="1794"/>
      <c r="C225" s="1794"/>
      <c r="D225" s="1803" t="s">
        <v>695</v>
      </c>
      <c r="E225" s="1819" t="s">
        <v>1257</v>
      </c>
      <c r="F225" s="1819"/>
      <c r="G225" s="1788"/>
      <c r="H225" s="1788"/>
      <c r="I225" s="1788"/>
      <c r="J225" s="1733"/>
      <c r="K225" s="1715"/>
      <c r="L225" s="1715"/>
      <c r="M225" s="1788"/>
      <c r="N225" s="1795"/>
      <c r="O225" s="1788"/>
      <c r="P225" s="1795"/>
      <c r="Q225" s="1795"/>
      <c r="R225" s="1795"/>
      <c r="S225" s="1795"/>
      <c r="T225" s="1795"/>
      <c r="U225" s="1716"/>
    </row>
    <row r="226" spans="1:21" ht="5.25" customHeight="1">
      <c r="A226" s="1788"/>
      <c r="B226" s="1794"/>
      <c r="C226" s="1794"/>
      <c r="D226" s="1803"/>
      <c r="E226" s="1819"/>
      <c r="F226" s="1819"/>
      <c r="G226" s="1788"/>
      <c r="H226" s="1788"/>
      <c r="I226" s="1788"/>
      <c r="J226" s="1733"/>
      <c r="K226" s="1715"/>
      <c r="L226" s="1715"/>
      <c r="M226" s="1788"/>
      <c r="N226" s="1795"/>
      <c r="O226" s="1788"/>
      <c r="P226" s="1795"/>
      <c r="Q226" s="1795"/>
      <c r="R226" s="1795"/>
      <c r="S226" s="1795"/>
      <c r="T226" s="1795"/>
      <c r="U226" s="1716"/>
    </row>
    <row r="227" spans="1:21" ht="15.75">
      <c r="A227" s="1788"/>
      <c r="B227" s="1794"/>
      <c r="C227" s="1794"/>
      <c r="D227" s="1803"/>
      <c r="E227" s="1808" t="s">
        <v>549</v>
      </c>
      <c r="F227" s="1808"/>
      <c r="G227" s="1821" t="s">
        <v>1542</v>
      </c>
      <c r="H227" s="1788"/>
      <c r="I227" s="1788"/>
      <c r="J227" s="1902"/>
      <c r="K227" s="1810" t="str">
        <f>IF(AND(R9&lt;&gt;"",J227=""),"¬","")</f>
        <v/>
      </c>
      <c r="L227" s="1715"/>
      <c r="M227" s="1743" t="str">
        <f>IF(AND(R9&lt;&gt;"",J227=""),"Enter amount here.","")</f>
        <v/>
      </c>
      <c r="N227" s="1743"/>
      <c r="O227" s="1788"/>
      <c r="P227" s="1795"/>
      <c r="Q227" s="1795"/>
      <c r="R227" s="1795"/>
      <c r="S227" s="1795"/>
      <c r="T227" s="1795"/>
      <c r="U227" s="1716"/>
    </row>
    <row r="228" spans="1:21" ht="15.75">
      <c r="A228" s="1788"/>
      <c r="B228" s="1794"/>
      <c r="C228" s="1794"/>
      <c r="D228" s="1803"/>
      <c r="E228" s="1808" t="s">
        <v>549</v>
      </c>
      <c r="F228" s="1808"/>
      <c r="G228" s="1821" t="s">
        <v>1713</v>
      </c>
      <c r="H228" s="1788"/>
      <c r="I228" s="1788"/>
      <c r="J228" s="1902"/>
      <c r="K228" s="1810" t="str">
        <f>IF(AND(R10&lt;&gt;"",J228=""),"¬","")</f>
        <v/>
      </c>
      <c r="L228" s="1715"/>
      <c r="M228" s="1743" t="str">
        <f>IF(AND(R10&lt;&gt;"",J228=""),"Enter amount here.","")</f>
        <v/>
      </c>
      <c r="N228" s="1743"/>
      <c r="O228" s="1788"/>
      <c r="P228" s="1795"/>
      <c r="Q228" s="1795"/>
      <c r="R228" s="1795"/>
      <c r="S228" s="1795"/>
      <c r="T228" s="1795"/>
      <c r="U228" s="1716"/>
    </row>
    <row r="229" spans="1:21" ht="15.75">
      <c r="A229" s="1788"/>
      <c r="B229" s="1794"/>
      <c r="C229" s="1794"/>
      <c r="D229" s="1803"/>
      <c r="E229" s="1808" t="s">
        <v>549</v>
      </c>
      <c r="F229" s="1808"/>
      <c r="G229" s="1788" t="s">
        <v>1714</v>
      </c>
      <c r="H229" s="1788"/>
      <c r="I229" s="1788"/>
      <c r="J229" s="1902"/>
      <c r="K229" s="1810" t="str">
        <f>IF(AND(R11&lt;&gt;"",J229=""),"¬","")</f>
        <v/>
      </c>
      <c r="L229" s="1715"/>
      <c r="M229" s="1743" t="str">
        <f>IF(AND(R11&lt;&gt;"",J229=""),"Enter amount here.","")</f>
        <v/>
      </c>
      <c r="N229" s="1743"/>
      <c r="O229" s="1792" t="s">
        <v>1237</v>
      </c>
      <c r="P229" s="2787" t="str">
        <f>IF(OR(E166,T141="No"),"",SUM(J227,J228,J229,J230))</f>
        <v/>
      </c>
      <c r="Q229" s="1795"/>
      <c r="R229" s="1795"/>
      <c r="S229" s="1795"/>
      <c r="T229" s="1795"/>
      <c r="U229" s="1716"/>
    </row>
    <row r="230" spans="1:21" ht="15" customHeight="1">
      <c r="A230" s="1788"/>
      <c r="B230" s="1794"/>
      <c r="C230" s="1794"/>
      <c r="D230" s="1803"/>
      <c r="E230" s="1903" t="s">
        <v>549</v>
      </c>
      <c r="F230" s="1903"/>
      <c r="G230" s="1845" t="s">
        <v>1715</v>
      </c>
      <c r="H230" s="1788"/>
      <c r="I230" s="1788"/>
      <c r="J230" s="1902"/>
      <c r="K230" s="1810" t="str">
        <f>IF(AND(R12&lt;&gt;"",J230=""),"¬","")</f>
        <v/>
      </c>
      <c r="L230" s="1715"/>
      <c r="M230" s="1743" t="str">
        <f>IF(AND(R12&lt;&gt;"",J230=""),"Enter amount here.","")</f>
        <v/>
      </c>
      <c r="N230" s="1743"/>
      <c r="O230" s="1788"/>
      <c r="P230" s="1795"/>
      <c r="Q230" s="1795"/>
      <c r="R230" s="1795"/>
      <c r="S230" s="1795"/>
      <c r="T230" s="1795"/>
      <c r="U230" s="1716"/>
    </row>
    <row r="231" spans="1:21" ht="6" customHeight="1">
      <c r="A231" s="1788"/>
      <c r="B231" s="1794"/>
      <c r="C231" s="1794"/>
      <c r="D231" s="1795"/>
      <c r="E231" s="1796"/>
      <c r="F231" s="1796"/>
      <c r="G231" s="1797"/>
      <c r="H231" s="1797"/>
      <c r="I231" s="1797"/>
      <c r="J231" s="1798"/>
      <c r="K231" s="1797"/>
      <c r="L231" s="1797"/>
      <c r="M231" s="1797"/>
      <c r="N231" s="1797"/>
      <c r="O231" s="1788"/>
      <c r="P231" s="1795"/>
      <c r="Q231" s="1795"/>
      <c r="R231" s="1795"/>
      <c r="S231" s="1795"/>
      <c r="T231" s="1795"/>
      <c r="U231" s="1716"/>
    </row>
    <row r="232" spans="1:21" ht="9" customHeight="1">
      <c r="A232" s="1788"/>
      <c r="B232" s="1794"/>
      <c r="C232" s="1794"/>
      <c r="D232" s="1795"/>
      <c r="E232" s="1843"/>
      <c r="F232" s="1843"/>
      <c r="G232" s="1788"/>
      <c r="H232" s="1788"/>
      <c r="I232" s="1788"/>
      <c r="J232" s="1733"/>
      <c r="K232" s="1715"/>
      <c r="L232" s="1715"/>
      <c r="M232" s="1788"/>
      <c r="N232" s="1795"/>
      <c r="O232" s="1788"/>
      <c r="P232" s="1795"/>
      <c r="Q232" s="1795"/>
      <c r="R232" s="1795"/>
      <c r="S232" s="1795"/>
      <c r="T232" s="1795"/>
      <c r="U232" s="1716"/>
    </row>
    <row r="233" spans="1:21" ht="21" customHeight="1">
      <c r="A233" s="1788"/>
      <c r="B233" s="1733"/>
      <c r="C233" s="1790"/>
      <c r="D233" s="1803" t="s">
        <v>696</v>
      </c>
      <c r="E233" s="1788" t="s">
        <v>1543</v>
      </c>
      <c r="F233" s="1788"/>
      <c r="G233" s="1788"/>
      <c r="H233" s="1715"/>
      <c r="I233" s="1715"/>
      <c r="J233" s="1791"/>
      <c r="K233" s="1715"/>
      <c r="L233" s="1715"/>
      <c r="M233" s="1788"/>
      <c r="N233" s="1788"/>
      <c r="O233" s="1792" t="s">
        <v>1258</v>
      </c>
      <c r="P233" s="2787" t="str">
        <f>IF(OR(E166,T141="No"),"",N98)</f>
        <v/>
      </c>
      <c r="Q233" s="1793"/>
      <c r="R233" s="1793"/>
      <c r="S233" s="1793"/>
      <c r="T233" s="1793"/>
      <c r="U233" s="1716"/>
    </row>
    <row r="234" spans="1:21" ht="15" customHeight="1">
      <c r="A234" s="1788"/>
      <c r="B234" s="1794"/>
      <c r="C234" s="1794"/>
      <c r="D234" s="1795"/>
      <c r="E234" s="1796"/>
      <c r="F234" s="1796"/>
      <c r="G234" s="1797"/>
      <c r="H234" s="1797"/>
      <c r="I234" s="1797"/>
      <c r="J234" s="1798"/>
      <c r="K234" s="1797"/>
      <c r="L234" s="1797"/>
      <c r="M234" s="1797"/>
      <c r="N234" s="1797"/>
      <c r="O234" s="1788"/>
      <c r="P234" s="1788"/>
      <c r="Q234" s="1788"/>
      <c r="R234" s="1788"/>
      <c r="S234" s="1788"/>
      <c r="T234" s="1788"/>
      <c r="U234" s="1716"/>
    </row>
    <row r="235" spans="1:21" ht="7.5" customHeight="1" thickBot="1">
      <c r="A235" s="1788"/>
      <c r="B235" s="1794"/>
      <c r="C235" s="1794"/>
      <c r="D235" s="1795"/>
      <c r="E235" s="1847"/>
      <c r="F235" s="1847"/>
      <c r="G235" s="1788"/>
      <c r="H235" s="1788"/>
      <c r="I235" s="1788"/>
      <c r="J235" s="1733"/>
      <c r="K235" s="1788"/>
      <c r="L235" s="1788"/>
      <c r="M235" s="1788"/>
      <c r="N235" s="1788"/>
      <c r="O235" s="1788"/>
      <c r="P235" s="1788"/>
      <c r="Q235" s="1788"/>
      <c r="R235" s="1788"/>
      <c r="S235" s="1788"/>
      <c r="T235" s="1788"/>
      <c r="U235" s="1716"/>
    </row>
    <row r="236" spans="1:21" ht="17.25" customHeight="1" thickTop="1" thickBot="1">
      <c r="A236" s="1788"/>
      <c r="B236" s="1794"/>
      <c r="C236" s="1794"/>
      <c r="D236" s="1803" t="s">
        <v>697</v>
      </c>
      <c r="E236" s="1788" t="str">
        <f>"  Add lines "&amp;13&amp;" and "&amp;14&amp;". Enter the total."</f>
        <v xml:space="preserve">  Add lines 13 and 14. Enter the total.</v>
      </c>
      <c r="F236" s="1788"/>
      <c r="G236" s="1788"/>
      <c r="H236" s="1788"/>
      <c r="I236" s="1788"/>
      <c r="J236" s="1733"/>
      <c r="K236" s="1788"/>
      <c r="L236" s="1788"/>
      <c r="M236" s="1788"/>
      <c r="N236" s="1788"/>
      <c r="O236" s="1852" t="s">
        <v>1259</v>
      </c>
      <c r="P236" s="2797" t="str">
        <f>IF(OR(E166,T141="No"),"",SUM(P229,P233))</f>
        <v/>
      </c>
      <c r="Q236" s="1788"/>
      <c r="R236" s="1788"/>
      <c r="S236" s="1788"/>
      <c r="T236" s="1788"/>
      <c r="U236" s="1716"/>
    </row>
    <row r="237" spans="1:21" ht="15" customHeight="1" thickTop="1">
      <c r="A237" s="1788"/>
      <c r="B237" s="1794"/>
      <c r="C237" s="1794"/>
      <c r="D237" s="1795"/>
      <c r="E237" s="1847"/>
      <c r="F237" s="1847"/>
      <c r="G237" s="1788"/>
      <c r="H237" s="1788"/>
      <c r="I237" s="1788"/>
      <c r="J237" s="1733"/>
      <c r="K237" s="1788"/>
      <c r="L237" s="1788"/>
      <c r="M237" s="1788"/>
      <c r="N237" s="1788"/>
      <c r="O237" s="1904" t="s">
        <v>747</v>
      </c>
      <c r="P237" s="1788"/>
      <c r="Q237" s="1788"/>
      <c r="R237" s="1788"/>
      <c r="S237" s="1788"/>
      <c r="T237" s="1788"/>
      <c r="U237" s="1716"/>
    </row>
    <row r="238" spans="1:21">
      <c r="A238" s="1788"/>
      <c r="B238" s="1794"/>
      <c r="C238" s="1794"/>
      <c r="D238" s="1795"/>
      <c r="E238" s="1843"/>
      <c r="F238" s="1843"/>
      <c r="G238" s="1788"/>
      <c r="H238" s="1788"/>
      <c r="I238" s="1788"/>
      <c r="J238" s="1733"/>
      <c r="K238" s="1715"/>
      <c r="L238" s="1715"/>
      <c r="M238" s="1788"/>
      <c r="N238" s="1795"/>
      <c r="O238" s="1904" t="str">
        <f>"line "&amp;O108&amp;" of the Child"</f>
        <v>line 11 of the Child</v>
      </c>
      <c r="P238" s="1795"/>
      <c r="Q238" s="1795"/>
      <c r="R238" s="1795"/>
      <c r="S238" s="1795"/>
      <c r="T238" s="1795"/>
      <c r="U238" s="1716"/>
    </row>
    <row r="239" spans="1:21">
      <c r="A239" s="1788"/>
      <c r="B239" s="1794"/>
      <c r="C239" s="1794"/>
      <c r="D239" s="1795"/>
      <c r="E239" s="1843"/>
      <c r="F239" s="1843"/>
      <c r="G239" s="1788"/>
      <c r="H239" s="1788"/>
      <c r="I239" s="1788"/>
      <c r="J239" s="1733"/>
      <c r="K239" s="1715"/>
      <c r="L239" s="1715"/>
      <c r="M239" s="1788"/>
      <c r="N239" s="1795"/>
      <c r="O239" s="1904" t="s">
        <v>1260</v>
      </c>
      <c r="P239" s="1795"/>
      <c r="Q239" s="1795"/>
      <c r="R239" s="1795"/>
      <c r="S239" s="1795"/>
      <c r="T239" s="1795"/>
      <c r="U239" s="1716"/>
    </row>
    <row r="240" spans="1:21" ht="6.75" customHeight="1">
      <c r="A240" s="1788"/>
      <c r="B240" s="1794"/>
      <c r="C240" s="1794"/>
      <c r="D240" s="1795"/>
      <c r="E240" s="1843"/>
      <c r="F240" s="1843"/>
      <c r="G240" s="1788"/>
      <c r="H240" s="1788"/>
      <c r="I240" s="1788"/>
      <c r="J240" s="1733"/>
      <c r="K240" s="1715"/>
      <c r="L240" s="1715"/>
      <c r="M240" s="1788"/>
      <c r="N240" s="1795"/>
      <c r="O240" s="1904"/>
      <c r="P240" s="1795"/>
      <c r="Q240" s="1795"/>
      <c r="R240" s="1795"/>
      <c r="S240" s="1795"/>
      <c r="T240" s="1795"/>
      <c r="U240" s="1716"/>
    </row>
    <row r="241" spans="1:23" s="1911" customFormat="1" ht="6.75" customHeight="1">
      <c r="A241" s="1904"/>
      <c r="B241" s="1905"/>
      <c r="C241" s="1905"/>
      <c r="D241" s="1906"/>
      <c r="E241" s="1907"/>
      <c r="F241" s="1907"/>
      <c r="G241" s="1908"/>
      <c r="H241" s="1908"/>
      <c r="I241" s="1908"/>
      <c r="J241" s="1909"/>
      <c r="K241" s="1908"/>
      <c r="L241" s="1908"/>
      <c r="M241" s="1908"/>
      <c r="N241" s="1908"/>
      <c r="O241" s="1908"/>
      <c r="P241" s="1908"/>
      <c r="Q241" s="1904"/>
      <c r="R241" s="1904"/>
      <c r="S241" s="1904"/>
      <c r="T241" s="1904"/>
      <c r="U241" s="1910"/>
      <c r="V241" s="1910"/>
      <c r="W241" s="1910"/>
    </row>
    <row r="242" spans="1:23" ht="9" customHeight="1">
      <c r="A242" s="1715"/>
      <c r="B242" s="1715"/>
      <c r="C242" s="1715"/>
      <c r="D242" s="1764"/>
      <c r="E242" s="1715"/>
      <c r="F242" s="1715"/>
      <c r="G242" s="1715"/>
      <c r="H242" s="1715"/>
      <c r="I242" s="1715"/>
      <c r="J242" s="1765"/>
      <c r="K242" s="1715"/>
      <c r="L242" s="1715"/>
      <c r="M242" s="1715"/>
      <c r="N242" s="1715"/>
      <c r="O242" s="1715"/>
      <c r="P242" s="1715"/>
      <c r="Q242" s="1715"/>
      <c r="R242" s="1715"/>
      <c r="S242" s="1715"/>
      <c r="T242" s="1715"/>
      <c r="U242" s="1716"/>
    </row>
    <row r="243" spans="1:23" s="1916" customFormat="1" ht="41.25" customHeight="1" thickBot="1">
      <c r="A243" s="1912"/>
      <c r="B243" s="2786" t="str">
        <f>"Publication 972 ("&amp;TaxYear&amp;")"</f>
        <v>Publication 972 (2016)</v>
      </c>
      <c r="C243" s="1913"/>
      <c r="D243" s="1768"/>
      <c r="E243" s="1766"/>
      <c r="F243" s="1766"/>
      <c r="G243" s="1766"/>
      <c r="H243" s="1766"/>
      <c r="I243" s="1766"/>
      <c r="J243" s="1826"/>
      <c r="K243" s="1766"/>
      <c r="L243" s="1766"/>
      <c r="M243" s="1766"/>
      <c r="N243" s="1766"/>
      <c r="O243" s="1827"/>
      <c r="P243" s="1825"/>
      <c r="Q243" s="1914" t="s">
        <v>1261</v>
      </c>
      <c r="R243" s="1766"/>
      <c r="S243" s="1766"/>
      <c r="T243" s="1766"/>
      <c r="U243" s="1915"/>
      <c r="V243" s="1915"/>
      <c r="W243" s="1915"/>
    </row>
  </sheetData>
  <sheetProtection password="F07E" sheet="1" objects="1" scenarios="1"/>
  <mergeCells count="5">
    <mergeCell ref="C174:F174"/>
    <mergeCell ref="B30:C30"/>
    <mergeCell ref="K30:N30"/>
    <mergeCell ref="B84:C84"/>
    <mergeCell ref="D166:E166"/>
  </mergeCells>
  <conditionalFormatting sqref="E146:Q146">
    <cfRule type="expression" dxfId="1606" priority="68" stopIfTrue="1">
      <formula>IF($T$146="No",1,0)</formula>
    </cfRule>
  </conditionalFormatting>
  <conditionalFormatting sqref="J234">
    <cfRule type="expression" dxfId="1605" priority="71" stopIfTrue="1">
      <formula>IF(#REF!&lt;&gt;"",1,0)</formula>
    </cfRule>
  </conditionalFormatting>
  <conditionalFormatting sqref="D13">
    <cfRule type="cellIs" dxfId="1604" priority="73" stopIfTrue="1" operator="equal">
      <formula>"Complete."</formula>
    </cfRule>
  </conditionalFormatting>
  <conditionalFormatting sqref="G170">
    <cfRule type="expression" dxfId="1603" priority="66" stopIfTrue="1">
      <formula>IF(AND($E$165="X",NOT($D$166)),1,0)</formula>
    </cfRule>
  </conditionalFormatting>
  <conditionalFormatting sqref="G171">
    <cfRule type="expression" dxfId="1602" priority="65" stopIfTrue="1">
      <formula>IF(AND($E$165="X",NOT($D$166)),1,0)</formula>
    </cfRule>
  </conditionalFormatting>
  <conditionalFormatting sqref="G166">
    <cfRule type="expression" dxfId="1601" priority="64" stopIfTrue="1">
      <formula>IF(AND($E$165="X",$D$166),1,0)</formula>
    </cfRule>
  </conditionalFormatting>
  <conditionalFormatting sqref="G167:G169">
    <cfRule type="expression" dxfId="1600" priority="63" stopIfTrue="1">
      <formula>IF(AND($E$165="X",$D$166),1,0)</formula>
    </cfRule>
  </conditionalFormatting>
  <conditionalFormatting sqref="J227:J228">
    <cfRule type="expression" dxfId="1599" priority="56" stopIfTrue="1">
      <formula>IF(R9&lt;&gt;"",1,0)</formula>
    </cfRule>
  </conditionalFormatting>
  <conditionalFormatting sqref="J229">
    <cfRule type="expression" dxfId="1598" priority="53" stopIfTrue="1">
      <formula>IF(R11&lt;&gt;"",1,0)</formula>
    </cfRule>
  </conditionalFormatting>
  <conditionalFormatting sqref="J230">
    <cfRule type="expression" dxfId="1597" priority="52" stopIfTrue="1">
      <formula>IF(R12&lt;&gt;"",1,0)</formula>
    </cfRule>
  </conditionalFormatting>
  <conditionalFormatting sqref="G173:G174">
    <cfRule type="expression" dxfId="1596" priority="672" stopIfTrue="1">
      <formula>IF(AND($E$173="X",$C$174),1,0)</formula>
    </cfRule>
  </conditionalFormatting>
  <conditionalFormatting sqref="G175">
    <cfRule type="expression" dxfId="1595" priority="674" stopIfTrue="1">
      <formula>IF(AND($T$141="Yes",$E$173&lt;&gt;"",NOT($C$174)),1,0)</formula>
    </cfRule>
  </conditionalFormatting>
  <conditionalFormatting sqref="R4">
    <cfRule type="expression" dxfId="1594" priority="51">
      <formula>IF(NoColor,1,0)</formula>
    </cfRule>
  </conditionalFormatting>
  <conditionalFormatting sqref="J30">
    <cfRule type="expression" dxfId="1593" priority="49">
      <formula>IF(NoColor,1,0)</formula>
    </cfRule>
  </conditionalFormatting>
  <conditionalFormatting sqref="P30">
    <cfRule type="expression" dxfId="1592" priority="48">
      <formula>IF(NoColor,1,0)</formula>
    </cfRule>
  </conditionalFormatting>
  <conditionalFormatting sqref="N34">
    <cfRule type="expression" dxfId="1591" priority="47">
      <formula>IF(NoColor,1,0)</formula>
    </cfRule>
  </conditionalFormatting>
  <conditionalFormatting sqref="N45">
    <cfRule type="expression" dxfId="1590" priority="45">
      <formula>IF(NoColor,1,0)</formula>
    </cfRule>
  </conditionalFormatting>
  <conditionalFormatting sqref="N51">
    <cfRule type="expression" dxfId="1589" priority="44">
      <formula>IF(NoColor,1,0)</formula>
    </cfRule>
  </conditionalFormatting>
  <conditionalFormatting sqref="N59">
    <cfRule type="expression" dxfId="1588" priority="43">
      <formula>IF(NoColor,1,0)</formula>
    </cfRule>
  </conditionalFormatting>
  <conditionalFormatting sqref="P66">
    <cfRule type="expression" dxfId="1587" priority="42">
      <formula>IF(NoColor,1,0)</formula>
    </cfRule>
  </conditionalFormatting>
  <conditionalFormatting sqref="E58">
    <cfRule type="expression" dxfId="1586" priority="41">
      <formula>IF(NoColor,1,0)</formula>
    </cfRule>
  </conditionalFormatting>
  <conditionalFormatting sqref="E60">
    <cfRule type="expression" dxfId="1585" priority="40">
      <formula>IF(NoColor,1,0)</formula>
    </cfRule>
  </conditionalFormatting>
  <conditionalFormatting sqref="E71">
    <cfRule type="expression" dxfId="1584" priority="39">
      <formula>IF(NoColor,1,0)</formula>
    </cfRule>
  </conditionalFormatting>
  <conditionalFormatting sqref="E78">
    <cfRule type="expression" dxfId="1583" priority="38">
      <formula>IF(NoColor,1,0)</formula>
    </cfRule>
  </conditionalFormatting>
  <conditionalFormatting sqref="E107">
    <cfRule type="expression" dxfId="1582" priority="37">
      <formula>IF(NoColor,1,0)</formula>
    </cfRule>
  </conditionalFormatting>
  <conditionalFormatting sqref="E109">
    <cfRule type="expression" dxfId="1581" priority="36">
      <formula>IF(NoColor,1,0)</formula>
    </cfRule>
  </conditionalFormatting>
  <conditionalFormatting sqref="E118">
    <cfRule type="expression" dxfId="1580" priority="35">
      <formula>IF(NoColor,1,0)</formula>
    </cfRule>
  </conditionalFormatting>
  <conditionalFormatting sqref="E120">
    <cfRule type="expression" dxfId="1579" priority="34">
      <formula>IF(NoColor,1,0)</formula>
    </cfRule>
  </conditionalFormatting>
  <conditionalFormatting sqref="E153">
    <cfRule type="expression" dxfId="1578" priority="33">
      <formula>IF(NoColor,1,0)</formula>
    </cfRule>
  </conditionalFormatting>
  <conditionalFormatting sqref="E156">
    <cfRule type="expression" dxfId="1577" priority="32">
      <formula>IF(NoColor,1,0)</formula>
    </cfRule>
  </conditionalFormatting>
  <conditionalFormatting sqref="E165">
    <cfRule type="expression" dxfId="1576" priority="31">
      <formula>IF(NoColor,1,0)</formula>
    </cfRule>
  </conditionalFormatting>
  <conditionalFormatting sqref="E173">
    <cfRule type="expression" dxfId="1575" priority="30">
      <formula>IF(NoColor,1,0)</formula>
    </cfRule>
  </conditionalFormatting>
  <conditionalFormatting sqref="E208">
    <cfRule type="expression" dxfId="1574" priority="29">
      <formula>IF(NoColor,1,0)</formula>
    </cfRule>
  </conditionalFormatting>
  <conditionalFormatting sqref="E210">
    <cfRule type="expression" dxfId="1573" priority="28">
      <formula>IF(NoColor,1,0)</formula>
    </cfRule>
  </conditionalFormatting>
  <conditionalFormatting sqref="P77">
    <cfRule type="expression" dxfId="1572" priority="27">
      <formula>IF(NoColor,1,0)</formula>
    </cfRule>
  </conditionalFormatting>
  <conditionalFormatting sqref="P84">
    <cfRule type="expression" dxfId="1571" priority="26">
      <formula>IF(NoColor,1,0)</formula>
    </cfRule>
  </conditionalFormatting>
  <conditionalFormatting sqref="P108">
    <cfRule type="expression" dxfId="1570" priority="25">
      <formula>IF(NoColor,1,0)</formula>
    </cfRule>
  </conditionalFormatting>
  <conditionalFormatting sqref="P114">
    <cfRule type="expression" dxfId="1569" priority="24">
      <formula>IF(NoColor,1,0)</formula>
    </cfRule>
  </conditionalFormatting>
  <conditionalFormatting sqref="P119">
    <cfRule type="expression" dxfId="1568" priority="23">
      <formula>IF(NoColor,1,0)</formula>
    </cfRule>
  </conditionalFormatting>
  <conditionalFormatting sqref="P144">
    <cfRule type="expression" dxfId="1567" priority="22">
      <formula>IF(NoColor,1,0)</formula>
    </cfRule>
  </conditionalFormatting>
  <conditionalFormatting sqref="P160">
    <cfRule type="expression" dxfId="1566" priority="21">
      <formula>IF(NoColor,1,0)</formula>
    </cfRule>
  </conditionalFormatting>
  <conditionalFormatting sqref="P201">
    <cfRule type="expression" dxfId="1565" priority="20">
      <formula>IF(NoColor,1,0)</formula>
    </cfRule>
  </conditionalFormatting>
  <conditionalFormatting sqref="P204">
    <cfRule type="expression" dxfId="1564" priority="19">
      <formula>IF(NoColor,1,0)</formula>
    </cfRule>
  </conditionalFormatting>
  <conditionalFormatting sqref="P209">
    <cfRule type="expression" dxfId="1563" priority="18">
      <formula>IF(NoColor,1,0)</formula>
    </cfRule>
  </conditionalFormatting>
  <conditionalFormatting sqref="P229">
    <cfRule type="expression" dxfId="1562" priority="17">
      <formula>IF(NoColor,1,0)</formula>
    </cfRule>
  </conditionalFormatting>
  <conditionalFormatting sqref="P233">
    <cfRule type="expression" dxfId="1561" priority="16">
      <formula>IF(NoColor,1,0)</formula>
    </cfRule>
  </conditionalFormatting>
  <conditionalFormatting sqref="P236">
    <cfRule type="expression" dxfId="1560" priority="15">
      <formula>IF(NoColor,1,0)</formula>
    </cfRule>
  </conditionalFormatting>
  <conditionalFormatting sqref="T141">
    <cfRule type="expression" dxfId="1559" priority="14">
      <formula>IF(NoColor,1,0)</formula>
    </cfRule>
  </conditionalFormatting>
  <conditionalFormatting sqref="N147">
    <cfRule type="expression" dxfId="1558" priority="13">
      <formula>IF(NoColor,1,0)</formula>
    </cfRule>
  </conditionalFormatting>
  <conditionalFormatting sqref="N155">
    <cfRule type="expression" dxfId="1557" priority="12">
      <formula>IF(NoColor,1,0)</formula>
    </cfRule>
  </conditionalFormatting>
  <conditionalFormatting sqref="N182">
    <cfRule type="expression" dxfId="1556" priority="11">
      <formula>IF(NoColor,1,0)</formula>
    </cfRule>
  </conditionalFormatting>
  <conditionalFormatting sqref="N186">
    <cfRule type="expression" dxfId="1555" priority="10">
      <formula>IF(NoColor,1,0)</formula>
    </cfRule>
  </conditionalFormatting>
  <conditionalFormatting sqref="N192">
    <cfRule type="expression" dxfId="1554" priority="9">
      <formula>IF(NoColor,1,0)</formula>
    </cfRule>
  </conditionalFormatting>
  <conditionalFormatting sqref="N198">
    <cfRule type="expression" dxfId="1553" priority="8">
      <formula>IF(NoColor,1,0)</formula>
    </cfRule>
  </conditionalFormatting>
  <conditionalFormatting sqref="N89:N92">
    <cfRule type="expression" dxfId="1552" priority="7">
      <formula>IF(NoColor,1,0)</formula>
    </cfRule>
  </conditionalFormatting>
  <conditionalFormatting sqref="N93:N96">
    <cfRule type="expression" dxfId="1551" priority="6">
      <formula>IF(NoColor,1,0)</formula>
    </cfRule>
  </conditionalFormatting>
  <conditionalFormatting sqref="N98">
    <cfRule type="expression" dxfId="1550" priority="5">
      <formula>IF(NoColor,1,0)</formula>
    </cfRule>
  </conditionalFormatting>
  <conditionalFormatting sqref="Q9:R12">
    <cfRule type="expression" dxfId="1549" priority="4">
      <formula>IF(NoColor,1,0)</formula>
    </cfRule>
  </conditionalFormatting>
  <conditionalFormatting sqref="Q4">
    <cfRule type="expression" dxfId="1548" priority="3">
      <formula>IF(NoColor,1,0)</formula>
    </cfRule>
  </conditionalFormatting>
  <conditionalFormatting sqref="N40">
    <cfRule type="expression" dxfId="1547" priority="1">
      <formula>IF(NoColor,1,0)</formula>
    </cfRule>
  </conditionalFormatting>
  <printOptions gridLines="1" gridLinesSet="0"/>
  <pageMargins left="0.54" right="0.27" top="0.42" bottom="0.34" header="0.41" footer="0.27"/>
  <pageSetup scale="86" fitToHeight="0" orientation="portrait" horizontalDpi="120" verticalDpi="144" r:id="rId1"/>
  <headerFooter alignWithMargins="0"/>
  <rowBreaks count="4" manualBreakCount="4">
    <brk id="19" min="1" max="18" man="1"/>
    <brk id="81" min="1" max="16" man="1"/>
    <brk id="136" min="1" max="16" man="1"/>
    <brk id="194" min="1" max="16"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45"/>
  <sheetViews>
    <sheetView zoomScaleNormal="100" zoomScaleSheetLayoutView="100" workbookViewId="0">
      <pane ySplit="1" topLeftCell="A2" activePane="bottomLeft" state="frozen"/>
      <selection activeCell="D26" sqref="D26"/>
      <selection pane="bottomLeft" activeCell="H39" sqref="H39"/>
    </sheetView>
  </sheetViews>
  <sheetFormatPr defaultRowHeight="12.75"/>
  <cols>
    <col min="1" max="1" width="9.7109375" style="35" customWidth="1"/>
    <col min="2" max="2" width="3.140625" style="3469" customWidth="1"/>
    <col min="3" max="3" width="3.85546875" style="35" customWidth="1"/>
    <col min="4" max="7" width="9.140625" style="35"/>
    <col min="8" max="9" width="3.140625" style="35" customWidth="1"/>
    <col min="10" max="10" width="9.140625" style="35"/>
    <col min="11" max="11" width="10.28515625" style="35" customWidth="1"/>
    <col min="12" max="12" width="11" style="35" customWidth="1"/>
    <col min="13" max="13" width="10.140625" style="35" customWidth="1"/>
    <col min="14" max="14" width="10.42578125" style="20" customWidth="1"/>
    <col min="15" max="15" width="9.85546875" style="35" customWidth="1"/>
    <col min="16" max="16" width="1" style="35" customWidth="1"/>
    <col min="17" max="17" width="3" style="35" customWidth="1"/>
    <col min="18" max="18" width="1" style="35" customWidth="1"/>
    <col min="19" max="19" width="3" style="35" customWidth="1"/>
    <col min="20" max="20" width="1" style="35" customWidth="1"/>
    <col min="21" max="21" width="3" style="35" customWidth="1"/>
    <col min="22" max="22" width="1" style="35" customWidth="1"/>
    <col min="23" max="23" width="3" style="35" customWidth="1"/>
    <col min="24" max="24" width="1" style="35" customWidth="1"/>
    <col min="25" max="26" width="3" style="35" customWidth="1"/>
    <col min="27" max="32" width="9.140625" style="35"/>
    <col min="33" max="34" width="9.140625" style="20" hidden="1" customWidth="1"/>
    <col min="35" max="41" width="9.140625" style="35" hidden="1" customWidth="1"/>
    <col min="42" max="256" width="9.140625" style="35"/>
    <col min="257" max="257" width="3.42578125" style="35" customWidth="1"/>
    <col min="258" max="258" width="3.140625" style="35" customWidth="1"/>
    <col min="259" max="259" width="3.85546875" style="35" customWidth="1"/>
    <col min="260" max="263" width="9.140625" style="35"/>
    <col min="264" max="265" width="3.140625" style="35" customWidth="1"/>
    <col min="266" max="267" width="9.140625" style="35"/>
    <col min="268" max="268" width="10.42578125" style="35" customWidth="1"/>
    <col min="269" max="269" width="11.28515625" style="35" customWidth="1"/>
    <col min="270" max="270" width="8.140625" style="35" customWidth="1"/>
    <col min="271" max="271" width="9.85546875" style="35" customWidth="1"/>
    <col min="272" max="272" width="1" style="35" customWidth="1"/>
    <col min="273" max="273" width="3" style="35" customWidth="1"/>
    <col min="274" max="274" width="1" style="35" customWidth="1"/>
    <col min="275" max="275" width="3" style="35" customWidth="1"/>
    <col min="276" max="276" width="1" style="35" customWidth="1"/>
    <col min="277" max="277" width="3" style="35" customWidth="1"/>
    <col min="278" max="278" width="1" style="35" customWidth="1"/>
    <col min="279" max="279" width="3" style="35" customWidth="1"/>
    <col min="280" max="280" width="1" style="35" customWidth="1"/>
    <col min="281" max="282" width="3" style="35" customWidth="1"/>
    <col min="283" max="288" width="9.140625" style="35"/>
    <col min="289" max="295" width="0" style="35" hidden="1" customWidth="1"/>
    <col min="296" max="512" width="9.140625" style="35"/>
    <col min="513" max="513" width="3.42578125" style="35" customWidth="1"/>
    <col min="514" max="514" width="3.140625" style="35" customWidth="1"/>
    <col min="515" max="515" width="3.85546875" style="35" customWidth="1"/>
    <col min="516" max="519" width="9.140625" style="35"/>
    <col min="520" max="521" width="3.140625" style="35" customWidth="1"/>
    <col min="522" max="523" width="9.140625" style="35"/>
    <col min="524" max="524" width="10.42578125" style="35" customWidth="1"/>
    <col min="525" max="525" width="11.28515625" style="35" customWidth="1"/>
    <col min="526" max="526" width="8.140625" style="35" customWidth="1"/>
    <col min="527" max="527" width="9.85546875" style="35" customWidth="1"/>
    <col min="528" max="528" width="1" style="35" customWidth="1"/>
    <col min="529" max="529" width="3" style="35" customWidth="1"/>
    <col min="530" max="530" width="1" style="35" customWidth="1"/>
    <col min="531" max="531" width="3" style="35" customWidth="1"/>
    <col min="532" max="532" width="1" style="35" customWidth="1"/>
    <col min="533" max="533" width="3" style="35" customWidth="1"/>
    <col min="534" max="534" width="1" style="35" customWidth="1"/>
    <col min="535" max="535" width="3" style="35" customWidth="1"/>
    <col min="536" max="536" width="1" style="35" customWidth="1"/>
    <col min="537" max="538" width="3" style="35" customWidth="1"/>
    <col min="539" max="544" width="9.140625" style="35"/>
    <col min="545" max="551" width="0" style="35" hidden="1" customWidth="1"/>
    <col min="552" max="768" width="9.140625" style="35"/>
    <col min="769" max="769" width="3.42578125" style="35" customWidth="1"/>
    <col min="770" max="770" width="3.140625" style="35" customWidth="1"/>
    <col min="771" max="771" width="3.85546875" style="35" customWidth="1"/>
    <col min="772" max="775" width="9.140625" style="35"/>
    <col min="776" max="777" width="3.140625" style="35" customWidth="1"/>
    <col min="778" max="779" width="9.140625" style="35"/>
    <col min="780" max="780" width="10.42578125" style="35" customWidth="1"/>
    <col min="781" max="781" width="11.28515625" style="35" customWidth="1"/>
    <col min="782" max="782" width="8.140625" style="35" customWidth="1"/>
    <col min="783" max="783" width="9.85546875" style="35" customWidth="1"/>
    <col min="784" max="784" width="1" style="35" customWidth="1"/>
    <col min="785" max="785" width="3" style="35" customWidth="1"/>
    <col min="786" max="786" width="1" style="35" customWidth="1"/>
    <col min="787" max="787" width="3" style="35" customWidth="1"/>
    <col min="788" max="788" width="1" style="35" customWidth="1"/>
    <col min="789" max="789" width="3" style="35" customWidth="1"/>
    <col min="790" max="790" width="1" style="35" customWidth="1"/>
    <col min="791" max="791" width="3" style="35" customWidth="1"/>
    <col min="792" max="792" width="1" style="35" customWidth="1"/>
    <col min="793" max="794" width="3" style="35" customWidth="1"/>
    <col min="795" max="800" width="9.140625" style="35"/>
    <col min="801" max="807" width="0" style="35" hidden="1" customWidth="1"/>
    <col min="808" max="1024" width="9.140625" style="35"/>
    <col min="1025" max="1025" width="3.42578125" style="35" customWidth="1"/>
    <col min="1026" max="1026" width="3.140625" style="35" customWidth="1"/>
    <col min="1027" max="1027" width="3.85546875" style="35" customWidth="1"/>
    <col min="1028" max="1031" width="9.140625" style="35"/>
    <col min="1032" max="1033" width="3.140625" style="35" customWidth="1"/>
    <col min="1034" max="1035" width="9.140625" style="35"/>
    <col min="1036" max="1036" width="10.42578125" style="35" customWidth="1"/>
    <col min="1037" max="1037" width="11.28515625" style="35" customWidth="1"/>
    <col min="1038" max="1038" width="8.140625" style="35" customWidth="1"/>
    <col min="1039" max="1039" width="9.85546875" style="35" customWidth="1"/>
    <col min="1040" max="1040" width="1" style="35" customWidth="1"/>
    <col min="1041" max="1041" width="3" style="35" customWidth="1"/>
    <col min="1042" max="1042" width="1" style="35" customWidth="1"/>
    <col min="1043" max="1043" width="3" style="35" customWidth="1"/>
    <col min="1044" max="1044" width="1" style="35" customWidth="1"/>
    <col min="1045" max="1045" width="3" style="35" customWidth="1"/>
    <col min="1046" max="1046" width="1" style="35" customWidth="1"/>
    <col min="1047" max="1047" width="3" style="35" customWidth="1"/>
    <col min="1048" max="1048" width="1" style="35" customWidth="1"/>
    <col min="1049" max="1050" width="3" style="35" customWidth="1"/>
    <col min="1051" max="1056" width="9.140625" style="35"/>
    <col min="1057" max="1063" width="0" style="35" hidden="1" customWidth="1"/>
    <col min="1064" max="1280" width="9.140625" style="35"/>
    <col min="1281" max="1281" width="3.42578125" style="35" customWidth="1"/>
    <col min="1282" max="1282" width="3.140625" style="35" customWidth="1"/>
    <col min="1283" max="1283" width="3.85546875" style="35" customWidth="1"/>
    <col min="1284" max="1287" width="9.140625" style="35"/>
    <col min="1288" max="1289" width="3.140625" style="35" customWidth="1"/>
    <col min="1290" max="1291" width="9.140625" style="35"/>
    <col min="1292" max="1292" width="10.42578125" style="35" customWidth="1"/>
    <col min="1293" max="1293" width="11.28515625" style="35" customWidth="1"/>
    <col min="1294" max="1294" width="8.140625" style="35" customWidth="1"/>
    <col min="1295" max="1295" width="9.85546875" style="35" customWidth="1"/>
    <col min="1296" max="1296" width="1" style="35" customWidth="1"/>
    <col min="1297" max="1297" width="3" style="35" customWidth="1"/>
    <col min="1298" max="1298" width="1" style="35" customWidth="1"/>
    <col min="1299" max="1299" width="3" style="35" customWidth="1"/>
    <col min="1300" max="1300" width="1" style="35" customWidth="1"/>
    <col min="1301" max="1301" width="3" style="35" customWidth="1"/>
    <col min="1302" max="1302" width="1" style="35" customWidth="1"/>
    <col min="1303" max="1303" width="3" style="35" customWidth="1"/>
    <col min="1304" max="1304" width="1" style="35" customWidth="1"/>
    <col min="1305" max="1306" width="3" style="35" customWidth="1"/>
    <col min="1307" max="1312" width="9.140625" style="35"/>
    <col min="1313" max="1319" width="0" style="35" hidden="1" customWidth="1"/>
    <col min="1320" max="1536" width="9.140625" style="35"/>
    <col min="1537" max="1537" width="3.42578125" style="35" customWidth="1"/>
    <col min="1538" max="1538" width="3.140625" style="35" customWidth="1"/>
    <col min="1539" max="1539" width="3.85546875" style="35" customWidth="1"/>
    <col min="1540" max="1543" width="9.140625" style="35"/>
    <col min="1544" max="1545" width="3.140625" style="35" customWidth="1"/>
    <col min="1546" max="1547" width="9.140625" style="35"/>
    <col min="1548" max="1548" width="10.42578125" style="35" customWidth="1"/>
    <col min="1549" max="1549" width="11.28515625" style="35" customWidth="1"/>
    <col min="1550" max="1550" width="8.140625" style="35" customWidth="1"/>
    <col min="1551" max="1551" width="9.85546875" style="35" customWidth="1"/>
    <col min="1552" max="1552" width="1" style="35" customWidth="1"/>
    <col min="1553" max="1553" width="3" style="35" customWidth="1"/>
    <col min="1554" max="1554" width="1" style="35" customWidth="1"/>
    <col min="1555" max="1555" width="3" style="35" customWidth="1"/>
    <col min="1556" max="1556" width="1" style="35" customWidth="1"/>
    <col min="1557" max="1557" width="3" style="35" customWidth="1"/>
    <col min="1558" max="1558" width="1" style="35" customWidth="1"/>
    <col min="1559" max="1559" width="3" style="35" customWidth="1"/>
    <col min="1560" max="1560" width="1" style="35" customWidth="1"/>
    <col min="1561" max="1562" width="3" style="35" customWidth="1"/>
    <col min="1563" max="1568" width="9.140625" style="35"/>
    <col min="1569" max="1575" width="0" style="35" hidden="1" customWidth="1"/>
    <col min="1576" max="1792" width="9.140625" style="35"/>
    <col min="1793" max="1793" width="3.42578125" style="35" customWidth="1"/>
    <col min="1794" max="1794" width="3.140625" style="35" customWidth="1"/>
    <col min="1795" max="1795" width="3.85546875" style="35" customWidth="1"/>
    <col min="1796" max="1799" width="9.140625" style="35"/>
    <col min="1800" max="1801" width="3.140625" style="35" customWidth="1"/>
    <col min="1802" max="1803" width="9.140625" style="35"/>
    <col min="1804" max="1804" width="10.42578125" style="35" customWidth="1"/>
    <col min="1805" max="1805" width="11.28515625" style="35" customWidth="1"/>
    <col min="1806" max="1806" width="8.140625" style="35" customWidth="1"/>
    <col min="1807" max="1807" width="9.85546875" style="35" customWidth="1"/>
    <col min="1808" max="1808" width="1" style="35" customWidth="1"/>
    <col min="1809" max="1809" width="3" style="35" customWidth="1"/>
    <col min="1810" max="1810" width="1" style="35" customWidth="1"/>
    <col min="1811" max="1811" width="3" style="35" customWidth="1"/>
    <col min="1812" max="1812" width="1" style="35" customWidth="1"/>
    <col min="1813" max="1813" width="3" style="35" customWidth="1"/>
    <col min="1814" max="1814" width="1" style="35" customWidth="1"/>
    <col min="1815" max="1815" width="3" style="35" customWidth="1"/>
    <col min="1816" max="1816" width="1" style="35" customWidth="1"/>
    <col min="1817" max="1818" width="3" style="35" customWidth="1"/>
    <col min="1819" max="1824" width="9.140625" style="35"/>
    <col min="1825" max="1831" width="0" style="35" hidden="1" customWidth="1"/>
    <col min="1832" max="2048" width="9.140625" style="35"/>
    <col min="2049" max="2049" width="3.42578125" style="35" customWidth="1"/>
    <col min="2050" max="2050" width="3.140625" style="35" customWidth="1"/>
    <col min="2051" max="2051" width="3.85546875" style="35" customWidth="1"/>
    <col min="2052" max="2055" width="9.140625" style="35"/>
    <col min="2056" max="2057" width="3.140625" style="35" customWidth="1"/>
    <col min="2058" max="2059" width="9.140625" style="35"/>
    <col min="2060" max="2060" width="10.42578125" style="35" customWidth="1"/>
    <col min="2061" max="2061" width="11.28515625" style="35" customWidth="1"/>
    <col min="2062" max="2062" width="8.140625" style="35" customWidth="1"/>
    <col min="2063" max="2063" width="9.85546875" style="35" customWidth="1"/>
    <col min="2064" max="2064" width="1" style="35" customWidth="1"/>
    <col min="2065" max="2065" width="3" style="35" customWidth="1"/>
    <col min="2066" max="2066" width="1" style="35" customWidth="1"/>
    <col min="2067" max="2067" width="3" style="35" customWidth="1"/>
    <col min="2068" max="2068" width="1" style="35" customWidth="1"/>
    <col min="2069" max="2069" width="3" style="35" customWidth="1"/>
    <col min="2070" max="2070" width="1" style="35" customWidth="1"/>
    <col min="2071" max="2071" width="3" style="35" customWidth="1"/>
    <col min="2072" max="2072" width="1" style="35" customWidth="1"/>
    <col min="2073" max="2074" width="3" style="35" customWidth="1"/>
    <col min="2075" max="2080" width="9.140625" style="35"/>
    <col min="2081" max="2087" width="0" style="35" hidden="1" customWidth="1"/>
    <col min="2088" max="2304" width="9.140625" style="35"/>
    <col min="2305" max="2305" width="3.42578125" style="35" customWidth="1"/>
    <col min="2306" max="2306" width="3.140625" style="35" customWidth="1"/>
    <col min="2307" max="2307" width="3.85546875" style="35" customWidth="1"/>
    <col min="2308" max="2311" width="9.140625" style="35"/>
    <col min="2312" max="2313" width="3.140625" style="35" customWidth="1"/>
    <col min="2314" max="2315" width="9.140625" style="35"/>
    <col min="2316" max="2316" width="10.42578125" style="35" customWidth="1"/>
    <col min="2317" max="2317" width="11.28515625" style="35" customWidth="1"/>
    <col min="2318" max="2318" width="8.140625" style="35" customWidth="1"/>
    <col min="2319" max="2319" width="9.85546875" style="35" customWidth="1"/>
    <col min="2320" max="2320" width="1" style="35" customWidth="1"/>
    <col min="2321" max="2321" width="3" style="35" customWidth="1"/>
    <col min="2322" max="2322" width="1" style="35" customWidth="1"/>
    <col min="2323" max="2323" width="3" style="35" customWidth="1"/>
    <col min="2324" max="2324" width="1" style="35" customWidth="1"/>
    <col min="2325" max="2325" width="3" style="35" customWidth="1"/>
    <col min="2326" max="2326" width="1" style="35" customWidth="1"/>
    <col min="2327" max="2327" width="3" style="35" customWidth="1"/>
    <col min="2328" max="2328" width="1" style="35" customWidth="1"/>
    <col min="2329" max="2330" width="3" style="35" customWidth="1"/>
    <col min="2331" max="2336" width="9.140625" style="35"/>
    <col min="2337" max="2343" width="0" style="35" hidden="1" customWidth="1"/>
    <col min="2344" max="2560" width="9.140625" style="35"/>
    <col min="2561" max="2561" width="3.42578125" style="35" customWidth="1"/>
    <col min="2562" max="2562" width="3.140625" style="35" customWidth="1"/>
    <col min="2563" max="2563" width="3.85546875" style="35" customWidth="1"/>
    <col min="2564" max="2567" width="9.140625" style="35"/>
    <col min="2568" max="2569" width="3.140625" style="35" customWidth="1"/>
    <col min="2570" max="2571" width="9.140625" style="35"/>
    <col min="2572" max="2572" width="10.42578125" style="35" customWidth="1"/>
    <col min="2573" max="2573" width="11.28515625" style="35" customWidth="1"/>
    <col min="2574" max="2574" width="8.140625" style="35" customWidth="1"/>
    <col min="2575" max="2575" width="9.85546875" style="35" customWidth="1"/>
    <col min="2576" max="2576" width="1" style="35" customWidth="1"/>
    <col min="2577" max="2577" width="3" style="35" customWidth="1"/>
    <col min="2578" max="2578" width="1" style="35" customWidth="1"/>
    <col min="2579" max="2579" width="3" style="35" customWidth="1"/>
    <col min="2580" max="2580" width="1" style="35" customWidth="1"/>
    <col min="2581" max="2581" width="3" style="35" customWidth="1"/>
    <col min="2582" max="2582" width="1" style="35" customWidth="1"/>
    <col min="2583" max="2583" width="3" style="35" customWidth="1"/>
    <col min="2584" max="2584" width="1" style="35" customWidth="1"/>
    <col min="2585" max="2586" width="3" style="35" customWidth="1"/>
    <col min="2587" max="2592" width="9.140625" style="35"/>
    <col min="2593" max="2599" width="0" style="35" hidden="1" customWidth="1"/>
    <col min="2600" max="2816" width="9.140625" style="35"/>
    <col min="2817" max="2817" width="3.42578125" style="35" customWidth="1"/>
    <col min="2818" max="2818" width="3.140625" style="35" customWidth="1"/>
    <col min="2819" max="2819" width="3.85546875" style="35" customWidth="1"/>
    <col min="2820" max="2823" width="9.140625" style="35"/>
    <col min="2824" max="2825" width="3.140625" style="35" customWidth="1"/>
    <col min="2826" max="2827" width="9.140625" style="35"/>
    <col min="2828" max="2828" width="10.42578125" style="35" customWidth="1"/>
    <col min="2829" max="2829" width="11.28515625" style="35" customWidth="1"/>
    <col min="2830" max="2830" width="8.140625" style="35" customWidth="1"/>
    <col min="2831" max="2831" width="9.85546875" style="35" customWidth="1"/>
    <col min="2832" max="2832" width="1" style="35" customWidth="1"/>
    <col min="2833" max="2833" width="3" style="35" customWidth="1"/>
    <col min="2834" max="2834" width="1" style="35" customWidth="1"/>
    <col min="2835" max="2835" width="3" style="35" customWidth="1"/>
    <col min="2836" max="2836" width="1" style="35" customWidth="1"/>
    <col min="2837" max="2837" width="3" style="35" customWidth="1"/>
    <col min="2838" max="2838" width="1" style="35" customWidth="1"/>
    <col min="2839" max="2839" width="3" style="35" customWidth="1"/>
    <col min="2840" max="2840" width="1" style="35" customWidth="1"/>
    <col min="2841" max="2842" width="3" style="35" customWidth="1"/>
    <col min="2843" max="2848" width="9.140625" style="35"/>
    <col min="2849" max="2855" width="0" style="35" hidden="1" customWidth="1"/>
    <col min="2856" max="3072" width="9.140625" style="35"/>
    <col min="3073" max="3073" width="3.42578125" style="35" customWidth="1"/>
    <col min="3074" max="3074" width="3.140625" style="35" customWidth="1"/>
    <col min="3075" max="3075" width="3.85546875" style="35" customWidth="1"/>
    <col min="3076" max="3079" width="9.140625" style="35"/>
    <col min="3080" max="3081" width="3.140625" style="35" customWidth="1"/>
    <col min="3082" max="3083" width="9.140625" style="35"/>
    <col min="3084" max="3084" width="10.42578125" style="35" customWidth="1"/>
    <col min="3085" max="3085" width="11.28515625" style="35" customWidth="1"/>
    <col min="3086" max="3086" width="8.140625" style="35" customWidth="1"/>
    <col min="3087" max="3087" width="9.85546875" style="35" customWidth="1"/>
    <col min="3088" max="3088" width="1" style="35" customWidth="1"/>
    <col min="3089" max="3089" width="3" style="35" customWidth="1"/>
    <col min="3090" max="3090" width="1" style="35" customWidth="1"/>
    <col min="3091" max="3091" width="3" style="35" customWidth="1"/>
    <col min="3092" max="3092" width="1" style="35" customWidth="1"/>
    <col min="3093" max="3093" width="3" style="35" customWidth="1"/>
    <col min="3094" max="3094" width="1" style="35" customWidth="1"/>
    <col min="3095" max="3095" width="3" style="35" customWidth="1"/>
    <col min="3096" max="3096" width="1" style="35" customWidth="1"/>
    <col min="3097" max="3098" width="3" style="35" customWidth="1"/>
    <col min="3099" max="3104" width="9.140625" style="35"/>
    <col min="3105" max="3111" width="0" style="35" hidden="1" customWidth="1"/>
    <col min="3112" max="3328" width="9.140625" style="35"/>
    <col min="3329" max="3329" width="3.42578125" style="35" customWidth="1"/>
    <col min="3330" max="3330" width="3.140625" style="35" customWidth="1"/>
    <col min="3331" max="3331" width="3.85546875" style="35" customWidth="1"/>
    <col min="3332" max="3335" width="9.140625" style="35"/>
    <col min="3336" max="3337" width="3.140625" style="35" customWidth="1"/>
    <col min="3338" max="3339" width="9.140625" style="35"/>
    <col min="3340" max="3340" width="10.42578125" style="35" customWidth="1"/>
    <col min="3341" max="3341" width="11.28515625" style="35" customWidth="1"/>
    <col min="3342" max="3342" width="8.140625" style="35" customWidth="1"/>
    <col min="3343" max="3343" width="9.85546875" style="35" customWidth="1"/>
    <col min="3344" max="3344" width="1" style="35" customWidth="1"/>
    <col min="3345" max="3345" width="3" style="35" customWidth="1"/>
    <col min="3346" max="3346" width="1" style="35" customWidth="1"/>
    <col min="3347" max="3347" width="3" style="35" customWidth="1"/>
    <col min="3348" max="3348" width="1" style="35" customWidth="1"/>
    <col min="3349" max="3349" width="3" style="35" customWidth="1"/>
    <col min="3350" max="3350" width="1" style="35" customWidth="1"/>
    <col min="3351" max="3351" width="3" style="35" customWidth="1"/>
    <col min="3352" max="3352" width="1" style="35" customWidth="1"/>
    <col min="3353" max="3354" width="3" style="35" customWidth="1"/>
    <col min="3355" max="3360" width="9.140625" style="35"/>
    <col min="3361" max="3367" width="0" style="35" hidden="1" customWidth="1"/>
    <col min="3368" max="3584" width="9.140625" style="35"/>
    <col min="3585" max="3585" width="3.42578125" style="35" customWidth="1"/>
    <col min="3586" max="3586" width="3.140625" style="35" customWidth="1"/>
    <col min="3587" max="3587" width="3.85546875" style="35" customWidth="1"/>
    <col min="3588" max="3591" width="9.140625" style="35"/>
    <col min="3592" max="3593" width="3.140625" style="35" customWidth="1"/>
    <col min="3594" max="3595" width="9.140625" style="35"/>
    <col min="3596" max="3596" width="10.42578125" style="35" customWidth="1"/>
    <col min="3597" max="3597" width="11.28515625" style="35" customWidth="1"/>
    <col min="3598" max="3598" width="8.140625" style="35" customWidth="1"/>
    <col min="3599" max="3599" width="9.85546875" style="35" customWidth="1"/>
    <col min="3600" max="3600" width="1" style="35" customWidth="1"/>
    <col min="3601" max="3601" width="3" style="35" customWidth="1"/>
    <col min="3602" max="3602" width="1" style="35" customWidth="1"/>
    <col min="3603" max="3603" width="3" style="35" customWidth="1"/>
    <col min="3604" max="3604" width="1" style="35" customWidth="1"/>
    <col min="3605" max="3605" width="3" style="35" customWidth="1"/>
    <col min="3606" max="3606" width="1" style="35" customWidth="1"/>
    <col min="3607" max="3607" width="3" style="35" customWidth="1"/>
    <col min="3608" max="3608" width="1" style="35" customWidth="1"/>
    <col min="3609" max="3610" width="3" style="35" customWidth="1"/>
    <col min="3611" max="3616" width="9.140625" style="35"/>
    <col min="3617" max="3623" width="0" style="35" hidden="1" customWidth="1"/>
    <col min="3624" max="3840" width="9.140625" style="35"/>
    <col min="3841" max="3841" width="3.42578125" style="35" customWidth="1"/>
    <col min="3842" max="3842" width="3.140625" style="35" customWidth="1"/>
    <col min="3843" max="3843" width="3.85546875" style="35" customWidth="1"/>
    <col min="3844" max="3847" width="9.140625" style="35"/>
    <col min="3848" max="3849" width="3.140625" style="35" customWidth="1"/>
    <col min="3850" max="3851" width="9.140625" style="35"/>
    <col min="3852" max="3852" width="10.42578125" style="35" customWidth="1"/>
    <col min="3853" max="3853" width="11.28515625" style="35" customWidth="1"/>
    <col min="3854" max="3854" width="8.140625" style="35" customWidth="1"/>
    <col min="3855" max="3855" width="9.85546875" style="35" customWidth="1"/>
    <col min="3856" max="3856" width="1" style="35" customWidth="1"/>
    <col min="3857" max="3857" width="3" style="35" customWidth="1"/>
    <col min="3858" max="3858" width="1" style="35" customWidth="1"/>
    <col min="3859" max="3859" width="3" style="35" customWidth="1"/>
    <col min="3860" max="3860" width="1" style="35" customWidth="1"/>
    <col min="3861" max="3861" width="3" style="35" customWidth="1"/>
    <col min="3862" max="3862" width="1" style="35" customWidth="1"/>
    <col min="3863" max="3863" width="3" style="35" customWidth="1"/>
    <col min="3864" max="3864" width="1" style="35" customWidth="1"/>
    <col min="3865" max="3866" width="3" style="35" customWidth="1"/>
    <col min="3867" max="3872" width="9.140625" style="35"/>
    <col min="3873" max="3879" width="0" style="35" hidden="1" customWidth="1"/>
    <col min="3880" max="4096" width="9.140625" style="35"/>
    <col min="4097" max="4097" width="3.42578125" style="35" customWidth="1"/>
    <col min="4098" max="4098" width="3.140625" style="35" customWidth="1"/>
    <col min="4099" max="4099" width="3.85546875" style="35" customWidth="1"/>
    <col min="4100" max="4103" width="9.140625" style="35"/>
    <col min="4104" max="4105" width="3.140625" style="35" customWidth="1"/>
    <col min="4106" max="4107" width="9.140625" style="35"/>
    <col min="4108" max="4108" width="10.42578125" style="35" customWidth="1"/>
    <col min="4109" max="4109" width="11.28515625" style="35" customWidth="1"/>
    <col min="4110" max="4110" width="8.140625" style="35" customWidth="1"/>
    <col min="4111" max="4111" width="9.85546875" style="35" customWidth="1"/>
    <col min="4112" max="4112" width="1" style="35" customWidth="1"/>
    <col min="4113" max="4113" width="3" style="35" customWidth="1"/>
    <col min="4114" max="4114" width="1" style="35" customWidth="1"/>
    <col min="4115" max="4115" width="3" style="35" customWidth="1"/>
    <col min="4116" max="4116" width="1" style="35" customWidth="1"/>
    <col min="4117" max="4117" width="3" style="35" customWidth="1"/>
    <col min="4118" max="4118" width="1" style="35" customWidth="1"/>
    <col min="4119" max="4119" width="3" style="35" customWidth="1"/>
    <col min="4120" max="4120" width="1" style="35" customWidth="1"/>
    <col min="4121" max="4122" width="3" style="35" customWidth="1"/>
    <col min="4123" max="4128" width="9.140625" style="35"/>
    <col min="4129" max="4135" width="0" style="35" hidden="1" customWidth="1"/>
    <col min="4136" max="4352" width="9.140625" style="35"/>
    <col min="4353" max="4353" width="3.42578125" style="35" customWidth="1"/>
    <col min="4354" max="4354" width="3.140625" style="35" customWidth="1"/>
    <col min="4355" max="4355" width="3.85546875" style="35" customWidth="1"/>
    <col min="4356" max="4359" width="9.140625" style="35"/>
    <col min="4360" max="4361" width="3.140625" style="35" customWidth="1"/>
    <col min="4362" max="4363" width="9.140625" style="35"/>
    <col min="4364" max="4364" width="10.42578125" style="35" customWidth="1"/>
    <col min="4365" max="4365" width="11.28515625" style="35" customWidth="1"/>
    <col min="4366" max="4366" width="8.140625" style="35" customWidth="1"/>
    <col min="4367" max="4367" width="9.85546875" style="35" customWidth="1"/>
    <col min="4368" max="4368" width="1" style="35" customWidth="1"/>
    <col min="4369" max="4369" width="3" style="35" customWidth="1"/>
    <col min="4370" max="4370" width="1" style="35" customWidth="1"/>
    <col min="4371" max="4371" width="3" style="35" customWidth="1"/>
    <col min="4372" max="4372" width="1" style="35" customWidth="1"/>
    <col min="4373" max="4373" width="3" style="35" customWidth="1"/>
    <col min="4374" max="4374" width="1" style="35" customWidth="1"/>
    <col min="4375" max="4375" width="3" style="35" customWidth="1"/>
    <col min="4376" max="4376" width="1" style="35" customWidth="1"/>
    <col min="4377" max="4378" width="3" style="35" customWidth="1"/>
    <col min="4379" max="4384" width="9.140625" style="35"/>
    <col min="4385" max="4391" width="0" style="35" hidden="1" customWidth="1"/>
    <col min="4392" max="4608" width="9.140625" style="35"/>
    <col min="4609" max="4609" width="3.42578125" style="35" customWidth="1"/>
    <col min="4610" max="4610" width="3.140625" style="35" customWidth="1"/>
    <col min="4611" max="4611" width="3.85546875" style="35" customWidth="1"/>
    <col min="4612" max="4615" width="9.140625" style="35"/>
    <col min="4616" max="4617" width="3.140625" style="35" customWidth="1"/>
    <col min="4618" max="4619" width="9.140625" style="35"/>
    <col min="4620" max="4620" width="10.42578125" style="35" customWidth="1"/>
    <col min="4621" max="4621" width="11.28515625" style="35" customWidth="1"/>
    <col min="4622" max="4622" width="8.140625" style="35" customWidth="1"/>
    <col min="4623" max="4623" width="9.85546875" style="35" customWidth="1"/>
    <col min="4624" max="4624" width="1" style="35" customWidth="1"/>
    <col min="4625" max="4625" width="3" style="35" customWidth="1"/>
    <col min="4626" max="4626" width="1" style="35" customWidth="1"/>
    <col min="4627" max="4627" width="3" style="35" customWidth="1"/>
    <col min="4628" max="4628" width="1" style="35" customWidth="1"/>
    <col min="4629" max="4629" width="3" style="35" customWidth="1"/>
    <col min="4630" max="4630" width="1" style="35" customWidth="1"/>
    <col min="4631" max="4631" width="3" style="35" customWidth="1"/>
    <col min="4632" max="4632" width="1" style="35" customWidth="1"/>
    <col min="4633" max="4634" width="3" style="35" customWidth="1"/>
    <col min="4635" max="4640" width="9.140625" style="35"/>
    <col min="4641" max="4647" width="0" style="35" hidden="1" customWidth="1"/>
    <col min="4648" max="4864" width="9.140625" style="35"/>
    <col min="4865" max="4865" width="3.42578125" style="35" customWidth="1"/>
    <col min="4866" max="4866" width="3.140625" style="35" customWidth="1"/>
    <col min="4867" max="4867" width="3.85546875" style="35" customWidth="1"/>
    <col min="4868" max="4871" width="9.140625" style="35"/>
    <col min="4872" max="4873" width="3.140625" style="35" customWidth="1"/>
    <col min="4874" max="4875" width="9.140625" style="35"/>
    <col min="4876" max="4876" width="10.42578125" style="35" customWidth="1"/>
    <col min="4877" max="4877" width="11.28515625" style="35" customWidth="1"/>
    <col min="4878" max="4878" width="8.140625" style="35" customWidth="1"/>
    <col min="4879" max="4879" width="9.85546875" style="35" customWidth="1"/>
    <col min="4880" max="4880" width="1" style="35" customWidth="1"/>
    <col min="4881" max="4881" width="3" style="35" customWidth="1"/>
    <col min="4882" max="4882" width="1" style="35" customWidth="1"/>
    <col min="4883" max="4883" width="3" style="35" customWidth="1"/>
    <col min="4884" max="4884" width="1" style="35" customWidth="1"/>
    <col min="4885" max="4885" width="3" style="35" customWidth="1"/>
    <col min="4886" max="4886" width="1" style="35" customWidth="1"/>
    <col min="4887" max="4887" width="3" style="35" customWidth="1"/>
    <col min="4888" max="4888" width="1" style="35" customWidth="1"/>
    <col min="4889" max="4890" width="3" style="35" customWidth="1"/>
    <col min="4891" max="4896" width="9.140625" style="35"/>
    <col min="4897" max="4903" width="0" style="35" hidden="1" customWidth="1"/>
    <col min="4904" max="5120" width="9.140625" style="35"/>
    <col min="5121" max="5121" width="3.42578125" style="35" customWidth="1"/>
    <col min="5122" max="5122" width="3.140625" style="35" customWidth="1"/>
    <col min="5123" max="5123" width="3.85546875" style="35" customWidth="1"/>
    <col min="5124" max="5127" width="9.140625" style="35"/>
    <col min="5128" max="5129" width="3.140625" style="35" customWidth="1"/>
    <col min="5130" max="5131" width="9.140625" style="35"/>
    <col min="5132" max="5132" width="10.42578125" style="35" customWidth="1"/>
    <col min="5133" max="5133" width="11.28515625" style="35" customWidth="1"/>
    <col min="5134" max="5134" width="8.140625" style="35" customWidth="1"/>
    <col min="5135" max="5135" width="9.85546875" style="35" customWidth="1"/>
    <col min="5136" max="5136" width="1" style="35" customWidth="1"/>
    <col min="5137" max="5137" width="3" style="35" customWidth="1"/>
    <col min="5138" max="5138" width="1" style="35" customWidth="1"/>
    <col min="5139" max="5139" width="3" style="35" customWidth="1"/>
    <col min="5140" max="5140" width="1" style="35" customWidth="1"/>
    <col min="5141" max="5141" width="3" style="35" customWidth="1"/>
    <col min="5142" max="5142" width="1" style="35" customWidth="1"/>
    <col min="5143" max="5143" width="3" style="35" customWidth="1"/>
    <col min="5144" max="5144" width="1" style="35" customWidth="1"/>
    <col min="5145" max="5146" width="3" style="35" customWidth="1"/>
    <col min="5147" max="5152" width="9.140625" style="35"/>
    <col min="5153" max="5159" width="0" style="35" hidden="1" customWidth="1"/>
    <col min="5160" max="5376" width="9.140625" style="35"/>
    <col min="5377" max="5377" width="3.42578125" style="35" customWidth="1"/>
    <col min="5378" max="5378" width="3.140625" style="35" customWidth="1"/>
    <col min="5379" max="5379" width="3.85546875" style="35" customWidth="1"/>
    <col min="5380" max="5383" width="9.140625" style="35"/>
    <col min="5384" max="5385" width="3.140625" style="35" customWidth="1"/>
    <col min="5386" max="5387" width="9.140625" style="35"/>
    <col min="5388" max="5388" width="10.42578125" style="35" customWidth="1"/>
    <col min="5389" max="5389" width="11.28515625" style="35" customWidth="1"/>
    <col min="5390" max="5390" width="8.140625" style="35" customWidth="1"/>
    <col min="5391" max="5391" width="9.85546875" style="35" customWidth="1"/>
    <col min="5392" max="5392" width="1" style="35" customWidth="1"/>
    <col min="5393" max="5393" width="3" style="35" customWidth="1"/>
    <col min="5394" max="5394" width="1" style="35" customWidth="1"/>
    <col min="5395" max="5395" width="3" style="35" customWidth="1"/>
    <col min="5396" max="5396" width="1" style="35" customWidth="1"/>
    <col min="5397" max="5397" width="3" style="35" customWidth="1"/>
    <col min="5398" max="5398" width="1" style="35" customWidth="1"/>
    <col min="5399" max="5399" width="3" style="35" customWidth="1"/>
    <col min="5400" max="5400" width="1" style="35" customWidth="1"/>
    <col min="5401" max="5402" width="3" style="35" customWidth="1"/>
    <col min="5403" max="5408" width="9.140625" style="35"/>
    <col min="5409" max="5415" width="0" style="35" hidden="1" customWidth="1"/>
    <col min="5416" max="5632" width="9.140625" style="35"/>
    <col min="5633" max="5633" width="3.42578125" style="35" customWidth="1"/>
    <col min="5634" max="5634" width="3.140625" style="35" customWidth="1"/>
    <col min="5635" max="5635" width="3.85546875" style="35" customWidth="1"/>
    <col min="5636" max="5639" width="9.140625" style="35"/>
    <col min="5640" max="5641" width="3.140625" style="35" customWidth="1"/>
    <col min="5642" max="5643" width="9.140625" style="35"/>
    <col min="5644" max="5644" width="10.42578125" style="35" customWidth="1"/>
    <col min="5645" max="5645" width="11.28515625" style="35" customWidth="1"/>
    <col min="5646" max="5646" width="8.140625" style="35" customWidth="1"/>
    <col min="5647" max="5647" width="9.85546875" style="35" customWidth="1"/>
    <col min="5648" max="5648" width="1" style="35" customWidth="1"/>
    <col min="5649" max="5649" width="3" style="35" customWidth="1"/>
    <col min="5650" max="5650" width="1" style="35" customWidth="1"/>
    <col min="5651" max="5651" width="3" style="35" customWidth="1"/>
    <col min="5652" max="5652" width="1" style="35" customWidth="1"/>
    <col min="5653" max="5653" width="3" style="35" customWidth="1"/>
    <col min="5654" max="5654" width="1" style="35" customWidth="1"/>
    <col min="5655" max="5655" width="3" style="35" customWidth="1"/>
    <col min="5656" max="5656" width="1" style="35" customWidth="1"/>
    <col min="5657" max="5658" width="3" style="35" customWidth="1"/>
    <col min="5659" max="5664" width="9.140625" style="35"/>
    <col min="5665" max="5671" width="0" style="35" hidden="1" customWidth="1"/>
    <col min="5672" max="5888" width="9.140625" style="35"/>
    <col min="5889" max="5889" width="3.42578125" style="35" customWidth="1"/>
    <col min="5890" max="5890" width="3.140625" style="35" customWidth="1"/>
    <col min="5891" max="5891" width="3.85546875" style="35" customWidth="1"/>
    <col min="5892" max="5895" width="9.140625" style="35"/>
    <col min="5896" max="5897" width="3.140625" style="35" customWidth="1"/>
    <col min="5898" max="5899" width="9.140625" style="35"/>
    <col min="5900" max="5900" width="10.42578125" style="35" customWidth="1"/>
    <col min="5901" max="5901" width="11.28515625" style="35" customWidth="1"/>
    <col min="5902" max="5902" width="8.140625" style="35" customWidth="1"/>
    <col min="5903" max="5903" width="9.85546875" style="35" customWidth="1"/>
    <col min="5904" max="5904" width="1" style="35" customWidth="1"/>
    <col min="5905" max="5905" width="3" style="35" customWidth="1"/>
    <col min="5906" max="5906" width="1" style="35" customWidth="1"/>
    <col min="5907" max="5907" width="3" style="35" customWidth="1"/>
    <col min="5908" max="5908" width="1" style="35" customWidth="1"/>
    <col min="5909" max="5909" width="3" style="35" customWidth="1"/>
    <col min="5910" max="5910" width="1" style="35" customWidth="1"/>
    <col min="5911" max="5911" width="3" style="35" customWidth="1"/>
    <col min="5912" max="5912" width="1" style="35" customWidth="1"/>
    <col min="5913" max="5914" width="3" style="35" customWidth="1"/>
    <col min="5915" max="5920" width="9.140625" style="35"/>
    <col min="5921" max="5927" width="0" style="35" hidden="1" customWidth="1"/>
    <col min="5928" max="6144" width="9.140625" style="35"/>
    <col min="6145" max="6145" width="3.42578125" style="35" customWidth="1"/>
    <col min="6146" max="6146" width="3.140625" style="35" customWidth="1"/>
    <col min="6147" max="6147" width="3.85546875" style="35" customWidth="1"/>
    <col min="6148" max="6151" width="9.140625" style="35"/>
    <col min="6152" max="6153" width="3.140625" style="35" customWidth="1"/>
    <col min="6154" max="6155" width="9.140625" style="35"/>
    <col min="6156" max="6156" width="10.42578125" style="35" customWidth="1"/>
    <col min="6157" max="6157" width="11.28515625" style="35" customWidth="1"/>
    <col min="6158" max="6158" width="8.140625" style="35" customWidth="1"/>
    <col min="6159" max="6159" width="9.85546875" style="35" customWidth="1"/>
    <col min="6160" max="6160" width="1" style="35" customWidth="1"/>
    <col min="6161" max="6161" width="3" style="35" customWidth="1"/>
    <col min="6162" max="6162" width="1" style="35" customWidth="1"/>
    <col min="6163" max="6163" width="3" style="35" customWidth="1"/>
    <col min="6164" max="6164" width="1" style="35" customWidth="1"/>
    <col min="6165" max="6165" width="3" style="35" customWidth="1"/>
    <col min="6166" max="6166" width="1" style="35" customWidth="1"/>
    <col min="6167" max="6167" width="3" style="35" customWidth="1"/>
    <col min="6168" max="6168" width="1" style="35" customWidth="1"/>
    <col min="6169" max="6170" width="3" style="35" customWidth="1"/>
    <col min="6171" max="6176" width="9.140625" style="35"/>
    <col min="6177" max="6183" width="0" style="35" hidden="1" customWidth="1"/>
    <col min="6184" max="6400" width="9.140625" style="35"/>
    <col min="6401" max="6401" width="3.42578125" style="35" customWidth="1"/>
    <col min="6402" max="6402" width="3.140625" style="35" customWidth="1"/>
    <col min="6403" max="6403" width="3.85546875" style="35" customWidth="1"/>
    <col min="6404" max="6407" width="9.140625" style="35"/>
    <col min="6408" max="6409" width="3.140625" style="35" customWidth="1"/>
    <col min="6410" max="6411" width="9.140625" style="35"/>
    <col min="6412" max="6412" width="10.42578125" style="35" customWidth="1"/>
    <col min="6413" max="6413" width="11.28515625" style="35" customWidth="1"/>
    <col min="6414" max="6414" width="8.140625" style="35" customWidth="1"/>
    <col min="6415" max="6415" width="9.85546875" style="35" customWidth="1"/>
    <col min="6416" max="6416" width="1" style="35" customWidth="1"/>
    <col min="6417" max="6417" width="3" style="35" customWidth="1"/>
    <col min="6418" max="6418" width="1" style="35" customWidth="1"/>
    <col min="6419" max="6419" width="3" style="35" customWidth="1"/>
    <col min="6420" max="6420" width="1" style="35" customWidth="1"/>
    <col min="6421" max="6421" width="3" style="35" customWidth="1"/>
    <col min="6422" max="6422" width="1" style="35" customWidth="1"/>
    <col min="6423" max="6423" width="3" style="35" customWidth="1"/>
    <col min="6424" max="6424" width="1" style="35" customWidth="1"/>
    <col min="6425" max="6426" width="3" style="35" customWidth="1"/>
    <col min="6427" max="6432" width="9.140625" style="35"/>
    <col min="6433" max="6439" width="0" style="35" hidden="1" customWidth="1"/>
    <col min="6440" max="6656" width="9.140625" style="35"/>
    <col min="6657" max="6657" width="3.42578125" style="35" customWidth="1"/>
    <col min="6658" max="6658" width="3.140625" style="35" customWidth="1"/>
    <col min="6659" max="6659" width="3.85546875" style="35" customWidth="1"/>
    <col min="6660" max="6663" width="9.140625" style="35"/>
    <col min="6664" max="6665" width="3.140625" style="35" customWidth="1"/>
    <col min="6666" max="6667" width="9.140625" style="35"/>
    <col min="6668" max="6668" width="10.42578125" style="35" customWidth="1"/>
    <col min="6669" max="6669" width="11.28515625" style="35" customWidth="1"/>
    <col min="6670" max="6670" width="8.140625" style="35" customWidth="1"/>
    <col min="6671" max="6671" width="9.85546875" style="35" customWidth="1"/>
    <col min="6672" max="6672" width="1" style="35" customWidth="1"/>
    <col min="6673" max="6673" width="3" style="35" customWidth="1"/>
    <col min="6674" max="6674" width="1" style="35" customWidth="1"/>
    <col min="6675" max="6675" width="3" style="35" customWidth="1"/>
    <col min="6676" max="6676" width="1" style="35" customWidth="1"/>
    <col min="6677" max="6677" width="3" style="35" customWidth="1"/>
    <col min="6678" max="6678" width="1" style="35" customWidth="1"/>
    <col min="6679" max="6679" width="3" style="35" customWidth="1"/>
    <col min="6680" max="6680" width="1" style="35" customWidth="1"/>
    <col min="6681" max="6682" width="3" style="35" customWidth="1"/>
    <col min="6683" max="6688" width="9.140625" style="35"/>
    <col min="6689" max="6695" width="0" style="35" hidden="1" customWidth="1"/>
    <col min="6696" max="6912" width="9.140625" style="35"/>
    <col min="6913" max="6913" width="3.42578125" style="35" customWidth="1"/>
    <col min="6914" max="6914" width="3.140625" style="35" customWidth="1"/>
    <col min="6915" max="6915" width="3.85546875" style="35" customWidth="1"/>
    <col min="6916" max="6919" width="9.140625" style="35"/>
    <col min="6920" max="6921" width="3.140625" style="35" customWidth="1"/>
    <col min="6922" max="6923" width="9.140625" style="35"/>
    <col min="6924" max="6924" width="10.42578125" style="35" customWidth="1"/>
    <col min="6925" max="6925" width="11.28515625" style="35" customWidth="1"/>
    <col min="6926" max="6926" width="8.140625" style="35" customWidth="1"/>
    <col min="6927" max="6927" width="9.85546875" style="35" customWidth="1"/>
    <col min="6928" max="6928" width="1" style="35" customWidth="1"/>
    <col min="6929" max="6929" width="3" style="35" customWidth="1"/>
    <col min="6930" max="6930" width="1" style="35" customWidth="1"/>
    <col min="6931" max="6931" width="3" style="35" customWidth="1"/>
    <col min="6932" max="6932" width="1" style="35" customWidth="1"/>
    <col min="6933" max="6933" width="3" style="35" customWidth="1"/>
    <col min="6934" max="6934" width="1" style="35" customWidth="1"/>
    <col min="6935" max="6935" width="3" style="35" customWidth="1"/>
    <col min="6936" max="6936" width="1" style="35" customWidth="1"/>
    <col min="6937" max="6938" width="3" style="35" customWidth="1"/>
    <col min="6939" max="6944" width="9.140625" style="35"/>
    <col min="6945" max="6951" width="0" style="35" hidden="1" customWidth="1"/>
    <col min="6952" max="7168" width="9.140625" style="35"/>
    <col min="7169" max="7169" width="3.42578125" style="35" customWidth="1"/>
    <col min="7170" max="7170" width="3.140625" style="35" customWidth="1"/>
    <col min="7171" max="7171" width="3.85546875" style="35" customWidth="1"/>
    <col min="7172" max="7175" width="9.140625" style="35"/>
    <col min="7176" max="7177" width="3.140625" style="35" customWidth="1"/>
    <col min="7178" max="7179" width="9.140625" style="35"/>
    <col min="7180" max="7180" width="10.42578125" style="35" customWidth="1"/>
    <col min="7181" max="7181" width="11.28515625" style="35" customWidth="1"/>
    <col min="7182" max="7182" width="8.140625" style="35" customWidth="1"/>
    <col min="7183" max="7183" width="9.85546875" style="35" customWidth="1"/>
    <col min="7184" max="7184" width="1" style="35" customWidth="1"/>
    <col min="7185" max="7185" width="3" style="35" customWidth="1"/>
    <col min="7186" max="7186" width="1" style="35" customWidth="1"/>
    <col min="7187" max="7187" width="3" style="35" customWidth="1"/>
    <col min="7188" max="7188" width="1" style="35" customWidth="1"/>
    <col min="7189" max="7189" width="3" style="35" customWidth="1"/>
    <col min="7190" max="7190" width="1" style="35" customWidth="1"/>
    <col min="7191" max="7191" width="3" style="35" customWidth="1"/>
    <col min="7192" max="7192" width="1" style="35" customWidth="1"/>
    <col min="7193" max="7194" width="3" style="35" customWidth="1"/>
    <col min="7195" max="7200" width="9.140625" style="35"/>
    <col min="7201" max="7207" width="0" style="35" hidden="1" customWidth="1"/>
    <col min="7208" max="7424" width="9.140625" style="35"/>
    <col min="7425" max="7425" width="3.42578125" style="35" customWidth="1"/>
    <col min="7426" max="7426" width="3.140625" style="35" customWidth="1"/>
    <col min="7427" max="7427" width="3.85546875" style="35" customWidth="1"/>
    <col min="7428" max="7431" width="9.140625" style="35"/>
    <col min="7432" max="7433" width="3.140625" style="35" customWidth="1"/>
    <col min="7434" max="7435" width="9.140625" style="35"/>
    <col min="7436" max="7436" width="10.42578125" style="35" customWidth="1"/>
    <col min="7437" max="7437" width="11.28515625" style="35" customWidth="1"/>
    <col min="7438" max="7438" width="8.140625" style="35" customWidth="1"/>
    <col min="7439" max="7439" width="9.85546875" style="35" customWidth="1"/>
    <col min="7440" max="7440" width="1" style="35" customWidth="1"/>
    <col min="7441" max="7441" width="3" style="35" customWidth="1"/>
    <col min="7442" max="7442" width="1" style="35" customWidth="1"/>
    <col min="7443" max="7443" width="3" style="35" customWidth="1"/>
    <col min="7444" max="7444" width="1" style="35" customWidth="1"/>
    <col min="7445" max="7445" width="3" style="35" customWidth="1"/>
    <col min="7446" max="7446" width="1" style="35" customWidth="1"/>
    <col min="7447" max="7447" width="3" style="35" customWidth="1"/>
    <col min="7448" max="7448" width="1" style="35" customWidth="1"/>
    <col min="7449" max="7450" width="3" style="35" customWidth="1"/>
    <col min="7451" max="7456" width="9.140625" style="35"/>
    <col min="7457" max="7463" width="0" style="35" hidden="1" customWidth="1"/>
    <col min="7464" max="7680" width="9.140625" style="35"/>
    <col min="7681" max="7681" width="3.42578125" style="35" customWidth="1"/>
    <col min="7682" max="7682" width="3.140625" style="35" customWidth="1"/>
    <col min="7683" max="7683" width="3.85546875" style="35" customWidth="1"/>
    <col min="7684" max="7687" width="9.140625" style="35"/>
    <col min="7688" max="7689" width="3.140625" style="35" customWidth="1"/>
    <col min="7690" max="7691" width="9.140625" style="35"/>
    <col min="7692" max="7692" width="10.42578125" style="35" customWidth="1"/>
    <col min="7693" max="7693" width="11.28515625" style="35" customWidth="1"/>
    <col min="7694" max="7694" width="8.140625" style="35" customWidth="1"/>
    <col min="7695" max="7695" width="9.85546875" style="35" customWidth="1"/>
    <col min="7696" max="7696" width="1" style="35" customWidth="1"/>
    <col min="7697" max="7697" width="3" style="35" customWidth="1"/>
    <col min="7698" max="7698" width="1" style="35" customWidth="1"/>
    <col min="7699" max="7699" width="3" style="35" customWidth="1"/>
    <col min="7700" max="7700" width="1" style="35" customWidth="1"/>
    <col min="7701" max="7701" width="3" style="35" customWidth="1"/>
    <col min="7702" max="7702" width="1" style="35" customWidth="1"/>
    <col min="7703" max="7703" width="3" style="35" customWidth="1"/>
    <col min="7704" max="7704" width="1" style="35" customWidth="1"/>
    <col min="7705" max="7706" width="3" style="35" customWidth="1"/>
    <col min="7707" max="7712" width="9.140625" style="35"/>
    <col min="7713" max="7719" width="0" style="35" hidden="1" customWidth="1"/>
    <col min="7720" max="7936" width="9.140625" style="35"/>
    <col min="7937" max="7937" width="3.42578125" style="35" customWidth="1"/>
    <col min="7938" max="7938" width="3.140625" style="35" customWidth="1"/>
    <col min="7939" max="7939" width="3.85546875" style="35" customWidth="1"/>
    <col min="7940" max="7943" width="9.140625" style="35"/>
    <col min="7944" max="7945" width="3.140625" style="35" customWidth="1"/>
    <col min="7946" max="7947" width="9.140625" style="35"/>
    <col min="7948" max="7948" width="10.42578125" style="35" customWidth="1"/>
    <col min="7949" max="7949" width="11.28515625" style="35" customWidth="1"/>
    <col min="7950" max="7950" width="8.140625" style="35" customWidth="1"/>
    <col min="7951" max="7951" width="9.85546875" style="35" customWidth="1"/>
    <col min="7952" max="7952" width="1" style="35" customWidth="1"/>
    <col min="7953" max="7953" width="3" style="35" customWidth="1"/>
    <col min="7954" max="7954" width="1" style="35" customWidth="1"/>
    <col min="7955" max="7955" width="3" style="35" customWidth="1"/>
    <col min="7956" max="7956" width="1" style="35" customWidth="1"/>
    <col min="7957" max="7957" width="3" style="35" customWidth="1"/>
    <col min="7958" max="7958" width="1" style="35" customWidth="1"/>
    <col min="7959" max="7959" width="3" style="35" customWidth="1"/>
    <col min="7960" max="7960" width="1" style="35" customWidth="1"/>
    <col min="7961" max="7962" width="3" style="35" customWidth="1"/>
    <col min="7963" max="7968" width="9.140625" style="35"/>
    <col min="7969" max="7975" width="0" style="35" hidden="1" customWidth="1"/>
    <col min="7976" max="8192" width="9.140625" style="35"/>
    <col min="8193" max="8193" width="3.42578125" style="35" customWidth="1"/>
    <col min="8194" max="8194" width="3.140625" style="35" customWidth="1"/>
    <col min="8195" max="8195" width="3.85546875" style="35" customWidth="1"/>
    <col min="8196" max="8199" width="9.140625" style="35"/>
    <col min="8200" max="8201" width="3.140625" style="35" customWidth="1"/>
    <col min="8202" max="8203" width="9.140625" style="35"/>
    <col min="8204" max="8204" width="10.42578125" style="35" customWidth="1"/>
    <col min="8205" max="8205" width="11.28515625" style="35" customWidth="1"/>
    <col min="8206" max="8206" width="8.140625" style="35" customWidth="1"/>
    <col min="8207" max="8207" width="9.85546875" style="35" customWidth="1"/>
    <col min="8208" max="8208" width="1" style="35" customWidth="1"/>
    <col min="8209" max="8209" width="3" style="35" customWidth="1"/>
    <col min="8210" max="8210" width="1" style="35" customWidth="1"/>
    <col min="8211" max="8211" width="3" style="35" customWidth="1"/>
    <col min="8212" max="8212" width="1" style="35" customWidth="1"/>
    <col min="8213" max="8213" width="3" style="35" customWidth="1"/>
    <col min="8214" max="8214" width="1" style="35" customWidth="1"/>
    <col min="8215" max="8215" width="3" style="35" customWidth="1"/>
    <col min="8216" max="8216" width="1" style="35" customWidth="1"/>
    <col min="8217" max="8218" width="3" style="35" customWidth="1"/>
    <col min="8219" max="8224" width="9.140625" style="35"/>
    <col min="8225" max="8231" width="0" style="35" hidden="1" customWidth="1"/>
    <col min="8232" max="8448" width="9.140625" style="35"/>
    <col min="8449" max="8449" width="3.42578125" style="35" customWidth="1"/>
    <col min="8450" max="8450" width="3.140625" style="35" customWidth="1"/>
    <col min="8451" max="8451" width="3.85546875" style="35" customWidth="1"/>
    <col min="8452" max="8455" width="9.140625" style="35"/>
    <col min="8456" max="8457" width="3.140625" style="35" customWidth="1"/>
    <col min="8458" max="8459" width="9.140625" style="35"/>
    <col min="8460" max="8460" width="10.42578125" style="35" customWidth="1"/>
    <col min="8461" max="8461" width="11.28515625" style="35" customWidth="1"/>
    <col min="8462" max="8462" width="8.140625" style="35" customWidth="1"/>
    <col min="8463" max="8463" width="9.85546875" style="35" customWidth="1"/>
    <col min="8464" max="8464" width="1" style="35" customWidth="1"/>
    <col min="8465" max="8465" width="3" style="35" customWidth="1"/>
    <col min="8466" max="8466" width="1" style="35" customWidth="1"/>
    <col min="8467" max="8467" width="3" style="35" customWidth="1"/>
    <col min="8468" max="8468" width="1" style="35" customWidth="1"/>
    <col min="8469" max="8469" width="3" style="35" customWidth="1"/>
    <col min="8470" max="8470" width="1" style="35" customWidth="1"/>
    <col min="8471" max="8471" width="3" style="35" customWidth="1"/>
    <col min="8472" max="8472" width="1" style="35" customWidth="1"/>
    <col min="8473" max="8474" width="3" style="35" customWidth="1"/>
    <col min="8475" max="8480" width="9.140625" style="35"/>
    <col min="8481" max="8487" width="0" style="35" hidden="1" customWidth="1"/>
    <col min="8488" max="8704" width="9.140625" style="35"/>
    <col min="8705" max="8705" width="3.42578125" style="35" customWidth="1"/>
    <col min="8706" max="8706" width="3.140625" style="35" customWidth="1"/>
    <col min="8707" max="8707" width="3.85546875" style="35" customWidth="1"/>
    <col min="8708" max="8711" width="9.140625" style="35"/>
    <col min="8712" max="8713" width="3.140625" style="35" customWidth="1"/>
    <col min="8714" max="8715" width="9.140625" style="35"/>
    <col min="8716" max="8716" width="10.42578125" style="35" customWidth="1"/>
    <col min="8717" max="8717" width="11.28515625" style="35" customWidth="1"/>
    <col min="8718" max="8718" width="8.140625" style="35" customWidth="1"/>
    <col min="8719" max="8719" width="9.85546875" style="35" customWidth="1"/>
    <col min="8720" max="8720" width="1" style="35" customWidth="1"/>
    <col min="8721" max="8721" width="3" style="35" customWidth="1"/>
    <col min="8722" max="8722" width="1" style="35" customWidth="1"/>
    <col min="8723" max="8723" width="3" style="35" customWidth="1"/>
    <col min="8724" max="8724" width="1" style="35" customWidth="1"/>
    <col min="8725" max="8725" width="3" style="35" customWidth="1"/>
    <col min="8726" max="8726" width="1" style="35" customWidth="1"/>
    <col min="8727" max="8727" width="3" style="35" customWidth="1"/>
    <col min="8728" max="8728" width="1" style="35" customWidth="1"/>
    <col min="8729" max="8730" width="3" style="35" customWidth="1"/>
    <col min="8731" max="8736" width="9.140625" style="35"/>
    <col min="8737" max="8743" width="0" style="35" hidden="1" customWidth="1"/>
    <col min="8744" max="8960" width="9.140625" style="35"/>
    <col min="8961" max="8961" width="3.42578125" style="35" customWidth="1"/>
    <col min="8962" max="8962" width="3.140625" style="35" customWidth="1"/>
    <col min="8963" max="8963" width="3.85546875" style="35" customWidth="1"/>
    <col min="8964" max="8967" width="9.140625" style="35"/>
    <col min="8968" max="8969" width="3.140625" style="35" customWidth="1"/>
    <col min="8970" max="8971" width="9.140625" style="35"/>
    <col min="8972" max="8972" width="10.42578125" style="35" customWidth="1"/>
    <col min="8973" max="8973" width="11.28515625" style="35" customWidth="1"/>
    <col min="8974" max="8974" width="8.140625" style="35" customWidth="1"/>
    <col min="8975" max="8975" width="9.85546875" style="35" customWidth="1"/>
    <col min="8976" max="8976" width="1" style="35" customWidth="1"/>
    <col min="8977" max="8977" width="3" style="35" customWidth="1"/>
    <col min="8978" max="8978" width="1" style="35" customWidth="1"/>
    <col min="8979" max="8979" width="3" style="35" customWidth="1"/>
    <col min="8980" max="8980" width="1" style="35" customWidth="1"/>
    <col min="8981" max="8981" width="3" style="35" customWidth="1"/>
    <col min="8982" max="8982" width="1" style="35" customWidth="1"/>
    <col min="8983" max="8983" width="3" style="35" customWidth="1"/>
    <col min="8984" max="8984" width="1" style="35" customWidth="1"/>
    <col min="8985" max="8986" width="3" style="35" customWidth="1"/>
    <col min="8987" max="8992" width="9.140625" style="35"/>
    <col min="8993" max="8999" width="0" style="35" hidden="1" customWidth="1"/>
    <col min="9000" max="9216" width="9.140625" style="35"/>
    <col min="9217" max="9217" width="3.42578125" style="35" customWidth="1"/>
    <col min="9218" max="9218" width="3.140625" style="35" customWidth="1"/>
    <col min="9219" max="9219" width="3.85546875" style="35" customWidth="1"/>
    <col min="9220" max="9223" width="9.140625" style="35"/>
    <col min="9224" max="9225" width="3.140625" style="35" customWidth="1"/>
    <col min="9226" max="9227" width="9.140625" style="35"/>
    <col min="9228" max="9228" width="10.42578125" style="35" customWidth="1"/>
    <col min="9229" max="9229" width="11.28515625" style="35" customWidth="1"/>
    <col min="9230" max="9230" width="8.140625" style="35" customWidth="1"/>
    <col min="9231" max="9231" width="9.85546875" style="35" customWidth="1"/>
    <col min="9232" max="9232" width="1" style="35" customWidth="1"/>
    <col min="9233" max="9233" width="3" style="35" customWidth="1"/>
    <col min="9234" max="9234" width="1" style="35" customWidth="1"/>
    <col min="9235" max="9235" width="3" style="35" customWidth="1"/>
    <col min="9236" max="9236" width="1" style="35" customWidth="1"/>
    <col min="9237" max="9237" width="3" style="35" customWidth="1"/>
    <col min="9238" max="9238" width="1" style="35" customWidth="1"/>
    <col min="9239" max="9239" width="3" style="35" customWidth="1"/>
    <col min="9240" max="9240" width="1" style="35" customWidth="1"/>
    <col min="9241" max="9242" width="3" style="35" customWidth="1"/>
    <col min="9243" max="9248" width="9.140625" style="35"/>
    <col min="9249" max="9255" width="0" style="35" hidden="1" customWidth="1"/>
    <col min="9256" max="9472" width="9.140625" style="35"/>
    <col min="9473" max="9473" width="3.42578125" style="35" customWidth="1"/>
    <col min="9474" max="9474" width="3.140625" style="35" customWidth="1"/>
    <col min="9475" max="9475" width="3.85546875" style="35" customWidth="1"/>
    <col min="9476" max="9479" width="9.140625" style="35"/>
    <col min="9480" max="9481" width="3.140625" style="35" customWidth="1"/>
    <col min="9482" max="9483" width="9.140625" style="35"/>
    <col min="9484" max="9484" width="10.42578125" style="35" customWidth="1"/>
    <col min="9485" max="9485" width="11.28515625" style="35" customWidth="1"/>
    <col min="9486" max="9486" width="8.140625" style="35" customWidth="1"/>
    <col min="9487" max="9487" width="9.85546875" style="35" customWidth="1"/>
    <col min="9488" max="9488" width="1" style="35" customWidth="1"/>
    <col min="9489" max="9489" width="3" style="35" customWidth="1"/>
    <col min="9490" max="9490" width="1" style="35" customWidth="1"/>
    <col min="9491" max="9491" width="3" style="35" customWidth="1"/>
    <col min="9492" max="9492" width="1" style="35" customWidth="1"/>
    <col min="9493" max="9493" width="3" style="35" customWidth="1"/>
    <col min="9494" max="9494" width="1" style="35" customWidth="1"/>
    <col min="9495" max="9495" width="3" style="35" customWidth="1"/>
    <col min="9496" max="9496" width="1" style="35" customWidth="1"/>
    <col min="9497" max="9498" width="3" style="35" customWidth="1"/>
    <col min="9499" max="9504" width="9.140625" style="35"/>
    <col min="9505" max="9511" width="0" style="35" hidden="1" customWidth="1"/>
    <col min="9512" max="9728" width="9.140625" style="35"/>
    <col min="9729" max="9729" width="3.42578125" style="35" customWidth="1"/>
    <col min="9730" max="9730" width="3.140625" style="35" customWidth="1"/>
    <col min="9731" max="9731" width="3.85546875" style="35" customWidth="1"/>
    <col min="9732" max="9735" width="9.140625" style="35"/>
    <col min="9736" max="9737" width="3.140625" style="35" customWidth="1"/>
    <col min="9738" max="9739" width="9.140625" style="35"/>
    <col min="9740" max="9740" width="10.42578125" style="35" customWidth="1"/>
    <col min="9741" max="9741" width="11.28515625" style="35" customWidth="1"/>
    <col min="9742" max="9742" width="8.140625" style="35" customWidth="1"/>
    <col min="9743" max="9743" width="9.85546875" style="35" customWidth="1"/>
    <col min="9744" max="9744" width="1" style="35" customWidth="1"/>
    <col min="9745" max="9745" width="3" style="35" customWidth="1"/>
    <col min="9746" max="9746" width="1" style="35" customWidth="1"/>
    <col min="9747" max="9747" width="3" style="35" customWidth="1"/>
    <col min="9748" max="9748" width="1" style="35" customWidth="1"/>
    <col min="9749" max="9749" width="3" style="35" customWidth="1"/>
    <col min="9750" max="9750" width="1" style="35" customWidth="1"/>
    <col min="9751" max="9751" width="3" style="35" customWidth="1"/>
    <col min="9752" max="9752" width="1" style="35" customWidth="1"/>
    <col min="9753" max="9754" width="3" style="35" customWidth="1"/>
    <col min="9755" max="9760" width="9.140625" style="35"/>
    <col min="9761" max="9767" width="0" style="35" hidden="1" customWidth="1"/>
    <col min="9768" max="9984" width="9.140625" style="35"/>
    <col min="9985" max="9985" width="3.42578125" style="35" customWidth="1"/>
    <col min="9986" max="9986" width="3.140625" style="35" customWidth="1"/>
    <col min="9987" max="9987" width="3.85546875" style="35" customWidth="1"/>
    <col min="9988" max="9991" width="9.140625" style="35"/>
    <col min="9992" max="9993" width="3.140625" style="35" customWidth="1"/>
    <col min="9994" max="9995" width="9.140625" style="35"/>
    <col min="9996" max="9996" width="10.42578125" style="35" customWidth="1"/>
    <col min="9997" max="9997" width="11.28515625" style="35" customWidth="1"/>
    <col min="9998" max="9998" width="8.140625" style="35" customWidth="1"/>
    <col min="9999" max="9999" width="9.85546875" style="35" customWidth="1"/>
    <col min="10000" max="10000" width="1" style="35" customWidth="1"/>
    <col min="10001" max="10001" width="3" style="35" customWidth="1"/>
    <col min="10002" max="10002" width="1" style="35" customWidth="1"/>
    <col min="10003" max="10003" width="3" style="35" customWidth="1"/>
    <col min="10004" max="10004" width="1" style="35" customWidth="1"/>
    <col min="10005" max="10005" width="3" style="35" customWidth="1"/>
    <col min="10006" max="10006" width="1" style="35" customWidth="1"/>
    <col min="10007" max="10007" width="3" style="35" customWidth="1"/>
    <col min="10008" max="10008" width="1" style="35" customWidth="1"/>
    <col min="10009" max="10010" width="3" style="35" customWidth="1"/>
    <col min="10011" max="10016" width="9.140625" style="35"/>
    <col min="10017" max="10023" width="0" style="35" hidden="1" customWidth="1"/>
    <col min="10024" max="10240" width="9.140625" style="35"/>
    <col min="10241" max="10241" width="3.42578125" style="35" customWidth="1"/>
    <col min="10242" max="10242" width="3.140625" style="35" customWidth="1"/>
    <col min="10243" max="10243" width="3.85546875" style="35" customWidth="1"/>
    <col min="10244" max="10247" width="9.140625" style="35"/>
    <col min="10248" max="10249" width="3.140625" style="35" customWidth="1"/>
    <col min="10250" max="10251" width="9.140625" style="35"/>
    <col min="10252" max="10252" width="10.42578125" style="35" customWidth="1"/>
    <col min="10253" max="10253" width="11.28515625" style="35" customWidth="1"/>
    <col min="10254" max="10254" width="8.140625" style="35" customWidth="1"/>
    <col min="10255" max="10255" width="9.85546875" style="35" customWidth="1"/>
    <col min="10256" max="10256" width="1" style="35" customWidth="1"/>
    <col min="10257" max="10257" width="3" style="35" customWidth="1"/>
    <col min="10258" max="10258" width="1" style="35" customWidth="1"/>
    <col min="10259" max="10259" width="3" style="35" customWidth="1"/>
    <col min="10260" max="10260" width="1" style="35" customWidth="1"/>
    <col min="10261" max="10261" width="3" style="35" customWidth="1"/>
    <col min="10262" max="10262" width="1" style="35" customWidth="1"/>
    <col min="10263" max="10263" width="3" style="35" customWidth="1"/>
    <col min="10264" max="10264" width="1" style="35" customWidth="1"/>
    <col min="10265" max="10266" width="3" style="35" customWidth="1"/>
    <col min="10267" max="10272" width="9.140625" style="35"/>
    <col min="10273" max="10279" width="0" style="35" hidden="1" customWidth="1"/>
    <col min="10280" max="10496" width="9.140625" style="35"/>
    <col min="10497" max="10497" width="3.42578125" style="35" customWidth="1"/>
    <col min="10498" max="10498" width="3.140625" style="35" customWidth="1"/>
    <col min="10499" max="10499" width="3.85546875" style="35" customWidth="1"/>
    <col min="10500" max="10503" width="9.140625" style="35"/>
    <col min="10504" max="10505" width="3.140625" style="35" customWidth="1"/>
    <col min="10506" max="10507" width="9.140625" style="35"/>
    <col min="10508" max="10508" width="10.42578125" style="35" customWidth="1"/>
    <col min="10509" max="10509" width="11.28515625" style="35" customWidth="1"/>
    <col min="10510" max="10510" width="8.140625" style="35" customWidth="1"/>
    <col min="10511" max="10511" width="9.85546875" style="35" customWidth="1"/>
    <col min="10512" max="10512" width="1" style="35" customWidth="1"/>
    <col min="10513" max="10513" width="3" style="35" customWidth="1"/>
    <col min="10514" max="10514" width="1" style="35" customWidth="1"/>
    <col min="10515" max="10515" width="3" style="35" customWidth="1"/>
    <col min="10516" max="10516" width="1" style="35" customWidth="1"/>
    <col min="10517" max="10517" width="3" style="35" customWidth="1"/>
    <col min="10518" max="10518" width="1" style="35" customWidth="1"/>
    <col min="10519" max="10519" width="3" style="35" customWidth="1"/>
    <col min="10520" max="10520" width="1" style="35" customWidth="1"/>
    <col min="10521" max="10522" width="3" style="35" customWidth="1"/>
    <col min="10523" max="10528" width="9.140625" style="35"/>
    <col min="10529" max="10535" width="0" style="35" hidden="1" customWidth="1"/>
    <col min="10536" max="10752" width="9.140625" style="35"/>
    <col min="10753" max="10753" width="3.42578125" style="35" customWidth="1"/>
    <col min="10754" max="10754" width="3.140625" style="35" customWidth="1"/>
    <col min="10755" max="10755" width="3.85546875" style="35" customWidth="1"/>
    <col min="10756" max="10759" width="9.140625" style="35"/>
    <col min="10760" max="10761" width="3.140625" style="35" customWidth="1"/>
    <col min="10762" max="10763" width="9.140625" style="35"/>
    <col min="10764" max="10764" width="10.42578125" style="35" customWidth="1"/>
    <col min="10765" max="10765" width="11.28515625" style="35" customWidth="1"/>
    <col min="10766" max="10766" width="8.140625" style="35" customWidth="1"/>
    <col min="10767" max="10767" width="9.85546875" style="35" customWidth="1"/>
    <col min="10768" max="10768" width="1" style="35" customWidth="1"/>
    <col min="10769" max="10769" width="3" style="35" customWidth="1"/>
    <col min="10770" max="10770" width="1" style="35" customWidth="1"/>
    <col min="10771" max="10771" width="3" style="35" customWidth="1"/>
    <col min="10772" max="10772" width="1" style="35" customWidth="1"/>
    <col min="10773" max="10773" width="3" style="35" customWidth="1"/>
    <col min="10774" max="10774" width="1" style="35" customWidth="1"/>
    <col min="10775" max="10775" width="3" style="35" customWidth="1"/>
    <col min="10776" max="10776" width="1" style="35" customWidth="1"/>
    <col min="10777" max="10778" width="3" style="35" customWidth="1"/>
    <col min="10779" max="10784" width="9.140625" style="35"/>
    <col min="10785" max="10791" width="0" style="35" hidden="1" customWidth="1"/>
    <col min="10792" max="11008" width="9.140625" style="35"/>
    <col min="11009" max="11009" width="3.42578125" style="35" customWidth="1"/>
    <col min="11010" max="11010" width="3.140625" style="35" customWidth="1"/>
    <col min="11011" max="11011" width="3.85546875" style="35" customWidth="1"/>
    <col min="11012" max="11015" width="9.140625" style="35"/>
    <col min="11016" max="11017" width="3.140625" style="35" customWidth="1"/>
    <col min="11018" max="11019" width="9.140625" style="35"/>
    <col min="11020" max="11020" width="10.42578125" style="35" customWidth="1"/>
    <col min="11021" max="11021" width="11.28515625" style="35" customWidth="1"/>
    <col min="11022" max="11022" width="8.140625" style="35" customWidth="1"/>
    <col min="11023" max="11023" width="9.85546875" style="35" customWidth="1"/>
    <col min="11024" max="11024" width="1" style="35" customWidth="1"/>
    <col min="11025" max="11025" width="3" style="35" customWidth="1"/>
    <col min="11026" max="11026" width="1" style="35" customWidth="1"/>
    <col min="11027" max="11027" width="3" style="35" customWidth="1"/>
    <col min="11028" max="11028" width="1" style="35" customWidth="1"/>
    <col min="11029" max="11029" width="3" style="35" customWidth="1"/>
    <col min="11030" max="11030" width="1" style="35" customWidth="1"/>
    <col min="11031" max="11031" width="3" style="35" customWidth="1"/>
    <col min="11032" max="11032" width="1" style="35" customWidth="1"/>
    <col min="11033" max="11034" width="3" style="35" customWidth="1"/>
    <col min="11035" max="11040" width="9.140625" style="35"/>
    <col min="11041" max="11047" width="0" style="35" hidden="1" customWidth="1"/>
    <col min="11048" max="11264" width="9.140625" style="35"/>
    <col min="11265" max="11265" width="3.42578125" style="35" customWidth="1"/>
    <col min="11266" max="11266" width="3.140625" style="35" customWidth="1"/>
    <col min="11267" max="11267" width="3.85546875" style="35" customWidth="1"/>
    <col min="11268" max="11271" width="9.140625" style="35"/>
    <col min="11272" max="11273" width="3.140625" style="35" customWidth="1"/>
    <col min="11274" max="11275" width="9.140625" style="35"/>
    <col min="11276" max="11276" width="10.42578125" style="35" customWidth="1"/>
    <col min="11277" max="11277" width="11.28515625" style="35" customWidth="1"/>
    <col min="11278" max="11278" width="8.140625" style="35" customWidth="1"/>
    <col min="11279" max="11279" width="9.85546875" style="35" customWidth="1"/>
    <col min="11280" max="11280" width="1" style="35" customWidth="1"/>
    <col min="11281" max="11281" width="3" style="35" customWidth="1"/>
    <col min="11282" max="11282" width="1" style="35" customWidth="1"/>
    <col min="11283" max="11283" width="3" style="35" customWidth="1"/>
    <col min="11284" max="11284" width="1" style="35" customWidth="1"/>
    <col min="11285" max="11285" width="3" style="35" customWidth="1"/>
    <col min="11286" max="11286" width="1" style="35" customWidth="1"/>
    <col min="11287" max="11287" width="3" style="35" customWidth="1"/>
    <col min="11288" max="11288" width="1" style="35" customWidth="1"/>
    <col min="11289" max="11290" width="3" style="35" customWidth="1"/>
    <col min="11291" max="11296" width="9.140625" style="35"/>
    <col min="11297" max="11303" width="0" style="35" hidden="1" customWidth="1"/>
    <col min="11304" max="11520" width="9.140625" style="35"/>
    <col min="11521" max="11521" width="3.42578125" style="35" customWidth="1"/>
    <col min="11522" max="11522" width="3.140625" style="35" customWidth="1"/>
    <col min="11523" max="11523" width="3.85546875" style="35" customWidth="1"/>
    <col min="11524" max="11527" width="9.140625" style="35"/>
    <col min="11528" max="11529" width="3.140625" style="35" customWidth="1"/>
    <col min="11530" max="11531" width="9.140625" style="35"/>
    <col min="11532" max="11532" width="10.42578125" style="35" customWidth="1"/>
    <col min="11533" max="11533" width="11.28515625" style="35" customWidth="1"/>
    <col min="11534" max="11534" width="8.140625" style="35" customWidth="1"/>
    <col min="11535" max="11535" width="9.85546875" style="35" customWidth="1"/>
    <col min="11536" max="11536" width="1" style="35" customWidth="1"/>
    <col min="11537" max="11537" width="3" style="35" customWidth="1"/>
    <col min="11538" max="11538" width="1" style="35" customWidth="1"/>
    <col min="11539" max="11539" width="3" style="35" customWidth="1"/>
    <col min="11540" max="11540" width="1" style="35" customWidth="1"/>
    <col min="11541" max="11541" width="3" style="35" customWidth="1"/>
    <col min="11542" max="11542" width="1" style="35" customWidth="1"/>
    <col min="11543" max="11543" width="3" style="35" customWidth="1"/>
    <col min="11544" max="11544" width="1" style="35" customWidth="1"/>
    <col min="11545" max="11546" width="3" style="35" customWidth="1"/>
    <col min="11547" max="11552" width="9.140625" style="35"/>
    <col min="11553" max="11559" width="0" style="35" hidden="1" customWidth="1"/>
    <col min="11560" max="11776" width="9.140625" style="35"/>
    <col min="11777" max="11777" width="3.42578125" style="35" customWidth="1"/>
    <col min="11778" max="11778" width="3.140625" style="35" customWidth="1"/>
    <col min="11779" max="11779" width="3.85546875" style="35" customWidth="1"/>
    <col min="11780" max="11783" width="9.140625" style="35"/>
    <col min="11784" max="11785" width="3.140625" style="35" customWidth="1"/>
    <col min="11786" max="11787" width="9.140625" style="35"/>
    <col min="11788" max="11788" width="10.42578125" style="35" customWidth="1"/>
    <col min="11789" max="11789" width="11.28515625" style="35" customWidth="1"/>
    <col min="11790" max="11790" width="8.140625" style="35" customWidth="1"/>
    <col min="11791" max="11791" width="9.85546875" style="35" customWidth="1"/>
    <col min="11792" max="11792" width="1" style="35" customWidth="1"/>
    <col min="11793" max="11793" width="3" style="35" customWidth="1"/>
    <col min="11794" max="11794" width="1" style="35" customWidth="1"/>
    <col min="11795" max="11795" width="3" style="35" customWidth="1"/>
    <col min="11796" max="11796" width="1" style="35" customWidth="1"/>
    <col min="11797" max="11797" width="3" style="35" customWidth="1"/>
    <col min="11798" max="11798" width="1" style="35" customWidth="1"/>
    <col min="11799" max="11799" width="3" style="35" customWidth="1"/>
    <col min="11800" max="11800" width="1" style="35" customWidth="1"/>
    <col min="11801" max="11802" width="3" style="35" customWidth="1"/>
    <col min="11803" max="11808" width="9.140625" style="35"/>
    <col min="11809" max="11815" width="0" style="35" hidden="1" customWidth="1"/>
    <col min="11816" max="12032" width="9.140625" style="35"/>
    <col min="12033" max="12033" width="3.42578125" style="35" customWidth="1"/>
    <col min="12034" max="12034" width="3.140625" style="35" customWidth="1"/>
    <col min="12035" max="12035" width="3.85546875" style="35" customWidth="1"/>
    <col min="12036" max="12039" width="9.140625" style="35"/>
    <col min="12040" max="12041" width="3.140625" style="35" customWidth="1"/>
    <col min="12042" max="12043" width="9.140625" style="35"/>
    <col min="12044" max="12044" width="10.42578125" style="35" customWidth="1"/>
    <col min="12045" max="12045" width="11.28515625" style="35" customWidth="1"/>
    <col min="12046" max="12046" width="8.140625" style="35" customWidth="1"/>
    <col min="12047" max="12047" width="9.85546875" style="35" customWidth="1"/>
    <col min="12048" max="12048" width="1" style="35" customWidth="1"/>
    <col min="12049" max="12049" width="3" style="35" customWidth="1"/>
    <col min="12050" max="12050" width="1" style="35" customWidth="1"/>
    <col min="12051" max="12051" width="3" style="35" customWidth="1"/>
    <col min="12052" max="12052" width="1" style="35" customWidth="1"/>
    <col min="12053" max="12053" width="3" style="35" customWidth="1"/>
    <col min="12054" max="12054" width="1" style="35" customWidth="1"/>
    <col min="12055" max="12055" width="3" style="35" customWidth="1"/>
    <col min="12056" max="12056" width="1" style="35" customWidth="1"/>
    <col min="12057" max="12058" width="3" style="35" customWidth="1"/>
    <col min="12059" max="12064" width="9.140625" style="35"/>
    <col min="12065" max="12071" width="0" style="35" hidden="1" customWidth="1"/>
    <col min="12072" max="12288" width="9.140625" style="35"/>
    <col min="12289" max="12289" width="3.42578125" style="35" customWidth="1"/>
    <col min="12290" max="12290" width="3.140625" style="35" customWidth="1"/>
    <col min="12291" max="12291" width="3.85546875" style="35" customWidth="1"/>
    <col min="12292" max="12295" width="9.140625" style="35"/>
    <col min="12296" max="12297" width="3.140625" style="35" customWidth="1"/>
    <col min="12298" max="12299" width="9.140625" style="35"/>
    <col min="12300" max="12300" width="10.42578125" style="35" customWidth="1"/>
    <col min="12301" max="12301" width="11.28515625" style="35" customWidth="1"/>
    <col min="12302" max="12302" width="8.140625" style="35" customWidth="1"/>
    <col min="12303" max="12303" width="9.85546875" style="35" customWidth="1"/>
    <col min="12304" max="12304" width="1" style="35" customWidth="1"/>
    <col min="12305" max="12305" width="3" style="35" customWidth="1"/>
    <col min="12306" max="12306" width="1" style="35" customWidth="1"/>
    <col min="12307" max="12307" width="3" style="35" customWidth="1"/>
    <col min="12308" max="12308" width="1" style="35" customWidth="1"/>
    <col min="12309" max="12309" width="3" style="35" customWidth="1"/>
    <col min="12310" max="12310" width="1" style="35" customWidth="1"/>
    <col min="12311" max="12311" width="3" style="35" customWidth="1"/>
    <col min="12312" max="12312" width="1" style="35" customWidth="1"/>
    <col min="12313" max="12314" width="3" style="35" customWidth="1"/>
    <col min="12315" max="12320" width="9.140625" style="35"/>
    <col min="12321" max="12327" width="0" style="35" hidden="1" customWidth="1"/>
    <col min="12328" max="12544" width="9.140625" style="35"/>
    <col min="12545" max="12545" width="3.42578125" style="35" customWidth="1"/>
    <col min="12546" max="12546" width="3.140625" style="35" customWidth="1"/>
    <col min="12547" max="12547" width="3.85546875" style="35" customWidth="1"/>
    <col min="12548" max="12551" width="9.140625" style="35"/>
    <col min="12552" max="12553" width="3.140625" style="35" customWidth="1"/>
    <col min="12554" max="12555" width="9.140625" style="35"/>
    <col min="12556" max="12556" width="10.42578125" style="35" customWidth="1"/>
    <col min="12557" max="12557" width="11.28515625" style="35" customWidth="1"/>
    <col min="12558" max="12558" width="8.140625" style="35" customWidth="1"/>
    <col min="12559" max="12559" width="9.85546875" style="35" customWidth="1"/>
    <col min="12560" max="12560" width="1" style="35" customWidth="1"/>
    <col min="12561" max="12561" width="3" style="35" customWidth="1"/>
    <col min="12562" max="12562" width="1" style="35" customWidth="1"/>
    <col min="12563" max="12563" width="3" style="35" customWidth="1"/>
    <col min="12564" max="12564" width="1" style="35" customWidth="1"/>
    <col min="12565" max="12565" width="3" style="35" customWidth="1"/>
    <col min="12566" max="12566" width="1" style="35" customWidth="1"/>
    <col min="12567" max="12567" width="3" style="35" customWidth="1"/>
    <col min="12568" max="12568" width="1" style="35" customWidth="1"/>
    <col min="12569" max="12570" width="3" style="35" customWidth="1"/>
    <col min="12571" max="12576" width="9.140625" style="35"/>
    <col min="12577" max="12583" width="0" style="35" hidden="1" customWidth="1"/>
    <col min="12584" max="12800" width="9.140625" style="35"/>
    <col min="12801" max="12801" width="3.42578125" style="35" customWidth="1"/>
    <col min="12802" max="12802" width="3.140625" style="35" customWidth="1"/>
    <col min="12803" max="12803" width="3.85546875" style="35" customWidth="1"/>
    <col min="12804" max="12807" width="9.140625" style="35"/>
    <col min="12808" max="12809" width="3.140625" style="35" customWidth="1"/>
    <col min="12810" max="12811" width="9.140625" style="35"/>
    <col min="12812" max="12812" width="10.42578125" style="35" customWidth="1"/>
    <col min="12813" max="12813" width="11.28515625" style="35" customWidth="1"/>
    <col min="12814" max="12814" width="8.140625" style="35" customWidth="1"/>
    <col min="12815" max="12815" width="9.85546875" style="35" customWidth="1"/>
    <col min="12816" max="12816" width="1" style="35" customWidth="1"/>
    <col min="12817" max="12817" width="3" style="35" customWidth="1"/>
    <col min="12818" max="12818" width="1" style="35" customWidth="1"/>
    <col min="12819" max="12819" width="3" style="35" customWidth="1"/>
    <col min="12820" max="12820" width="1" style="35" customWidth="1"/>
    <col min="12821" max="12821" width="3" style="35" customWidth="1"/>
    <col min="12822" max="12822" width="1" style="35" customWidth="1"/>
    <col min="12823" max="12823" width="3" style="35" customWidth="1"/>
    <col min="12824" max="12824" width="1" style="35" customWidth="1"/>
    <col min="12825" max="12826" width="3" style="35" customWidth="1"/>
    <col min="12827" max="12832" width="9.140625" style="35"/>
    <col min="12833" max="12839" width="0" style="35" hidden="1" customWidth="1"/>
    <col min="12840" max="13056" width="9.140625" style="35"/>
    <col min="13057" max="13057" width="3.42578125" style="35" customWidth="1"/>
    <col min="13058" max="13058" width="3.140625" style="35" customWidth="1"/>
    <col min="13059" max="13059" width="3.85546875" style="35" customWidth="1"/>
    <col min="13060" max="13063" width="9.140625" style="35"/>
    <col min="13064" max="13065" width="3.140625" style="35" customWidth="1"/>
    <col min="13066" max="13067" width="9.140625" style="35"/>
    <col min="13068" max="13068" width="10.42578125" style="35" customWidth="1"/>
    <col min="13069" max="13069" width="11.28515625" style="35" customWidth="1"/>
    <col min="13070" max="13070" width="8.140625" style="35" customWidth="1"/>
    <col min="13071" max="13071" width="9.85546875" style="35" customWidth="1"/>
    <col min="13072" max="13072" width="1" style="35" customWidth="1"/>
    <col min="13073" max="13073" width="3" style="35" customWidth="1"/>
    <col min="13074" max="13074" width="1" style="35" customWidth="1"/>
    <col min="13075" max="13075" width="3" style="35" customWidth="1"/>
    <col min="13076" max="13076" width="1" style="35" customWidth="1"/>
    <col min="13077" max="13077" width="3" style="35" customWidth="1"/>
    <col min="13078" max="13078" width="1" style="35" customWidth="1"/>
    <col min="13079" max="13079" width="3" style="35" customWidth="1"/>
    <col min="13080" max="13080" width="1" style="35" customWidth="1"/>
    <col min="13081" max="13082" width="3" style="35" customWidth="1"/>
    <col min="13083" max="13088" width="9.140625" style="35"/>
    <col min="13089" max="13095" width="0" style="35" hidden="1" customWidth="1"/>
    <col min="13096" max="13312" width="9.140625" style="35"/>
    <col min="13313" max="13313" width="3.42578125" style="35" customWidth="1"/>
    <col min="13314" max="13314" width="3.140625" style="35" customWidth="1"/>
    <col min="13315" max="13315" width="3.85546875" style="35" customWidth="1"/>
    <col min="13316" max="13319" width="9.140625" style="35"/>
    <col min="13320" max="13321" width="3.140625" style="35" customWidth="1"/>
    <col min="13322" max="13323" width="9.140625" style="35"/>
    <col min="13324" max="13324" width="10.42578125" style="35" customWidth="1"/>
    <col min="13325" max="13325" width="11.28515625" style="35" customWidth="1"/>
    <col min="13326" max="13326" width="8.140625" style="35" customWidth="1"/>
    <col min="13327" max="13327" width="9.85546875" style="35" customWidth="1"/>
    <col min="13328" max="13328" width="1" style="35" customWidth="1"/>
    <col min="13329" max="13329" width="3" style="35" customWidth="1"/>
    <col min="13330" max="13330" width="1" style="35" customWidth="1"/>
    <col min="13331" max="13331" width="3" style="35" customWidth="1"/>
    <col min="13332" max="13332" width="1" style="35" customWidth="1"/>
    <col min="13333" max="13333" width="3" style="35" customWidth="1"/>
    <col min="13334" max="13334" width="1" style="35" customWidth="1"/>
    <col min="13335" max="13335" width="3" style="35" customWidth="1"/>
    <col min="13336" max="13336" width="1" style="35" customWidth="1"/>
    <col min="13337" max="13338" width="3" style="35" customWidth="1"/>
    <col min="13339" max="13344" width="9.140625" style="35"/>
    <col min="13345" max="13351" width="0" style="35" hidden="1" customWidth="1"/>
    <col min="13352" max="13568" width="9.140625" style="35"/>
    <col min="13569" max="13569" width="3.42578125" style="35" customWidth="1"/>
    <col min="13570" max="13570" width="3.140625" style="35" customWidth="1"/>
    <col min="13571" max="13571" width="3.85546875" style="35" customWidth="1"/>
    <col min="13572" max="13575" width="9.140625" style="35"/>
    <col min="13576" max="13577" width="3.140625" style="35" customWidth="1"/>
    <col min="13578" max="13579" width="9.140625" style="35"/>
    <col min="13580" max="13580" width="10.42578125" style="35" customWidth="1"/>
    <col min="13581" max="13581" width="11.28515625" style="35" customWidth="1"/>
    <col min="13582" max="13582" width="8.140625" style="35" customWidth="1"/>
    <col min="13583" max="13583" width="9.85546875" style="35" customWidth="1"/>
    <col min="13584" max="13584" width="1" style="35" customWidth="1"/>
    <col min="13585" max="13585" width="3" style="35" customWidth="1"/>
    <col min="13586" max="13586" width="1" style="35" customWidth="1"/>
    <col min="13587" max="13587" width="3" style="35" customWidth="1"/>
    <col min="13588" max="13588" width="1" style="35" customWidth="1"/>
    <col min="13589" max="13589" width="3" style="35" customWidth="1"/>
    <col min="13590" max="13590" width="1" style="35" customWidth="1"/>
    <col min="13591" max="13591" width="3" style="35" customWidth="1"/>
    <col min="13592" max="13592" width="1" style="35" customWidth="1"/>
    <col min="13593" max="13594" width="3" style="35" customWidth="1"/>
    <col min="13595" max="13600" width="9.140625" style="35"/>
    <col min="13601" max="13607" width="0" style="35" hidden="1" customWidth="1"/>
    <col min="13608" max="13824" width="9.140625" style="35"/>
    <col min="13825" max="13825" width="3.42578125" style="35" customWidth="1"/>
    <col min="13826" max="13826" width="3.140625" style="35" customWidth="1"/>
    <col min="13827" max="13827" width="3.85546875" style="35" customWidth="1"/>
    <col min="13828" max="13831" width="9.140625" style="35"/>
    <col min="13832" max="13833" width="3.140625" style="35" customWidth="1"/>
    <col min="13834" max="13835" width="9.140625" style="35"/>
    <col min="13836" max="13836" width="10.42578125" style="35" customWidth="1"/>
    <col min="13837" max="13837" width="11.28515625" style="35" customWidth="1"/>
    <col min="13838" max="13838" width="8.140625" style="35" customWidth="1"/>
    <col min="13839" max="13839" width="9.85546875" style="35" customWidth="1"/>
    <col min="13840" max="13840" width="1" style="35" customWidth="1"/>
    <col min="13841" max="13841" width="3" style="35" customWidth="1"/>
    <col min="13842" max="13842" width="1" style="35" customWidth="1"/>
    <col min="13843" max="13843" width="3" style="35" customWidth="1"/>
    <col min="13844" max="13844" width="1" style="35" customWidth="1"/>
    <col min="13845" max="13845" width="3" style="35" customWidth="1"/>
    <col min="13846" max="13846" width="1" style="35" customWidth="1"/>
    <col min="13847" max="13847" width="3" style="35" customWidth="1"/>
    <col min="13848" max="13848" width="1" style="35" customWidth="1"/>
    <col min="13849" max="13850" width="3" style="35" customWidth="1"/>
    <col min="13851" max="13856" width="9.140625" style="35"/>
    <col min="13857" max="13863" width="0" style="35" hidden="1" customWidth="1"/>
    <col min="13864" max="14080" width="9.140625" style="35"/>
    <col min="14081" max="14081" width="3.42578125" style="35" customWidth="1"/>
    <col min="14082" max="14082" width="3.140625" style="35" customWidth="1"/>
    <col min="14083" max="14083" width="3.85546875" style="35" customWidth="1"/>
    <col min="14084" max="14087" width="9.140625" style="35"/>
    <col min="14088" max="14089" width="3.140625" style="35" customWidth="1"/>
    <col min="14090" max="14091" width="9.140625" style="35"/>
    <col min="14092" max="14092" width="10.42578125" style="35" customWidth="1"/>
    <col min="14093" max="14093" width="11.28515625" style="35" customWidth="1"/>
    <col min="14094" max="14094" width="8.140625" style="35" customWidth="1"/>
    <col min="14095" max="14095" width="9.85546875" style="35" customWidth="1"/>
    <col min="14096" max="14096" width="1" style="35" customWidth="1"/>
    <col min="14097" max="14097" width="3" style="35" customWidth="1"/>
    <col min="14098" max="14098" width="1" style="35" customWidth="1"/>
    <col min="14099" max="14099" width="3" style="35" customWidth="1"/>
    <col min="14100" max="14100" width="1" style="35" customWidth="1"/>
    <col min="14101" max="14101" width="3" style="35" customWidth="1"/>
    <col min="14102" max="14102" width="1" style="35" customWidth="1"/>
    <col min="14103" max="14103" width="3" style="35" customWidth="1"/>
    <col min="14104" max="14104" width="1" style="35" customWidth="1"/>
    <col min="14105" max="14106" width="3" style="35" customWidth="1"/>
    <col min="14107" max="14112" width="9.140625" style="35"/>
    <col min="14113" max="14119" width="0" style="35" hidden="1" customWidth="1"/>
    <col min="14120" max="14336" width="9.140625" style="35"/>
    <col min="14337" max="14337" width="3.42578125" style="35" customWidth="1"/>
    <col min="14338" max="14338" width="3.140625" style="35" customWidth="1"/>
    <col min="14339" max="14339" width="3.85546875" style="35" customWidth="1"/>
    <col min="14340" max="14343" width="9.140625" style="35"/>
    <col min="14344" max="14345" width="3.140625" style="35" customWidth="1"/>
    <col min="14346" max="14347" width="9.140625" style="35"/>
    <col min="14348" max="14348" width="10.42578125" style="35" customWidth="1"/>
    <col min="14349" max="14349" width="11.28515625" style="35" customWidth="1"/>
    <col min="14350" max="14350" width="8.140625" style="35" customWidth="1"/>
    <col min="14351" max="14351" width="9.85546875" style="35" customWidth="1"/>
    <col min="14352" max="14352" width="1" style="35" customWidth="1"/>
    <col min="14353" max="14353" width="3" style="35" customWidth="1"/>
    <col min="14354" max="14354" width="1" style="35" customWidth="1"/>
    <col min="14355" max="14355" width="3" style="35" customWidth="1"/>
    <col min="14356" max="14356" width="1" style="35" customWidth="1"/>
    <col min="14357" max="14357" width="3" style="35" customWidth="1"/>
    <col min="14358" max="14358" width="1" style="35" customWidth="1"/>
    <col min="14359" max="14359" width="3" style="35" customWidth="1"/>
    <col min="14360" max="14360" width="1" style="35" customWidth="1"/>
    <col min="14361" max="14362" width="3" style="35" customWidth="1"/>
    <col min="14363" max="14368" width="9.140625" style="35"/>
    <col min="14369" max="14375" width="0" style="35" hidden="1" customWidth="1"/>
    <col min="14376" max="14592" width="9.140625" style="35"/>
    <col min="14593" max="14593" width="3.42578125" style="35" customWidth="1"/>
    <col min="14594" max="14594" width="3.140625" style="35" customWidth="1"/>
    <col min="14595" max="14595" width="3.85546875" style="35" customWidth="1"/>
    <col min="14596" max="14599" width="9.140625" style="35"/>
    <col min="14600" max="14601" width="3.140625" style="35" customWidth="1"/>
    <col min="14602" max="14603" width="9.140625" style="35"/>
    <col min="14604" max="14604" width="10.42578125" style="35" customWidth="1"/>
    <col min="14605" max="14605" width="11.28515625" style="35" customWidth="1"/>
    <col min="14606" max="14606" width="8.140625" style="35" customWidth="1"/>
    <col min="14607" max="14607" width="9.85546875" style="35" customWidth="1"/>
    <col min="14608" max="14608" width="1" style="35" customWidth="1"/>
    <col min="14609" max="14609" width="3" style="35" customWidth="1"/>
    <col min="14610" max="14610" width="1" style="35" customWidth="1"/>
    <col min="14611" max="14611" width="3" style="35" customWidth="1"/>
    <col min="14612" max="14612" width="1" style="35" customWidth="1"/>
    <col min="14613" max="14613" width="3" style="35" customWidth="1"/>
    <col min="14614" max="14614" width="1" style="35" customWidth="1"/>
    <col min="14615" max="14615" width="3" style="35" customWidth="1"/>
    <col min="14616" max="14616" width="1" style="35" customWidth="1"/>
    <col min="14617" max="14618" width="3" style="35" customWidth="1"/>
    <col min="14619" max="14624" width="9.140625" style="35"/>
    <col min="14625" max="14631" width="0" style="35" hidden="1" customWidth="1"/>
    <col min="14632" max="14848" width="9.140625" style="35"/>
    <col min="14849" max="14849" width="3.42578125" style="35" customWidth="1"/>
    <col min="14850" max="14850" width="3.140625" style="35" customWidth="1"/>
    <col min="14851" max="14851" width="3.85546875" style="35" customWidth="1"/>
    <col min="14852" max="14855" width="9.140625" style="35"/>
    <col min="14856" max="14857" width="3.140625" style="35" customWidth="1"/>
    <col min="14858" max="14859" width="9.140625" style="35"/>
    <col min="14860" max="14860" width="10.42578125" style="35" customWidth="1"/>
    <col min="14861" max="14861" width="11.28515625" style="35" customWidth="1"/>
    <col min="14862" max="14862" width="8.140625" style="35" customWidth="1"/>
    <col min="14863" max="14863" width="9.85546875" style="35" customWidth="1"/>
    <col min="14864" max="14864" width="1" style="35" customWidth="1"/>
    <col min="14865" max="14865" width="3" style="35" customWidth="1"/>
    <col min="14866" max="14866" width="1" style="35" customWidth="1"/>
    <col min="14867" max="14867" width="3" style="35" customWidth="1"/>
    <col min="14868" max="14868" width="1" style="35" customWidth="1"/>
    <col min="14869" max="14869" width="3" style="35" customWidth="1"/>
    <col min="14870" max="14870" width="1" style="35" customWidth="1"/>
    <col min="14871" max="14871" width="3" style="35" customWidth="1"/>
    <col min="14872" max="14872" width="1" style="35" customWidth="1"/>
    <col min="14873" max="14874" width="3" style="35" customWidth="1"/>
    <col min="14875" max="14880" width="9.140625" style="35"/>
    <col min="14881" max="14887" width="0" style="35" hidden="1" customWidth="1"/>
    <col min="14888" max="15104" width="9.140625" style="35"/>
    <col min="15105" max="15105" width="3.42578125" style="35" customWidth="1"/>
    <col min="15106" max="15106" width="3.140625" style="35" customWidth="1"/>
    <col min="15107" max="15107" width="3.85546875" style="35" customWidth="1"/>
    <col min="15108" max="15111" width="9.140625" style="35"/>
    <col min="15112" max="15113" width="3.140625" style="35" customWidth="1"/>
    <col min="15114" max="15115" width="9.140625" style="35"/>
    <col min="15116" max="15116" width="10.42578125" style="35" customWidth="1"/>
    <col min="15117" max="15117" width="11.28515625" style="35" customWidth="1"/>
    <col min="15118" max="15118" width="8.140625" style="35" customWidth="1"/>
    <col min="15119" max="15119" width="9.85546875" style="35" customWidth="1"/>
    <col min="15120" max="15120" width="1" style="35" customWidth="1"/>
    <col min="15121" max="15121" width="3" style="35" customWidth="1"/>
    <col min="15122" max="15122" width="1" style="35" customWidth="1"/>
    <col min="15123" max="15123" width="3" style="35" customWidth="1"/>
    <col min="15124" max="15124" width="1" style="35" customWidth="1"/>
    <col min="15125" max="15125" width="3" style="35" customWidth="1"/>
    <col min="15126" max="15126" width="1" style="35" customWidth="1"/>
    <col min="15127" max="15127" width="3" style="35" customWidth="1"/>
    <col min="15128" max="15128" width="1" style="35" customWidth="1"/>
    <col min="15129" max="15130" width="3" style="35" customWidth="1"/>
    <col min="15131" max="15136" width="9.140625" style="35"/>
    <col min="15137" max="15143" width="0" style="35" hidden="1" customWidth="1"/>
    <col min="15144" max="15360" width="9.140625" style="35"/>
    <col min="15361" max="15361" width="3.42578125" style="35" customWidth="1"/>
    <col min="15362" max="15362" width="3.140625" style="35" customWidth="1"/>
    <col min="15363" max="15363" width="3.85546875" style="35" customWidth="1"/>
    <col min="15364" max="15367" width="9.140625" style="35"/>
    <col min="15368" max="15369" width="3.140625" style="35" customWidth="1"/>
    <col min="15370" max="15371" width="9.140625" style="35"/>
    <col min="15372" max="15372" width="10.42578125" style="35" customWidth="1"/>
    <col min="15373" max="15373" width="11.28515625" style="35" customWidth="1"/>
    <col min="15374" max="15374" width="8.140625" style="35" customWidth="1"/>
    <col min="15375" max="15375" width="9.85546875" style="35" customWidth="1"/>
    <col min="15376" max="15376" width="1" style="35" customWidth="1"/>
    <col min="15377" max="15377" width="3" style="35" customWidth="1"/>
    <col min="15378" max="15378" width="1" style="35" customWidth="1"/>
    <col min="15379" max="15379" width="3" style="35" customWidth="1"/>
    <col min="15380" max="15380" width="1" style="35" customWidth="1"/>
    <col min="15381" max="15381" width="3" style="35" customWidth="1"/>
    <col min="15382" max="15382" width="1" style="35" customWidth="1"/>
    <col min="15383" max="15383" width="3" style="35" customWidth="1"/>
    <col min="15384" max="15384" width="1" style="35" customWidth="1"/>
    <col min="15385" max="15386" width="3" style="35" customWidth="1"/>
    <col min="15387" max="15392" width="9.140625" style="35"/>
    <col min="15393" max="15399" width="0" style="35" hidden="1" customWidth="1"/>
    <col min="15400" max="15616" width="9.140625" style="35"/>
    <col min="15617" max="15617" width="3.42578125" style="35" customWidth="1"/>
    <col min="15618" max="15618" width="3.140625" style="35" customWidth="1"/>
    <col min="15619" max="15619" width="3.85546875" style="35" customWidth="1"/>
    <col min="15620" max="15623" width="9.140625" style="35"/>
    <col min="15624" max="15625" width="3.140625" style="35" customWidth="1"/>
    <col min="15626" max="15627" width="9.140625" style="35"/>
    <col min="15628" max="15628" width="10.42578125" style="35" customWidth="1"/>
    <col min="15629" max="15629" width="11.28515625" style="35" customWidth="1"/>
    <col min="15630" max="15630" width="8.140625" style="35" customWidth="1"/>
    <col min="15631" max="15631" width="9.85546875" style="35" customWidth="1"/>
    <col min="15632" max="15632" width="1" style="35" customWidth="1"/>
    <col min="15633" max="15633" width="3" style="35" customWidth="1"/>
    <col min="15634" max="15634" width="1" style="35" customWidth="1"/>
    <col min="15635" max="15635" width="3" style="35" customWidth="1"/>
    <col min="15636" max="15636" width="1" style="35" customWidth="1"/>
    <col min="15637" max="15637" width="3" style="35" customWidth="1"/>
    <col min="15638" max="15638" width="1" style="35" customWidth="1"/>
    <col min="15639" max="15639" width="3" style="35" customWidth="1"/>
    <col min="15640" max="15640" width="1" style="35" customWidth="1"/>
    <col min="15641" max="15642" width="3" style="35" customWidth="1"/>
    <col min="15643" max="15648" width="9.140625" style="35"/>
    <col min="15649" max="15655" width="0" style="35" hidden="1" customWidth="1"/>
    <col min="15656" max="15872" width="9.140625" style="35"/>
    <col min="15873" max="15873" width="3.42578125" style="35" customWidth="1"/>
    <col min="15874" max="15874" width="3.140625" style="35" customWidth="1"/>
    <col min="15875" max="15875" width="3.85546875" style="35" customWidth="1"/>
    <col min="15876" max="15879" width="9.140625" style="35"/>
    <col min="15880" max="15881" width="3.140625" style="35" customWidth="1"/>
    <col min="15882" max="15883" width="9.140625" style="35"/>
    <col min="15884" max="15884" width="10.42578125" style="35" customWidth="1"/>
    <col min="15885" max="15885" width="11.28515625" style="35" customWidth="1"/>
    <col min="15886" max="15886" width="8.140625" style="35" customWidth="1"/>
    <col min="15887" max="15887" width="9.85546875" style="35" customWidth="1"/>
    <col min="15888" max="15888" width="1" style="35" customWidth="1"/>
    <col min="15889" max="15889" width="3" style="35" customWidth="1"/>
    <col min="15890" max="15890" width="1" style="35" customWidth="1"/>
    <col min="15891" max="15891" width="3" style="35" customWidth="1"/>
    <col min="15892" max="15892" width="1" style="35" customWidth="1"/>
    <col min="15893" max="15893" width="3" style="35" customWidth="1"/>
    <col min="15894" max="15894" width="1" style="35" customWidth="1"/>
    <col min="15895" max="15895" width="3" style="35" customWidth="1"/>
    <col min="15896" max="15896" width="1" style="35" customWidth="1"/>
    <col min="15897" max="15898" width="3" style="35" customWidth="1"/>
    <col min="15899" max="15904" width="9.140625" style="35"/>
    <col min="15905" max="15911" width="0" style="35" hidden="1" customWidth="1"/>
    <col min="15912" max="16128" width="9.140625" style="35"/>
    <col min="16129" max="16129" width="3.42578125" style="35" customWidth="1"/>
    <col min="16130" max="16130" width="3.140625" style="35" customWidth="1"/>
    <col min="16131" max="16131" width="3.85546875" style="35" customWidth="1"/>
    <col min="16132" max="16135" width="9.140625" style="35"/>
    <col min="16136" max="16137" width="3.140625" style="35" customWidth="1"/>
    <col min="16138" max="16139" width="9.140625" style="35"/>
    <col min="16140" max="16140" width="10.42578125" style="35" customWidth="1"/>
    <col min="16141" max="16141" width="11.28515625" style="35" customWidth="1"/>
    <col min="16142" max="16142" width="8.140625" style="35" customWidth="1"/>
    <col min="16143" max="16143" width="9.85546875" style="35" customWidth="1"/>
    <col min="16144" max="16144" width="1" style="35" customWidth="1"/>
    <col min="16145" max="16145" width="3" style="35" customWidth="1"/>
    <col min="16146" max="16146" width="1" style="35" customWidth="1"/>
    <col min="16147" max="16147" width="3" style="35" customWidth="1"/>
    <col min="16148" max="16148" width="1" style="35" customWidth="1"/>
    <col min="16149" max="16149" width="3" style="35" customWidth="1"/>
    <col min="16150" max="16150" width="1" style="35" customWidth="1"/>
    <col min="16151" max="16151" width="3" style="35" customWidth="1"/>
    <col min="16152" max="16152" width="1" style="35" customWidth="1"/>
    <col min="16153" max="16154" width="3" style="35" customWidth="1"/>
    <col min="16155" max="16160" width="9.140625" style="35"/>
    <col min="16161" max="16167" width="0" style="35" hidden="1" customWidth="1"/>
    <col min="16168" max="16384" width="9.140625" style="35"/>
  </cols>
  <sheetData>
    <row r="1" spans="1:35" s="3417" customFormat="1" ht="42.75" customHeight="1">
      <c r="A1" s="3460" t="b">
        <f>IF(OR(H21&lt;&gt;"",H26&lt;&gt;"",B31&lt;&gt;"",B35&lt;&gt;"",AND(B59&lt;&gt;"",H63&lt;&gt;""),AND(H106&lt;&gt;"",H134&lt;&gt;""),B125&lt;&gt;"",H142&lt;&gt;"",H149&lt;&gt;"",AND(B101=0,B164&lt;&gt;""),B172&lt;&gt;"",H249&lt;&gt;"",L270=0,EarnedIncomeWSB&lt;=0,O399&lt;=0),TRUE,FALSE)</f>
        <v>1</v>
      </c>
      <c r="B1" s="3461">
        <f>IF(OR(H26&lt;&gt;"",B125&lt;&gt;"",B142&lt;&gt;"",H164&lt;&gt;"",AND(B264&lt;&gt;"",L270=0),AND(B316&lt;&gt;"",O372=0),B391&lt;&gt;"",AND($B$316&lt;&gt;"",O399=0)),1,0)</f>
        <v>1</v>
      </c>
      <c r="C1" s="3462" t="str">
        <f>IF(OR(TaxYear="",Adj_Gross_Inc=""),"Answer questions as indicated in blue.",IF(AND(AG1="",AH1="",AI1="",B264&lt;&gt;"",L307&gt;0),"Your Earned Income Credit is "&amp;TEXT(L307,"$0")&amp;" - as indicated on Worksheet A, Part 3, Step 6.",IF(AND(AG1="",AH1="",AI1="",B316&lt;&gt;"",O436&gt;0),"Your Earned Income Credit is "&amp;TEXT(O436,"$0")&amp;" - as indicated on Worksheet B, Part 7.",IF(AG1&lt;&gt;"",AG1,IF(AH1&lt;&gt;"",AH1,IF(AI1&lt;&gt;"",AI1,""))))))</f>
        <v>You cannot take the Earned Income Credit.</v>
      </c>
      <c r="L1" s="3460"/>
      <c r="N1" s="3463"/>
      <c r="AG1" s="1507" t="str">
        <f>IF(AND(B78&lt;&gt;"",H80=""),"Check box at Step 2 if you can take the credit",IF(NoEICredit,"You cannot take the Earned Income Credit.",IF(AND(B26="",H26=""),"Please answer question at Step 1, Question 2.",IF(AND(B35="",H35=""),"Please answer question at Step 1, Question 4.",IF(AND(B39="",H39=""),"Please answer question at Step 1, Question 5.",IF(AND(B59&lt;&gt;"",B63=""),"Please answer question at Step 2, Question 3.",IF(AND(B68="",B70="",B73="",H78=""),"Please answer question at Step 2, Question 4.","")))))))</f>
        <v>You cannot take the Earned Income Credit.</v>
      </c>
      <c r="AH1" s="1507" t="str">
        <f>IF(B101="","Please indicate number of qualifying children at Step 3.",IF(AND(B106&lt;&gt;"",B116&lt;&gt;"X",B125="",H125=""),"Please answer question at Step 3, Question 3.",IF(AND(H106&lt;&gt;"",B142="",H142=""),"Please answer question at Step 4, Question 2.",IF(AND(H106&lt;&gt;"",B149="",H149=""),"Please answer question at Step 4, Question 3.",IF(AND(H106&lt;&gt;"",B164="",H164=""),"Please answer question at Step 4, Question 5.","")))))</f>
        <v>Please indicate number of qualifying children at Step 3.</v>
      </c>
      <c r="AI1" s="1507" t="str">
        <f>IF(AND(B179="",H179=""),"Please answer question at Step 5, Question 1.",IF(AND(B232="",H232=""),"Please answer question at Step 5, Question 2.",IF(AND(H232&lt;&gt;"",B256="",H256=""),"Please answer question at Step 6, Question 1.",IF(AND(B316&lt;&gt;"",OR(O343="",R345="",R346="",R347="")),"Please enter values at Worksheet B, Part 2, Question 2.",""))))</f>
        <v>Please answer question at Step 5, Question 1.</v>
      </c>
    </row>
    <row r="2" spans="1:35" s="3465" customFormat="1" ht="15.75">
      <c r="A2" s="3464" t="s">
        <v>2672</v>
      </c>
      <c r="B2" s="3464"/>
      <c r="C2" s="3464"/>
      <c r="AG2" s="3466"/>
      <c r="AH2" s="3466"/>
    </row>
    <row r="3" spans="1:35" s="3465" customFormat="1" ht="15.75">
      <c r="A3" s="3464" t="s">
        <v>2569</v>
      </c>
      <c r="B3" s="3464"/>
      <c r="C3" s="3464"/>
      <c r="H3" s="1693"/>
      <c r="I3" s="1693"/>
      <c r="J3" s="1693"/>
      <c r="K3" s="1693"/>
      <c r="L3" s="1693"/>
      <c r="M3" s="1693"/>
      <c r="N3" s="1693"/>
      <c r="O3" s="1693"/>
      <c r="P3" s="1693"/>
      <c r="Q3" s="1693"/>
      <c r="R3" s="1693"/>
      <c r="S3" s="1693"/>
      <c r="T3" s="1693"/>
      <c r="U3" s="1693"/>
      <c r="V3" s="1693"/>
      <c r="W3" s="1693"/>
      <c r="X3" s="1693"/>
      <c r="Y3" s="1693"/>
      <c r="Z3" s="1693"/>
      <c r="AG3" s="3466"/>
      <c r="AH3" s="3466"/>
    </row>
    <row r="4" spans="1:35" ht="15.75" customHeight="1">
      <c r="A4" s="3467"/>
      <c r="B4" s="3467"/>
      <c r="C4" s="3467"/>
      <c r="H4" s="1693"/>
      <c r="N4" s="35"/>
    </row>
    <row r="5" spans="1:35" s="3465" customFormat="1" ht="15.75">
      <c r="A5" s="3502" t="s">
        <v>2762</v>
      </c>
      <c r="B5" s="3503" t="s">
        <v>2766</v>
      </c>
      <c r="C5" s="3464"/>
      <c r="G5" s="35"/>
      <c r="H5" s="1693"/>
      <c r="I5" s="35"/>
      <c r="J5" s="35"/>
      <c r="K5" s="35"/>
      <c r="L5" s="35"/>
      <c r="M5" s="35"/>
      <c r="N5" s="35"/>
      <c r="O5" s="35"/>
      <c r="P5" s="35"/>
      <c r="Q5" s="35"/>
      <c r="R5" s="35"/>
      <c r="S5" s="35"/>
      <c r="T5" s="35"/>
      <c r="U5" s="35"/>
      <c r="V5" s="35"/>
      <c r="W5" s="35"/>
      <c r="X5" s="35"/>
      <c r="Y5" s="35"/>
      <c r="Z5" s="35"/>
      <c r="AG5" s="3466"/>
      <c r="AH5" s="3466"/>
    </row>
    <row r="6" spans="1:35">
      <c r="H6" s="1693"/>
      <c r="N6" s="35"/>
    </row>
    <row r="7" spans="1:35">
      <c r="C7" s="3470" t="s">
        <v>476</v>
      </c>
      <c r="D7" s="35" t="str">
        <f>"If, in "&amp;TaxYear&amp;":"</f>
        <v>If, in 2016:</v>
      </c>
      <c r="N7" s="35"/>
    </row>
    <row r="8" spans="1:35" ht="7.5" customHeight="1">
      <c r="N8" s="3471"/>
    </row>
    <row r="9" spans="1:35">
      <c r="B9" s="3615" t="str">
        <f>IF(Adj_Gross_Inc="","",IF(LivedWithYou&gt;=3,"®",""))</f>
        <v/>
      </c>
      <c r="C9" s="1693" t="s">
        <v>2570</v>
      </c>
      <c r="D9" s="1464" t="s">
        <v>2680</v>
      </c>
      <c r="N9" s="3471"/>
    </row>
    <row r="10" spans="1:35">
      <c r="B10" s="3472"/>
      <c r="D10" s="35" t="str">
        <f>"Is the amount on Form 1040, line 38, less than "&amp;TEXT(N10,"$0,000")&amp;" ("&amp;TEXT(O10,"$0,000")&amp;" if married filing jointly)?"</f>
        <v>Is the amount on Form 1040, line 38, less than $47,955 ($53,505 if married filing jointly)?</v>
      </c>
      <c r="M10" s="3616" t="str">
        <f>IF(B9&lt;&gt;"®","",IF(Adj_Gross_Inc&lt;N11,"Yes","No"))</f>
        <v/>
      </c>
      <c r="N10" s="20">
        <v>47955</v>
      </c>
      <c r="O10" s="20">
        <v>53505</v>
      </c>
    </row>
    <row r="11" spans="1:35">
      <c r="B11" s="3472"/>
      <c r="C11" s="3469" t="s">
        <v>385</v>
      </c>
      <c r="N11" s="20">
        <f>IF(File_Marr_Joint&lt;&gt;"",O10,N10)</f>
        <v>47955</v>
      </c>
    </row>
    <row r="12" spans="1:35">
      <c r="B12" s="3615" t="str">
        <f>IF(Adj_Gross_Inc="","",IF(LivedWithYou=2,"®",""))</f>
        <v/>
      </c>
      <c r="C12" s="1693" t="s">
        <v>2570</v>
      </c>
      <c r="D12" s="1464" t="s">
        <v>2681</v>
      </c>
      <c r="N12" s="3471"/>
    </row>
    <row r="13" spans="1:35">
      <c r="B13" s="3472"/>
      <c r="D13" s="35" t="str">
        <f>"Is the amount on Form 1040, line 38, less than "&amp;TEXT(N13,"$0,000")&amp;" ("&amp;TEXT(O13,"$0,000")&amp;" if married filing jointly)?"</f>
        <v>Is the amount on Form 1040, line 38, less than $44,648 ($50,198 if married filing jointly)?</v>
      </c>
      <c r="M13" s="3616" t="str">
        <f>IF(B12&lt;&gt;"®","",IF(Adj_Gross_Inc&lt;N14,"Yes","No"))</f>
        <v/>
      </c>
      <c r="N13" s="20">
        <v>44648</v>
      </c>
      <c r="O13" s="20">
        <v>50198</v>
      </c>
    </row>
    <row r="14" spans="1:35">
      <c r="B14" s="3472"/>
      <c r="C14" s="3469" t="s">
        <v>385</v>
      </c>
      <c r="N14" s="20">
        <f>IF(File_Marr_Joint&lt;&gt;"",O13,N13)</f>
        <v>44648</v>
      </c>
    </row>
    <row r="15" spans="1:35">
      <c r="B15" s="3615" t="str">
        <f>IF(OR(NumFileStatusBoxes=0,Adj_Gross_Inc=""),"",IF(LivedWithYou=1,"®",""))</f>
        <v/>
      </c>
      <c r="C15" s="1693" t="s">
        <v>2570</v>
      </c>
      <c r="D15" s="1464" t="s">
        <v>2682</v>
      </c>
    </row>
    <row r="16" spans="1:35">
      <c r="B16" s="3472"/>
      <c r="D16" s="35" t="str">
        <f>"Is the amount on Form 1040, line 38, less than "&amp;TEXT(N16,"$0,000")&amp;" ("&amp;TEXT(O16,"$0,000")&amp;" if married filing jointly)?"</f>
        <v>Is the amount on Form 1040, line 38, less than $39,296 ($44,846 if married filing jointly)?</v>
      </c>
      <c r="M16" s="3616" t="str">
        <f>IF(B15&lt;&gt;"®","",IF(Adj_Gross_Inc&lt;N17,"Yes","No"))</f>
        <v/>
      </c>
      <c r="N16" s="20">
        <v>39296</v>
      </c>
      <c r="O16" s="20">
        <v>44846</v>
      </c>
    </row>
    <row r="17" spans="1:15">
      <c r="B17" s="3472"/>
      <c r="C17" s="3469" t="s">
        <v>385</v>
      </c>
      <c r="N17" s="20">
        <f>IF(File_Marr_Joint&lt;&gt;"",O16,N16)</f>
        <v>39296</v>
      </c>
    </row>
    <row r="18" spans="1:15">
      <c r="B18" s="3615" t="str">
        <f>IF(OR(NumFileStatusBoxes=0,Adj_Gross_Inc=""),"",IF(LivedWithYou=0,"®",""))</f>
        <v/>
      </c>
      <c r="C18" s="1693" t="s">
        <v>2570</v>
      </c>
      <c r="D18" s="1464" t="s">
        <v>2683</v>
      </c>
    </row>
    <row r="19" spans="1:15">
      <c r="D19" s="35" t="str">
        <f>"Is the amount on Form 1040, line 38, less than "&amp;TEXT(N19,"$0,000")&amp;" ("&amp;TEXT(O19,"$0,000")&amp;" if married filing jointly)?"</f>
        <v>Is the amount on Form 1040, line 38, less than $14,880 ($20,430 if married filing jointly)?</v>
      </c>
      <c r="M19" s="3616" t="str">
        <f>IF(B18&lt;&gt;"®","",IF(Adj_Gross_Inc&lt;N20,"Yes","No"))</f>
        <v/>
      </c>
      <c r="N19" s="20">
        <v>14880</v>
      </c>
      <c r="O19" s="20">
        <v>20430</v>
      </c>
    </row>
    <row r="20" spans="1:15">
      <c r="N20" s="20">
        <f>IF(File_Marr_Joint&lt;&gt;"",O19,N19)</f>
        <v>14880</v>
      </c>
    </row>
    <row r="21" spans="1:15" ht="14.25">
      <c r="B21" s="4002" t="str">
        <f>IF(OR(M10="Yes",M13="Yes",M16="Yes",M19="Yes"),"X","")</f>
        <v/>
      </c>
      <c r="D21" s="35" t="s">
        <v>2571</v>
      </c>
      <c r="H21" s="4002" t="str">
        <f>IF(OR(NumFileStatusBoxes&lt;&gt;1,AND(M10="",M13="",M16="",M19="")),"",IF(OR(M10="Yes",M13="Yes",M16="Yes",M19="Yes"),"","X"))</f>
        <v/>
      </c>
      <c r="J21" s="580" t="s">
        <v>2686</v>
      </c>
    </row>
    <row r="23" spans="1:15">
      <c r="C23" s="3470" t="s">
        <v>0</v>
      </c>
      <c r="D23" s="35" t="s">
        <v>2573</v>
      </c>
    </row>
    <row r="24" spans="1:15">
      <c r="D24" s="35" t="s">
        <v>2684</v>
      </c>
    </row>
    <row r="26" spans="1:15">
      <c r="A26" s="2112" t="b">
        <f>IF(OR(AND(File_Marr_Joint&lt;&gt;"",SS_Yours&lt;&gt;"",SS_Spouse&lt;&gt;""),AND(File_Marr_Joint="",SS_Yours&lt;&gt;"")),TRUE,FALSE)</f>
        <v>0</v>
      </c>
      <c r="B26" s="4002" t="str">
        <f>IF(AND(A26,EIC_Line2_No=""),"X","")</f>
        <v/>
      </c>
      <c r="D26" s="35" t="s">
        <v>2571</v>
      </c>
      <c r="H26" s="2693"/>
      <c r="J26" s="1464" t="s">
        <v>2686</v>
      </c>
    </row>
    <row r="27" spans="1:15">
      <c r="J27" s="1464" t="s">
        <v>2685</v>
      </c>
    </row>
    <row r="29" spans="1:15">
      <c r="C29" s="3470" t="s">
        <v>1</v>
      </c>
      <c r="D29" s="35" t="s">
        <v>2574</v>
      </c>
    </row>
    <row r="31" spans="1:15">
      <c r="B31" s="4003" t="str">
        <f>IF(OR(H21="X",H26="X"),"",IF(File_Marr_Sep&lt;&gt;"","X",""))</f>
        <v/>
      </c>
      <c r="D31" s="1464" t="s">
        <v>2687</v>
      </c>
      <c r="H31" s="4003" t="str">
        <f>IF(OR(AND(B21="",H21=""),H21&lt;&gt;"",EIC_Line2_No&lt;&gt;""),"",IF(File_Marr_Sep="","X",""))</f>
        <v/>
      </c>
      <c r="J31" s="35" t="s">
        <v>2576</v>
      </c>
    </row>
    <row r="33" spans="1:34">
      <c r="C33" s="3470" t="s">
        <v>642</v>
      </c>
      <c r="D33" s="35" t="s">
        <v>2577</v>
      </c>
    </row>
    <row r="35" spans="1:34">
      <c r="A35" s="2112" t="b">
        <f>IF(AND(Birthday_Needed="",B21="X",B26="X",H31="X",H35="X"),TRUE,FALSE)</f>
        <v>0</v>
      </c>
      <c r="B35" s="4003" t="str">
        <f>IF(ForeignEarnedIncome&gt;0,"X","")</f>
        <v/>
      </c>
      <c r="D35" s="1464" t="s">
        <v>2687</v>
      </c>
      <c r="H35" s="4003" t="str">
        <f>IF(AND(B21="",H21=""),"",IF(ForeignEarnedIncome&gt;0,"","X"))</f>
        <v/>
      </c>
      <c r="J35" s="35" t="s">
        <v>2578</v>
      </c>
    </row>
    <row r="37" spans="1:34">
      <c r="C37" s="3470" t="s">
        <v>53</v>
      </c>
      <c r="D37" s="35" t="str">
        <f>"Were you or your spouse a nonresident alien for any part of "&amp;TaxYear&amp;"?"</f>
        <v>Were you or your spouse a nonresident alien for any part of 2016?</v>
      </c>
    </row>
    <row r="39" spans="1:34">
      <c r="B39" s="2693"/>
      <c r="D39" s="35" t="s">
        <v>668</v>
      </c>
      <c r="H39" s="2693"/>
      <c r="J39" s="1464" t="s">
        <v>2690</v>
      </c>
    </row>
    <row r="40" spans="1:34">
      <c r="D40" s="35" t="s">
        <v>2688</v>
      </c>
    </row>
    <row r="41" spans="1:34">
      <c r="D41" s="35" t="s">
        <v>2689</v>
      </c>
    </row>
    <row r="43" spans="1:34" s="3474" customFormat="1">
      <c r="B43" s="3473"/>
      <c r="N43" s="3475"/>
      <c r="AG43" s="3475"/>
      <c r="AH43" s="3475"/>
    </row>
    <row r="44" spans="1:34" s="3465" customFormat="1" ht="15.75">
      <c r="A44" s="3502" t="s">
        <v>2761</v>
      </c>
      <c r="B44" s="3503" t="s">
        <v>2765</v>
      </c>
      <c r="C44" s="3464"/>
      <c r="N44" s="3466"/>
      <c r="AG44" s="3466"/>
      <c r="AH44" s="3466"/>
    </row>
    <row r="45" spans="1:34">
      <c r="A45" s="2571"/>
      <c r="B45" s="2571"/>
      <c r="C45" s="2571"/>
    </row>
    <row r="46" spans="1:34">
      <c r="C46" s="3470" t="s">
        <v>476</v>
      </c>
      <c r="D46" s="1464" t="s">
        <v>2702</v>
      </c>
    </row>
    <row r="47" spans="1:34">
      <c r="C47" s="3470"/>
    </row>
    <row r="48" spans="1:34">
      <c r="C48" s="3470"/>
      <c r="D48" s="1693" t="s">
        <v>2579</v>
      </c>
      <c r="E48" s="3476">
        <f>TaxableInterest</f>
        <v>0</v>
      </c>
    </row>
    <row r="49" spans="1:14">
      <c r="C49" s="3470"/>
      <c r="D49" s="3470" t="s">
        <v>2580</v>
      </c>
      <c r="E49" s="3476">
        <f>'1040'!V40</f>
        <v>0</v>
      </c>
    </row>
    <row r="50" spans="1:14">
      <c r="C50" s="3470"/>
      <c r="D50" s="3470" t="s">
        <v>2581</v>
      </c>
      <c r="E50" s="3476">
        <f>'1040'!AB41</f>
        <v>0</v>
      </c>
    </row>
    <row r="51" spans="1:14">
      <c r="C51" s="3470"/>
      <c r="D51" s="3470" t="s">
        <v>2582</v>
      </c>
      <c r="E51" s="3476">
        <f>IF('1040'!AB46&lt;0,0,'1040'!AB46)</f>
        <v>0</v>
      </c>
    </row>
    <row r="52" spans="1:14">
      <c r="C52" s="3470"/>
    </row>
    <row r="53" spans="1:14">
      <c r="C53" s="3470"/>
      <c r="D53" s="1656" t="s">
        <v>2691</v>
      </c>
      <c r="E53" s="3477">
        <f>SUM(E48:E51)</f>
        <v>0</v>
      </c>
    </row>
    <row r="55" spans="1:14">
      <c r="C55" s="35" t="s">
        <v>2583</v>
      </c>
    </row>
    <row r="56" spans="1:14" ht="12.75" customHeight="1"/>
    <row r="57" spans="1:14">
      <c r="C57" s="3470" t="s">
        <v>0</v>
      </c>
      <c r="D57" s="35" t="str">
        <f>"Is your investment income more than "&amp;TEXT(N57,"$0,000")&amp;"?"</f>
        <v>Is your investment income more than $3,400?</v>
      </c>
      <c r="N57" s="20">
        <v>3400</v>
      </c>
    </row>
    <row r="59" spans="1:14">
      <c r="B59" s="4004" t="str">
        <f>IF(E53&gt;N57,"X","")</f>
        <v/>
      </c>
      <c r="D59" s="35" t="s">
        <v>2584</v>
      </c>
      <c r="H59" s="4003" t="str">
        <f>IF(E53&gt;N57,"","X")</f>
        <v>X</v>
      </c>
      <c r="J59" s="35" t="s">
        <v>2585</v>
      </c>
    </row>
    <row r="60" spans="1:14" ht="12.75" customHeight="1"/>
    <row r="61" spans="1:14">
      <c r="A61" s="4991" t="str">
        <f>IF(NoEICredit,"",IF(H59&lt;&gt;"","Skip",""))</f>
        <v/>
      </c>
      <c r="B61" s="4992"/>
      <c r="C61" s="3470" t="s">
        <v>1</v>
      </c>
      <c r="D61" s="35" t="s">
        <v>2586</v>
      </c>
    </row>
    <row r="63" spans="1:14">
      <c r="B63" s="2693"/>
      <c r="D63" s="1464" t="s">
        <v>2692</v>
      </c>
      <c r="H63" s="4004" t="str">
        <f>IF(AND(B59="X",B63=""),"X","")</f>
        <v/>
      </c>
      <c r="J63" s="35" t="s">
        <v>2572</v>
      </c>
    </row>
    <row r="64" spans="1:14">
      <c r="B64" s="3468"/>
      <c r="D64" s="1464" t="s">
        <v>2689</v>
      </c>
      <c r="H64" s="3468"/>
    </row>
    <row r="65" spans="1:10" ht="12.75" customHeight="1"/>
    <row r="66" spans="1:10">
      <c r="C66" s="3470" t="s">
        <v>642</v>
      </c>
      <c r="D66" s="35" t="str">
        <f>"Do any of the following apply for "&amp;TaxYear&amp;"?"</f>
        <v>Do any of the following apply for 2016?</v>
      </c>
    </row>
    <row r="67" spans="1:10" ht="7.5" customHeight="1"/>
    <row r="68" spans="1:10" ht="15.75">
      <c r="A68" s="3612" t="s">
        <v>504</v>
      </c>
      <c r="B68" s="4002" t="str">
        <f>IF(SchE2_Completed,"X","")</f>
        <v/>
      </c>
      <c r="C68" s="1693" t="s">
        <v>2570</v>
      </c>
      <c r="D68" s="1464" t="s">
        <v>2698</v>
      </c>
    </row>
    <row r="69" spans="1:10">
      <c r="C69" s="3469" t="s">
        <v>385</v>
      </c>
    </row>
    <row r="70" spans="1:10" ht="15.75">
      <c r="A70" s="3612" t="s">
        <v>504</v>
      </c>
      <c r="B70" s="3623"/>
      <c r="C70" s="1693" t="s">
        <v>2570</v>
      </c>
      <c r="D70" s="35" t="s">
        <v>2587</v>
      </c>
    </row>
    <row r="71" spans="1:10">
      <c r="D71" s="35" t="str">
        <f>"personal property not used in a trade or business."</f>
        <v>personal property not used in a trade or business.</v>
      </c>
    </row>
    <row r="72" spans="1:10">
      <c r="C72" s="3469" t="s">
        <v>385</v>
      </c>
    </row>
    <row r="73" spans="1:10" ht="15.75">
      <c r="A73" s="3612" t="s">
        <v>504</v>
      </c>
      <c r="B73" s="3623"/>
      <c r="C73" s="1693" t="s">
        <v>2570</v>
      </c>
      <c r="D73" s="1464" t="s">
        <v>2693</v>
      </c>
    </row>
    <row r="74" spans="1:10">
      <c r="D74" s="1464" t="s">
        <v>2694</v>
      </c>
    </row>
    <row r="75" spans="1:10">
      <c r="C75" s="3469" t="s">
        <v>385</v>
      </c>
    </row>
    <row r="76" spans="1:10" ht="15.75">
      <c r="A76" s="3612" t="s">
        <v>504</v>
      </c>
      <c r="B76" s="3623"/>
      <c r="C76" s="1693" t="s">
        <v>2570</v>
      </c>
      <c r="D76" s="1464" t="s">
        <v>2695</v>
      </c>
    </row>
    <row r="78" spans="1:10" ht="15.75">
      <c r="B78" s="4003" t="str">
        <f>IF(OR(B68&lt;&gt;"",B70&lt;&gt;"",B73&lt;&gt;"",B76&lt;&gt;""),"X","")</f>
        <v/>
      </c>
      <c r="D78" s="1464" t="s">
        <v>2699</v>
      </c>
      <c r="G78" s="3612" t="s">
        <v>504</v>
      </c>
      <c r="H78" s="2693"/>
      <c r="J78" s="35" t="s">
        <v>2588</v>
      </c>
    </row>
    <row r="79" spans="1:10">
      <c r="B79" s="60"/>
      <c r="D79" s="1464" t="s">
        <v>2700</v>
      </c>
      <c r="H79" s="60"/>
    </row>
    <row r="80" spans="1:10" ht="15.75">
      <c r="D80" s="1464" t="s">
        <v>2701</v>
      </c>
      <c r="G80" s="3612" t="s">
        <v>504</v>
      </c>
      <c r="H80" s="3468"/>
      <c r="J80" s="3613" t="str">
        <f>IF(H80&lt;&gt;"","Go to Step 3.","Check here if you can take the credit.")</f>
        <v>Check here if you can take the credit.</v>
      </c>
    </row>
    <row r="82" spans="1:34" s="3474" customFormat="1">
      <c r="B82" s="3473"/>
      <c r="N82" s="3475"/>
      <c r="AG82" s="3475"/>
      <c r="AH82" s="3475"/>
    </row>
    <row r="83" spans="1:34" s="3465" customFormat="1" ht="15.75">
      <c r="A83" s="3502" t="s">
        <v>2760</v>
      </c>
      <c r="B83" s="3503" t="s">
        <v>2764</v>
      </c>
      <c r="C83" s="3464"/>
      <c r="F83" s="3480" t="s">
        <v>2712</v>
      </c>
      <c r="N83" s="3466"/>
      <c r="AG83" s="3466"/>
      <c r="AH83" s="3466"/>
    </row>
    <row r="84" spans="1:34">
      <c r="A84" s="2571"/>
      <c r="C84" s="2571"/>
    </row>
    <row r="85" spans="1:34">
      <c r="B85" s="36" t="s">
        <v>2589</v>
      </c>
      <c r="C85" s="3470"/>
      <c r="D85" s="36"/>
    </row>
    <row r="86" spans="1:34">
      <c r="C86" s="3470"/>
    </row>
    <row r="87" spans="1:34">
      <c r="C87" s="1693" t="s">
        <v>2570</v>
      </c>
      <c r="D87" s="1464" t="s">
        <v>2704</v>
      </c>
    </row>
    <row r="88" spans="1:34">
      <c r="D88" s="1464" t="s">
        <v>2703</v>
      </c>
    </row>
    <row r="89" spans="1:34">
      <c r="D89" s="35" t="s">
        <v>2590</v>
      </c>
    </row>
    <row r="90" spans="1:34">
      <c r="C90" s="36" t="s">
        <v>2707</v>
      </c>
    </row>
    <row r="91" spans="1:34">
      <c r="C91" s="36"/>
      <c r="D91" s="1464" t="s">
        <v>2708</v>
      </c>
    </row>
    <row r="92" spans="1:34">
      <c r="C92" s="1693" t="s">
        <v>2570</v>
      </c>
      <c r="D92" s="35" t="str">
        <f>"Under age 19 at the end of "&amp;TaxYear&amp;" and younger than you (or your spouse, if filing jointly)"</f>
        <v>Under age 19 at the end of 2016 and younger than you (or your spouse, if filing jointly)</v>
      </c>
    </row>
    <row r="93" spans="1:34">
      <c r="C93" s="1693"/>
      <c r="D93" s="1464" t="s">
        <v>385</v>
      </c>
    </row>
    <row r="94" spans="1:34">
      <c r="C94" s="1693" t="s">
        <v>2570</v>
      </c>
      <c r="D94" s="35" t="str">
        <f>"Under age 24 at the end of "&amp;TaxYear&amp;" and a student (defined later) and younger than you"</f>
        <v>Under age 24 at the end of 2016 and a student (defined later) and younger than you</v>
      </c>
    </row>
    <row r="95" spans="1:34">
      <c r="C95" s="1693"/>
      <c r="D95" s="1464" t="s">
        <v>2705</v>
      </c>
    </row>
    <row r="96" spans="1:34">
      <c r="C96" s="1693"/>
      <c r="D96" s="1464" t="s">
        <v>385</v>
      </c>
    </row>
    <row r="97" spans="2:34">
      <c r="C97" s="1693" t="s">
        <v>2570</v>
      </c>
      <c r="D97" s="1464" t="s">
        <v>2706</v>
      </c>
    </row>
    <row r="98" spans="2:34">
      <c r="C98" s="36" t="s">
        <v>2707</v>
      </c>
    </row>
    <row r="99" spans="2:34">
      <c r="C99" s="1693"/>
      <c r="D99" s="35" t="str">
        <f>"Who lived with you in the United States for more than half of "&amp;TaxYear&amp;"."</f>
        <v>Who lived with you in the United States for more than half of 2016.</v>
      </c>
    </row>
    <row r="100" spans="2:34">
      <c r="C100" s="1693"/>
    </row>
    <row r="101" spans="2:34">
      <c r="B101" s="4131"/>
      <c r="C101" s="1693"/>
      <c r="D101" s="3478" t="s">
        <v>2591</v>
      </c>
    </row>
    <row r="102" spans="2:34" ht="6.75" customHeight="1"/>
    <row r="103" spans="2:34" s="3474" customFormat="1" ht="6.75" customHeight="1">
      <c r="B103" s="3473"/>
      <c r="N103" s="3475"/>
      <c r="AG103" s="3475"/>
      <c r="AH103" s="3475"/>
    </row>
    <row r="104" spans="2:34">
      <c r="C104" s="3470" t="s">
        <v>476</v>
      </c>
      <c r="D104" s="35" t="s">
        <v>2592</v>
      </c>
      <c r="N104" s="20">
        <v>2900</v>
      </c>
    </row>
    <row r="106" spans="2:34">
      <c r="B106" s="4005" t="str">
        <f>IF(EICNumQualChild&gt;0,"X","")</f>
        <v/>
      </c>
      <c r="D106" s="35" t="s">
        <v>668</v>
      </c>
      <c r="H106" s="4005" t="str">
        <f>IF(EICNumQualChild="","",IF(EICNumQualChild&gt;0,"","X"))</f>
        <v/>
      </c>
      <c r="J106" s="1464" t="s">
        <v>2713</v>
      </c>
    </row>
    <row r="107" spans="2:34">
      <c r="B107" s="60"/>
      <c r="D107" s="35" t="s">
        <v>2593</v>
      </c>
      <c r="H107" s="60"/>
    </row>
    <row r="108" spans="2:34">
      <c r="D108" s="1464" t="s">
        <v>2709</v>
      </c>
    </row>
    <row r="109" spans="2:34">
      <c r="D109" s="35" t="str">
        <f>"child was born and died in "&amp;TaxYear&amp;"."</f>
        <v>child was born and died in 2016.</v>
      </c>
    </row>
    <row r="110" spans="2:34">
      <c r="D110" s="1464" t="s">
        <v>2710</v>
      </c>
    </row>
    <row r="111" spans="2:34">
      <c r="D111" s="35" t="str">
        <f>"(or was born or died in "&amp;TaxYear&amp;"), go to question 2."</f>
        <v>(or was born or died in 2016), go to question 2.</v>
      </c>
    </row>
    <row r="112" spans="2:34">
      <c r="D112" s="1464" t="s">
        <v>2711</v>
      </c>
    </row>
    <row r="113" spans="1:34" s="44" customFormat="1">
      <c r="B113" s="60"/>
      <c r="N113" s="21"/>
      <c r="AG113" s="21"/>
      <c r="AH113" s="21"/>
    </row>
    <row r="114" spans="1:34">
      <c r="A114" s="4991" t="str">
        <f>IF(H106&lt;&gt;"","Skip","")</f>
        <v/>
      </c>
      <c r="B114" s="4992"/>
      <c r="C114" s="3470" t="s">
        <v>0</v>
      </c>
      <c r="D114" s="35" t="str">
        <f>"Are you filing a joint return for "&amp;TaxYear&amp;"?"</f>
        <v>Are you filing a joint return for 2016?</v>
      </c>
    </row>
    <row r="116" spans="1:34">
      <c r="B116" s="4003" t="str">
        <f>IF(H106&lt;&gt;"","",IF(File_Marr_Joint&lt;&gt;"","X",""))</f>
        <v/>
      </c>
      <c r="D116" s="1464" t="s">
        <v>2715</v>
      </c>
      <c r="H116" s="4003" t="str">
        <f>IF(OR(EICNumQualChild="",H106="X"),"",IF(File_Marr_Joint&lt;&gt;"","","X"))</f>
        <v/>
      </c>
      <c r="J116" s="1464" t="s">
        <v>2596</v>
      </c>
    </row>
    <row r="117" spans="1:34">
      <c r="D117" s="1464" t="s">
        <v>2714</v>
      </c>
    </row>
    <row r="118" spans="1:34" s="44" customFormat="1">
      <c r="B118" s="60"/>
      <c r="N118" s="21"/>
      <c r="AG118" s="21"/>
      <c r="AH118" s="21"/>
    </row>
    <row r="119" spans="1:34">
      <c r="A119" s="4991" t="str">
        <f>IF(H106&lt;&gt;"","Skip","")</f>
        <v/>
      </c>
      <c r="B119" s="4992"/>
      <c r="C119" s="3483" t="s">
        <v>1</v>
      </c>
      <c r="D119" s="35" t="str">
        <f>"Could you be a qualifying child of another person in "&amp;TaxYear&amp;"?"</f>
        <v>Could you be a qualifying child of another person in 2016?</v>
      </c>
    </row>
    <row r="120" spans="1:34">
      <c r="A120" s="4991" t="str">
        <f t="shared" ref="A120:A121" si="0">IF(H107&lt;&gt;"","Skip","")</f>
        <v/>
      </c>
      <c r="B120" s="4992"/>
      <c r="C120" s="3483"/>
      <c r="D120" s="1464" t="s">
        <v>2716</v>
      </c>
    </row>
    <row r="121" spans="1:34">
      <c r="A121" s="4991" t="str">
        <f t="shared" si="0"/>
        <v/>
      </c>
      <c r="B121" s="4992"/>
      <c r="C121" s="3483"/>
      <c r="D121" s="1464" t="str">
        <f>"is not filing, a "&amp;TaxYear&amp;" tax return or is filing a "&amp;TaxYear&amp;" return only"</f>
        <v>is not filing, a 2016 tax return or is filing a 2016 return only</v>
      </c>
    </row>
    <row r="122" spans="1:34">
      <c r="A122" s="4991" t="str">
        <f t="shared" ref="A122:A123" si="1">IF(H109&lt;&gt;"","Skip","")</f>
        <v/>
      </c>
      <c r="B122" s="4992"/>
      <c r="C122" s="3483"/>
      <c r="D122" s="1464" t="s">
        <v>2717</v>
      </c>
    </row>
    <row r="123" spans="1:34">
      <c r="A123" s="4991" t="str">
        <f t="shared" si="1"/>
        <v/>
      </c>
      <c r="B123" s="4992"/>
      <c r="C123" s="3483"/>
      <c r="D123" s="1464" t="s">
        <v>2718</v>
      </c>
    </row>
    <row r="125" spans="1:34">
      <c r="A125" s="3501" t="str">
        <f>IF(B116="X","Skip. ","")</f>
        <v/>
      </c>
      <c r="B125" s="4004" t="str">
        <f>IF(OR(B116&lt;&gt;"",H106&lt;&gt;""),"",IF(OR(DependentYOU&lt;&gt;"",DependentSPOUSE&lt;&gt;""),"X",""))</f>
        <v/>
      </c>
      <c r="D125" s="35" t="s">
        <v>2575</v>
      </c>
      <c r="H125" s="4004" t="str">
        <f>IF(OR(EICNumQualChild="",B116&lt;&gt;"",H106&lt;&gt;""),"",IF(OR(DependentYOU&lt;&gt;"",DependentSPOUSE&lt;&gt;""),"","X"))</f>
        <v/>
      </c>
      <c r="J125" s="35" t="s">
        <v>2594</v>
      </c>
    </row>
    <row r="126" spans="1:34">
      <c r="D126" s="35" t="s">
        <v>2595</v>
      </c>
    </row>
    <row r="127" spans="1:34">
      <c r="D127" s="1464" t="s">
        <v>2806</v>
      </c>
    </row>
    <row r="128" spans="1:34" ht="7.5" customHeight="1"/>
    <row r="129" spans="1:34" s="3474" customFormat="1" ht="7.5" customHeight="1">
      <c r="B129" s="3473"/>
      <c r="N129" s="3475"/>
      <c r="AG129" s="3475"/>
      <c r="AH129" s="3475"/>
    </row>
    <row r="130" spans="1:34" s="3465" customFormat="1" ht="15.75">
      <c r="A130" s="3502" t="s">
        <v>2759</v>
      </c>
      <c r="B130" s="3503" t="s">
        <v>2763</v>
      </c>
      <c r="C130" s="3464"/>
      <c r="H130" s="3501" t="str">
        <f>IF(B116="X","Skip. ","")</f>
        <v/>
      </c>
      <c r="N130" s="3466"/>
      <c r="AG130" s="3466"/>
      <c r="AH130" s="3466"/>
    </row>
    <row r="131" spans="1:34">
      <c r="A131" s="2571"/>
      <c r="C131" s="2571"/>
    </row>
    <row r="132" spans="1:34">
      <c r="B132" s="3479"/>
      <c r="C132" s="3470" t="s">
        <v>476</v>
      </c>
      <c r="D132" s="35" t="str">
        <f>"Is the amount on Form 1040, line 38, less than "&amp;TEXT(N19,"$0,000")&amp;" ("&amp;TEXT(O19,"$0,000")&amp;" if married filing jointly)?"</f>
        <v>Is the amount on Form 1040, line 38, less than $14,880 ($20,430 if married filing jointly)?</v>
      </c>
    </row>
    <row r="133" spans="1:34">
      <c r="C133" s="3470"/>
    </row>
    <row r="134" spans="1:34">
      <c r="B134" s="4003" t="str">
        <f>IF(OR(EICNumQualChild&gt;0,EICNumQualChild="",H125&lt;&gt;""),"",IF(OR(AND(File_Marr_Joint&lt;&gt;"",Adj_Gross_Inc&lt;O19),Adj_Gross_Inc&lt;N19),"X",""))</f>
        <v/>
      </c>
      <c r="D134" s="1464" t="s">
        <v>2584</v>
      </c>
      <c r="H134" s="4003" t="str">
        <f>IF(OR(EICNumQualChild&gt;0,EICNumQualChild="",H125&lt;&gt;""),"",IF(OR(AND(File_Marr_Joint&lt;&gt;"",Adj_Gross_Inc&lt;O19),Adj_Gross_Inc&lt;N19),"","X"))</f>
        <v/>
      </c>
      <c r="J134" s="35" t="s">
        <v>2572</v>
      </c>
    </row>
    <row r="135" spans="1:34" ht="12.75" customHeight="1"/>
    <row r="136" spans="1:34">
      <c r="A136" s="4991"/>
      <c r="B136" s="4992"/>
      <c r="C136" s="3470" t="s">
        <v>0</v>
      </c>
      <c r="D136" s="1464" t="s">
        <v>2719</v>
      </c>
    </row>
    <row r="137" spans="1:34">
      <c r="A137" s="3479"/>
      <c r="B137" s="3479"/>
      <c r="C137" s="3470"/>
      <c r="D137" s="1464" t="str">
        <f>"25 but under age 65 at the end of "&amp;TaxYear&amp;"? (Check 'Yes' if"</f>
        <v>25 but under age 65 at the end of 2016? (Check 'Yes' if</v>
      </c>
    </row>
    <row r="138" spans="1:34">
      <c r="A138" s="3479"/>
      <c r="B138" s="3479"/>
      <c r="C138" s="3470"/>
      <c r="D138" s="1464" t="s">
        <v>2720</v>
      </c>
    </row>
    <row r="139" spans="1:34">
      <c r="A139" s="3479"/>
      <c r="B139" s="3479"/>
      <c r="C139" s="3470"/>
      <c r="D139" s="35" t="str">
        <f>"December 31, "&amp;TaxYear-65&amp;", and before January 2, "&amp;TaxYear-24&amp;".) If your"</f>
        <v>December 31, 1951, and before January 2, 1992.) If your</v>
      </c>
    </row>
    <row r="140" spans="1:34">
      <c r="A140" s="3479"/>
      <c r="B140" s="3479"/>
      <c r="C140" s="3470"/>
      <c r="D140" s="35" t="str">
        <f>"spouse died in "&amp;TaxYear&amp;", see Pub. 596 before you answer."</f>
        <v>spouse died in 2016, see Pub. 596 before you answer.</v>
      </c>
    </row>
    <row r="142" spans="1:34">
      <c r="B142" s="4003" t="str">
        <f>IF(YourAge="®","",IF(OR(B116&lt;&gt;"",H125&lt;&gt;"",H134&lt;&gt;""),"",IF(OR(AND(YourAge&lt;&gt;"®",YourAge&gt;=25,YourAge&lt;65),AND(SpouseAge&lt;&gt;"®",File_Marr_Joint&lt;&gt;"",SpouseAge&gt;=25,SpouseAge&lt;65)),"X","")))</f>
        <v/>
      </c>
      <c r="D142" s="1464" t="s">
        <v>2584</v>
      </c>
      <c r="H142" s="4003" t="str">
        <f>IF(YourAge="®","",IF(OR(Birthday_Needed&lt;&gt;"",B116&lt;&gt;"",H125&lt;&gt;"",H134&lt;&gt;""),"",IF(OR(AND(YourAge&gt;=25,YourAge&lt;65),AND(File_Marr_Joint&lt;&gt;"",SpouseAge&lt;&gt;"®",SpouseAge&gt;=25,SpouseAge&lt;65)),"","X")))</f>
        <v>X</v>
      </c>
      <c r="J142" s="1464" t="s">
        <v>2572</v>
      </c>
    </row>
    <row r="144" spans="1:34">
      <c r="A144" s="4991"/>
      <c r="B144" s="4992"/>
      <c r="C144" s="3470" t="s">
        <v>1</v>
      </c>
      <c r="D144" s="1464" t="s">
        <v>2721</v>
      </c>
    </row>
    <row r="145" spans="1:34">
      <c r="A145" s="4991"/>
      <c r="B145" s="4992"/>
      <c r="C145" s="3470"/>
      <c r="D145" s="1464" t="str">
        <f>"return, in the United States for more than half of "&amp;TaxYear&amp;"?"</f>
        <v>return, in the United States for more than half of 2016?</v>
      </c>
    </row>
    <row r="146" spans="1:34">
      <c r="A146" s="4991"/>
      <c r="B146" s="4992"/>
      <c r="C146" s="3470"/>
      <c r="D146" s="1464" t="s">
        <v>2722</v>
      </c>
    </row>
    <row r="147" spans="1:34">
      <c r="A147" s="4991"/>
      <c r="B147" s="4992"/>
      <c r="C147" s="3470"/>
      <c r="D147" s="1464" t="s">
        <v>2723</v>
      </c>
    </row>
    <row r="149" spans="1:34">
      <c r="B149" s="2693"/>
      <c r="D149" s="1464" t="s">
        <v>2584</v>
      </c>
      <c r="H149" s="2693"/>
      <c r="J149" s="1464" t="s">
        <v>2572</v>
      </c>
    </row>
    <row r="150" spans="1:34">
      <c r="B150" s="60"/>
      <c r="D150" s="1464"/>
      <c r="H150" s="3468"/>
      <c r="J150" s="1464" t="s">
        <v>2724</v>
      </c>
    </row>
    <row r="151" spans="1:34">
      <c r="B151" s="60"/>
      <c r="D151" s="1464"/>
      <c r="H151" s="3468"/>
      <c r="J151" s="1464" t="s">
        <v>2725</v>
      </c>
    </row>
    <row r="152" spans="1:34" s="44" customFormat="1">
      <c r="B152" s="60"/>
      <c r="N152" s="21"/>
      <c r="AG152" s="21"/>
      <c r="AH152" s="21"/>
    </row>
    <row r="153" spans="1:34">
      <c r="C153" s="3470" t="s">
        <v>642</v>
      </c>
      <c r="D153" s="35" t="str">
        <f>"Are you filing a joint return for "&amp;TaxYear&amp;"?"</f>
        <v>Are you filing a joint return for 2016?</v>
      </c>
      <c r="AG153" s="20">
        <v>25</v>
      </c>
      <c r="AH153" s="20">
        <v>65</v>
      </c>
    </row>
    <row r="154" spans="1:34">
      <c r="D154" s="716" t="str">
        <f>IF(OR(B101&gt;0,B101="",B125&lt;&gt;"",H125&lt;&gt;"",B142&lt;&gt;"",B149&lt;&gt;""),"",IF(OR(AND(File_Marr_Joint&lt;&gt;"",OR(YourAge="",SpouseAge="")),YourAge=""),"Birthdate information is needed on Form 1040, Row 73.",""))</f>
        <v/>
      </c>
    </row>
    <row r="155" spans="1:34">
      <c r="B155" s="4003" t="str">
        <f>IF(OR(B116="X",H125&lt;&gt;""),"",IF(File_Marr_Joint&lt;&gt;"","X",""))</f>
        <v/>
      </c>
      <c r="D155" s="1464" t="s">
        <v>2727</v>
      </c>
      <c r="H155" s="4003" t="str">
        <f>IF(OR(B116="X",H125&lt;&gt;""),"",IF(File_Marr_Joint&lt;&gt;"","","X"))</f>
        <v>X</v>
      </c>
      <c r="J155" s="1464" t="s">
        <v>2578</v>
      </c>
    </row>
    <row r="156" spans="1:34">
      <c r="B156" s="60"/>
      <c r="D156" s="1464" t="s">
        <v>2726</v>
      </c>
      <c r="H156" s="60"/>
    </row>
    <row r="157" spans="1:34" ht="12.75" customHeight="1"/>
    <row r="158" spans="1:34">
      <c r="C158" s="1656" t="s">
        <v>53</v>
      </c>
      <c r="D158" s="1464" t="str">
        <f>"Could you be a qualifying child of another person for "&amp;TaxYear&amp;"?"</f>
        <v>Could you be a qualifying child of another person for 2016?</v>
      </c>
    </row>
    <row r="159" spans="1:34">
      <c r="A159" s="4991" t="str">
        <f>IF(H149&lt;&gt;"","Skip","")</f>
        <v/>
      </c>
      <c r="B159" s="4992"/>
      <c r="C159" s="3483"/>
      <c r="D159" s="1464" t="s">
        <v>2716</v>
      </c>
    </row>
    <row r="160" spans="1:34">
      <c r="A160" s="4991" t="str">
        <f>IF(H150&lt;&gt;"","Skip","")</f>
        <v/>
      </c>
      <c r="B160" s="4992"/>
      <c r="C160" s="3483"/>
      <c r="D160" s="1464" t="str">
        <f>"is not filing, a "&amp;TaxYear&amp;" tax return or is filing a "&amp;TaxYear&amp;" return only"</f>
        <v>is not filing, a 2016 tax return or is filing a 2016 return only</v>
      </c>
    </row>
    <row r="161" spans="1:34">
      <c r="A161" s="4991" t="str">
        <f>IF(H151&lt;&gt;"","Skip","")</f>
        <v/>
      </c>
      <c r="B161" s="4992"/>
      <c r="C161" s="3483"/>
      <c r="D161" s="1464" t="s">
        <v>2717</v>
      </c>
    </row>
    <row r="162" spans="1:34">
      <c r="A162" s="4991" t="str">
        <f>IF(B155&lt;&gt;"","Skip","")</f>
        <v/>
      </c>
      <c r="B162" s="4992"/>
      <c r="C162" s="3483"/>
      <c r="D162" s="1464" t="s">
        <v>2718</v>
      </c>
    </row>
    <row r="164" spans="1:34">
      <c r="B164" s="2693"/>
      <c r="D164" s="1464" t="s">
        <v>2728</v>
      </c>
      <c r="H164" s="2693" t="s">
        <v>2552</v>
      </c>
      <c r="J164" s="1464" t="s">
        <v>2578</v>
      </c>
    </row>
    <row r="165" spans="1:34">
      <c r="D165" s="1464" t="s">
        <v>2729</v>
      </c>
    </row>
    <row r="166" spans="1:34">
      <c r="D166" s="1464" t="s">
        <v>2730</v>
      </c>
    </row>
    <row r="167" spans="1:34">
      <c r="D167" s="1464" t="s">
        <v>2731</v>
      </c>
    </row>
    <row r="168" spans="1:34" s="44" customFormat="1">
      <c r="B168" s="60"/>
      <c r="N168" s="21"/>
      <c r="AG168" s="21"/>
      <c r="AH168" s="21"/>
    </row>
    <row r="169" spans="1:34">
      <c r="C169" s="3483" t="s">
        <v>122</v>
      </c>
      <c r="D169" s="35" t="str">
        <f>"Can you be claimed as a dependent on someone else's "&amp;TaxYear</f>
        <v>Can you be claimed as a dependent on someone else's 2016</v>
      </c>
    </row>
    <row r="170" spans="1:34">
      <c r="D170" s="1464" t="s">
        <v>2732</v>
      </c>
    </row>
    <row r="172" spans="1:34">
      <c r="B172" s="4003" t="str">
        <f>IF(OR(B116="X",H125&lt;&gt;"",B155&lt;&gt;"",B164&lt;&gt;""),"",IF(OR(DependentYOU&lt;&gt;"",DependentSPOUSE&lt;&gt;""),"X",""))</f>
        <v/>
      </c>
      <c r="D172" s="1464" t="s">
        <v>2575</v>
      </c>
      <c r="H172" s="4003" t="str">
        <f>IF(OR(B116="X",H125&lt;&gt;"",B155&lt;&gt;"",B164&lt;&gt;""),"",IF(OR(DependentYOU&lt;&gt;"",DependentSPOUSE&lt;&gt;""),"","X"))</f>
        <v>X</v>
      </c>
      <c r="J172" s="1464" t="s">
        <v>2733</v>
      </c>
    </row>
    <row r="175" spans="1:34" s="3465" customFormat="1" ht="15.75">
      <c r="A175" s="3502" t="s">
        <v>2758</v>
      </c>
      <c r="B175" s="3503" t="s">
        <v>2783</v>
      </c>
      <c r="C175" s="3464"/>
      <c r="N175" s="3466"/>
      <c r="AG175" s="3466"/>
      <c r="AH175" s="3466"/>
    </row>
    <row r="176" spans="1:34">
      <c r="A176" s="2571"/>
      <c r="C176" s="2571"/>
    </row>
    <row r="177" spans="1:39">
      <c r="A177" s="3470" t="s">
        <v>476</v>
      </c>
      <c r="B177" s="35" t="s">
        <v>2597</v>
      </c>
    </row>
    <row r="178" spans="1:39">
      <c r="C178" s="3470"/>
    </row>
    <row r="179" spans="1:39">
      <c r="A179" s="2112" t="b">
        <f>IF(OR(H21&lt;&gt;"",H26&lt;&gt;"",B31&lt;&gt;"",B35&lt;&gt;"",AND(B59&lt;&gt;"",H63&lt;&gt;""),AND(H106&lt;&gt;"",H134&lt;&gt;""),B125&lt;&gt;"",H142&lt;&gt;"",H149&lt;&gt;"",B164&lt;&gt;"",B172&lt;&gt;""),TRUE,FALSE)</f>
        <v>1</v>
      </c>
      <c r="B179" s="2693"/>
      <c r="D179" s="35" t="s">
        <v>668</v>
      </c>
      <c r="H179" s="2693"/>
      <c r="J179" s="1968" t="s">
        <v>2736</v>
      </c>
    </row>
    <row r="180" spans="1:39">
      <c r="D180" s="35" t="s">
        <v>2734</v>
      </c>
      <c r="J180" s="1968" t="s">
        <v>2737</v>
      </c>
    </row>
    <row r="181" spans="1:39">
      <c r="D181" s="35" t="s">
        <v>2735</v>
      </c>
      <c r="M181" s="3481" t="s">
        <v>149</v>
      </c>
    </row>
    <row r="182" spans="1:39" ht="12.75" customHeight="1" thickBot="1">
      <c r="M182" s="3481" t="s">
        <v>661</v>
      </c>
    </row>
    <row r="183" spans="1:39" ht="13.5" thickBot="1">
      <c r="C183" s="3483" t="s">
        <v>476</v>
      </c>
      <c r="D183" s="1464" t="s">
        <v>2738</v>
      </c>
      <c r="J183" s="3483" t="s">
        <v>476</v>
      </c>
      <c r="K183" s="3994" t="str">
        <f>IF(M183&lt;&gt;"",ROUND(M183,0),IF(A179,"",Wages))</f>
        <v/>
      </c>
      <c r="M183" s="3505"/>
      <c r="AH183" s="20">
        <v>65</v>
      </c>
    </row>
    <row r="184" spans="1:39">
      <c r="M184" s="44"/>
    </row>
    <row r="185" spans="1:39" s="20" customFormat="1">
      <c r="A185" s="35"/>
      <c r="B185" s="3469"/>
      <c r="C185" s="3483" t="s">
        <v>0</v>
      </c>
      <c r="D185" s="1464" t="s">
        <v>2739</v>
      </c>
      <c r="E185" s="35"/>
      <c r="F185" s="35"/>
      <c r="G185" s="35"/>
      <c r="H185" s="35"/>
      <c r="I185" s="35"/>
      <c r="J185" s="35"/>
      <c r="K185" s="35"/>
      <c r="L185" s="35"/>
      <c r="M185" s="44"/>
      <c r="O185" s="35"/>
      <c r="P185" s="35"/>
      <c r="Q185" s="35"/>
      <c r="R185" s="35"/>
      <c r="S185" s="35"/>
      <c r="T185" s="35"/>
      <c r="U185" s="35"/>
      <c r="V185" s="35"/>
      <c r="W185" s="35"/>
      <c r="X185" s="35"/>
      <c r="Y185" s="35"/>
      <c r="Z185" s="35"/>
      <c r="AA185" s="35"/>
      <c r="AB185" s="35"/>
      <c r="AC185" s="35"/>
      <c r="AD185" s="35"/>
      <c r="AE185" s="35"/>
      <c r="AF185" s="35"/>
      <c r="AI185" s="35"/>
      <c r="AJ185" s="35"/>
      <c r="AK185" s="35"/>
      <c r="AL185" s="35"/>
      <c r="AM185" s="35"/>
    </row>
    <row r="186" spans="1:39">
      <c r="D186" s="1464" t="s">
        <v>2740</v>
      </c>
      <c r="M186" s="178" t="s">
        <v>3319</v>
      </c>
    </row>
    <row r="187" spans="1:39" s="20" customFormat="1">
      <c r="A187" s="35"/>
      <c r="B187" s="3469"/>
      <c r="C187" s="35"/>
      <c r="D187" s="1464" t="s">
        <v>2741</v>
      </c>
      <c r="E187" s="35"/>
      <c r="F187" s="35"/>
      <c r="G187" s="35"/>
      <c r="H187" s="35"/>
      <c r="I187" s="35"/>
      <c r="J187" s="3483" t="s">
        <v>0</v>
      </c>
      <c r="K187" s="3994">
        <f>'Earned Income'!J17</f>
        <v>0</v>
      </c>
      <c r="L187" s="35"/>
      <c r="M187" s="178" t="s">
        <v>3317</v>
      </c>
      <c r="O187" s="35"/>
      <c r="P187" s="35"/>
      <c r="Q187" s="35"/>
      <c r="R187" s="35"/>
      <c r="S187" s="35"/>
      <c r="T187" s="35"/>
      <c r="U187" s="35"/>
      <c r="V187" s="35"/>
      <c r="W187" s="35"/>
      <c r="X187" s="35"/>
      <c r="Y187" s="35"/>
      <c r="Z187" s="35"/>
      <c r="AA187" s="35"/>
      <c r="AB187" s="35"/>
      <c r="AC187" s="35"/>
      <c r="AD187" s="35"/>
      <c r="AE187" s="35"/>
      <c r="AF187" s="35"/>
      <c r="AI187" s="35"/>
      <c r="AJ187" s="35"/>
      <c r="AK187" s="35"/>
      <c r="AL187" s="35"/>
      <c r="AM187" s="35"/>
    </row>
    <row r="188" spans="1:39" s="20" customFormat="1">
      <c r="A188" s="35"/>
      <c r="B188" s="3469"/>
      <c r="C188" s="35"/>
      <c r="D188" s="35"/>
      <c r="E188" s="35"/>
      <c r="F188" s="35"/>
      <c r="G188" s="35"/>
      <c r="H188" s="35"/>
      <c r="I188" s="35"/>
      <c r="J188" s="35"/>
      <c r="K188" s="35"/>
      <c r="L188" s="35"/>
      <c r="M188" s="178" t="s">
        <v>3318</v>
      </c>
      <c r="O188" s="35"/>
      <c r="P188" s="35"/>
      <c r="Q188" s="35"/>
      <c r="R188" s="35"/>
      <c r="S188" s="35"/>
      <c r="T188" s="35"/>
      <c r="U188" s="35"/>
      <c r="V188" s="35"/>
      <c r="W188" s="35"/>
      <c r="X188" s="35"/>
      <c r="Y188" s="35"/>
      <c r="Z188" s="35"/>
      <c r="AA188" s="35"/>
      <c r="AB188" s="35"/>
      <c r="AC188" s="35"/>
      <c r="AD188" s="35"/>
      <c r="AE188" s="35"/>
      <c r="AF188" s="35"/>
      <c r="AI188" s="35"/>
      <c r="AJ188" s="35"/>
      <c r="AK188" s="35"/>
      <c r="AL188" s="35"/>
      <c r="AM188" s="35"/>
    </row>
    <row r="189" spans="1:39">
      <c r="C189" s="3483" t="s">
        <v>1</v>
      </c>
      <c r="D189" s="1464" t="s">
        <v>2742</v>
      </c>
      <c r="M189" s="44"/>
    </row>
    <row r="190" spans="1:39" s="20" customFormat="1">
      <c r="A190" s="35"/>
      <c r="B190" s="3469"/>
      <c r="C190" s="35"/>
      <c r="D190" s="1464" t="s">
        <v>2743</v>
      </c>
      <c r="E190" s="35"/>
      <c r="F190" s="35"/>
      <c r="G190" s="35"/>
      <c r="H190" s="35"/>
      <c r="I190" s="35"/>
      <c r="J190" s="35"/>
      <c r="K190" s="35"/>
      <c r="L190" s="35"/>
      <c r="M190" s="44"/>
      <c r="O190" s="35"/>
      <c r="P190" s="35"/>
      <c r="Q190" s="35"/>
      <c r="R190" s="35"/>
      <c r="S190" s="35"/>
      <c r="T190" s="35"/>
      <c r="U190" s="35"/>
      <c r="V190" s="35"/>
      <c r="W190" s="35"/>
      <c r="X190" s="35"/>
      <c r="Y190" s="35"/>
      <c r="Z190" s="35"/>
      <c r="AA190" s="35"/>
      <c r="AB190" s="35"/>
      <c r="AC190" s="35"/>
      <c r="AD190" s="35"/>
      <c r="AE190" s="35"/>
      <c r="AF190" s="35"/>
      <c r="AI190" s="35"/>
      <c r="AJ190" s="35"/>
      <c r="AK190" s="35"/>
      <c r="AL190" s="35"/>
      <c r="AM190" s="35"/>
    </row>
    <row r="191" spans="1:39" s="20" customFormat="1">
      <c r="A191" s="35"/>
      <c r="B191" s="3469"/>
      <c r="C191" s="35"/>
      <c r="D191" s="1464" t="s">
        <v>2744</v>
      </c>
      <c r="E191" s="35"/>
      <c r="F191" s="35"/>
      <c r="G191" s="35"/>
      <c r="H191" s="35"/>
      <c r="I191" s="35"/>
      <c r="J191" s="35"/>
      <c r="K191" s="35"/>
      <c r="L191" s="35"/>
      <c r="M191" s="44"/>
      <c r="O191" s="35"/>
      <c r="P191" s="35"/>
      <c r="Q191" s="35"/>
      <c r="R191" s="35"/>
      <c r="S191" s="35"/>
      <c r="T191" s="35"/>
      <c r="U191" s="35"/>
      <c r="V191" s="35"/>
      <c r="W191" s="35"/>
      <c r="X191" s="35"/>
      <c r="Y191" s="35"/>
      <c r="Z191" s="35"/>
      <c r="AA191" s="35"/>
      <c r="AB191" s="35"/>
      <c r="AC191" s="35"/>
      <c r="AD191" s="35"/>
      <c r="AE191" s="35"/>
      <c r="AF191" s="35"/>
      <c r="AI191" s="35"/>
      <c r="AJ191" s="35"/>
      <c r="AK191" s="35"/>
      <c r="AL191" s="35"/>
      <c r="AM191" s="35"/>
    </row>
    <row r="192" spans="1:39">
      <c r="D192" s="1464" t="s">
        <v>2745</v>
      </c>
      <c r="M192" s="44"/>
    </row>
    <row r="193" spans="1:39" s="20" customFormat="1">
      <c r="A193" s="35"/>
      <c r="B193" s="3469"/>
      <c r="C193" s="35"/>
      <c r="D193" s="1464" t="s">
        <v>2746</v>
      </c>
      <c r="E193" s="35"/>
      <c r="F193" s="35"/>
      <c r="G193" s="35"/>
      <c r="H193" s="35"/>
      <c r="I193" s="35"/>
      <c r="J193" s="3483" t="s">
        <v>1</v>
      </c>
      <c r="K193" s="3994">
        <f>'Earned Income'!J23</f>
        <v>0</v>
      </c>
      <c r="L193" s="35"/>
      <c r="M193" s="44"/>
      <c r="O193" s="35"/>
      <c r="P193" s="35"/>
      <c r="Q193" s="35"/>
      <c r="R193" s="35"/>
      <c r="S193" s="35"/>
      <c r="T193" s="35"/>
      <c r="U193" s="35"/>
      <c r="V193" s="35"/>
      <c r="W193" s="35"/>
      <c r="X193" s="35"/>
      <c r="Y193" s="35"/>
      <c r="Z193" s="35"/>
      <c r="AA193" s="35"/>
      <c r="AB193" s="35"/>
      <c r="AC193" s="35"/>
      <c r="AD193" s="35"/>
      <c r="AE193" s="35"/>
      <c r="AF193" s="35"/>
      <c r="AG193" s="716"/>
      <c r="AI193" s="35"/>
      <c r="AJ193" s="35"/>
      <c r="AK193" s="35"/>
      <c r="AL193" s="35"/>
      <c r="AM193" s="35"/>
    </row>
    <row r="194" spans="1:39" s="20" customFormat="1">
      <c r="A194" s="35"/>
      <c r="B194" s="3469"/>
      <c r="C194" s="35"/>
      <c r="D194" s="35"/>
      <c r="E194" s="35"/>
      <c r="F194" s="35"/>
      <c r="G194" s="35"/>
      <c r="H194" s="35"/>
      <c r="I194" s="35"/>
      <c r="J194" s="35"/>
      <c r="K194" s="35"/>
      <c r="L194" s="35"/>
      <c r="M194" s="44"/>
      <c r="O194" s="35"/>
      <c r="P194" s="35"/>
      <c r="Q194" s="35"/>
      <c r="R194" s="35"/>
      <c r="S194" s="35"/>
      <c r="T194" s="35"/>
      <c r="U194" s="35"/>
      <c r="V194" s="35"/>
      <c r="W194" s="35"/>
      <c r="X194" s="35"/>
      <c r="Y194" s="35"/>
      <c r="Z194" s="35"/>
      <c r="AA194" s="35"/>
      <c r="AB194" s="35"/>
      <c r="AC194" s="35"/>
      <c r="AD194" s="35"/>
      <c r="AE194" s="35"/>
      <c r="AF194" s="35"/>
      <c r="AI194" s="35"/>
      <c r="AJ194" s="35"/>
      <c r="AK194" s="35"/>
      <c r="AL194" s="35"/>
      <c r="AM194" s="35"/>
    </row>
    <row r="195" spans="1:39" s="20" customFormat="1">
      <c r="A195" s="35"/>
      <c r="B195" s="3469"/>
      <c r="C195" s="3483" t="s">
        <v>642</v>
      </c>
      <c r="D195" s="1464" t="s">
        <v>2739</v>
      </c>
      <c r="E195" s="35"/>
      <c r="F195" s="35"/>
      <c r="G195" s="35"/>
      <c r="H195" s="35"/>
      <c r="I195" s="35"/>
      <c r="J195" s="35"/>
      <c r="K195" s="35"/>
      <c r="L195" s="35"/>
      <c r="M195" s="44"/>
      <c r="O195" s="35"/>
      <c r="P195" s="35"/>
      <c r="Q195" s="35"/>
      <c r="R195" s="35"/>
      <c r="S195" s="35"/>
      <c r="T195" s="35"/>
      <c r="U195" s="35"/>
      <c r="V195" s="35"/>
      <c r="W195" s="35"/>
      <c r="X195" s="35"/>
      <c r="Y195" s="35"/>
      <c r="Z195" s="35"/>
      <c r="AA195" s="35"/>
      <c r="AB195" s="35"/>
      <c r="AC195" s="35"/>
      <c r="AD195" s="35"/>
      <c r="AE195" s="35"/>
      <c r="AF195" s="35"/>
      <c r="AI195" s="35"/>
      <c r="AJ195" s="35"/>
      <c r="AK195" s="35"/>
      <c r="AL195" s="35"/>
      <c r="AM195" s="35"/>
    </row>
    <row r="196" spans="1:39" s="20" customFormat="1">
      <c r="A196" s="35"/>
      <c r="B196" s="3469"/>
      <c r="C196" s="35"/>
      <c r="D196" s="35" t="s">
        <v>2747</v>
      </c>
      <c r="E196" s="35"/>
      <c r="F196" s="35"/>
      <c r="G196" s="35"/>
      <c r="H196" s="35"/>
      <c r="I196" s="35"/>
      <c r="J196" s="35"/>
      <c r="K196" s="35"/>
      <c r="L196" s="35"/>
      <c r="M196" s="44"/>
      <c r="O196" s="35"/>
      <c r="P196" s="35"/>
      <c r="Q196" s="35"/>
      <c r="R196" s="35"/>
      <c r="S196" s="35"/>
      <c r="T196" s="35"/>
      <c r="U196" s="35"/>
      <c r="V196" s="35"/>
      <c r="W196" s="35"/>
      <c r="X196" s="35"/>
      <c r="Y196" s="35"/>
      <c r="Z196" s="35"/>
      <c r="AA196" s="35"/>
      <c r="AB196" s="35"/>
      <c r="AC196" s="35"/>
      <c r="AD196" s="35"/>
      <c r="AE196" s="35"/>
      <c r="AF196" s="35"/>
      <c r="AI196" s="35"/>
      <c r="AJ196" s="35"/>
      <c r="AK196" s="35"/>
      <c r="AL196" s="35"/>
      <c r="AM196" s="35"/>
    </row>
    <row r="197" spans="1:39" s="20" customFormat="1">
      <c r="A197" s="35"/>
      <c r="B197" s="3469"/>
      <c r="C197" s="35"/>
      <c r="D197" s="35" t="s">
        <v>2477</v>
      </c>
      <c r="E197" s="35"/>
      <c r="F197" s="35"/>
      <c r="G197" s="35"/>
      <c r="H197" s="35"/>
      <c r="I197" s="35"/>
      <c r="J197" s="35"/>
      <c r="K197" s="35"/>
      <c r="L197" s="35"/>
      <c r="M197" s="44"/>
      <c r="O197" s="35"/>
      <c r="P197" s="35"/>
      <c r="Q197" s="35"/>
      <c r="R197" s="35"/>
      <c r="S197" s="35"/>
      <c r="T197" s="35"/>
      <c r="U197" s="35"/>
      <c r="V197" s="35"/>
      <c r="W197" s="35"/>
      <c r="X197" s="35"/>
      <c r="Y197" s="35"/>
      <c r="Z197" s="35"/>
      <c r="AA197" s="35"/>
      <c r="AB197" s="35"/>
      <c r="AC197" s="35"/>
      <c r="AD197" s="35"/>
      <c r="AE197" s="35"/>
      <c r="AF197" s="35"/>
      <c r="AI197" s="35"/>
      <c r="AJ197" s="35"/>
      <c r="AK197" s="35"/>
      <c r="AL197" s="35"/>
      <c r="AM197" s="35"/>
    </row>
    <row r="198" spans="1:39" s="20" customFormat="1">
      <c r="A198" s="35"/>
      <c r="B198" s="3469"/>
      <c r="C198" s="35"/>
      <c r="D198" s="35" t="s">
        <v>2748</v>
      </c>
      <c r="E198" s="35"/>
      <c r="F198" s="35"/>
      <c r="G198" s="35"/>
      <c r="H198" s="35"/>
      <c r="I198" s="35"/>
      <c r="J198" s="35"/>
      <c r="K198" s="35"/>
      <c r="L198" s="35"/>
      <c r="M198" s="44"/>
      <c r="O198" s="35"/>
      <c r="P198" s="35"/>
      <c r="Q198" s="35"/>
      <c r="R198" s="35"/>
      <c r="S198" s="35"/>
      <c r="T198" s="35"/>
      <c r="U198" s="35"/>
      <c r="V198" s="35"/>
      <c r="W198" s="35"/>
      <c r="X198" s="35"/>
      <c r="Y198" s="35"/>
      <c r="Z198" s="35"/>
      <c r="AA198" s="35"/>
      <c r="AB198" s="35"/>
      <c r="AC198" s="35"/>
      <c r="AD198" s="35"/>
      <c r="AE198" s="35"/>
      <c r="AF198" s="35"/>
      <c r="AI198" s="35"/>
      <c r="AJ198" s="35"/>
      <c r="AK198" s="35"/>
      <c r="AL198" s="35"/>
      <c r="AM198" s="35"/>
    </row>
    <row r="199" spans="1:39" s="20" customFormat="1">
      <c r="A199" s="35"/>
      <c r="B199" s="3469"/>
      <c r="C199" s="35"/>
      <c r="D199" s="35" t="s">
        <v>2749</v>
      </c>
      <c r="E199" s="35"/>
      <c r="F199" s="35"/>
      <c r="G199" s="35"/>
      <c r="H199" s="35"/>
      <c r="I199" s="35"/>
      <c r="J199" s="35"/>
      <c r="K199" s="35"/>
      <c r="L199" s="35"/>
      <c r="M199" s="44"/>
      <c r="O199" s="35"/>
      <c r="P199" s="35"/>
      <c r="Q199" s="35"/>
      <c r="R199" s="35"/>
      <c r="S199" s="35"/>
      <c r="T199" s="35"/>
      <c r="U199" s="35"/>
      <c r="V199" s="35"/>
      <c r="W199" s="35"/>
      <c r="X199" s="35"/>
      <c r="Y199" s="35"/>
      <c r="Z199" s="35"/>
      <c r="AA199" s="35"/>
      <c r="AB199" s="35"/>
      <c r="AC199" s="35"/>
      <c r="AD199" s="35"/>
      <c r="AE199" s="35"/>
      <c r="AF199" s="35"/>
      <c r="AI199" s="35"/>
      <c r="AJ199" s="35"/>
      <c r="AK199" s="35"/>
      <c r="AL199" s="35"/>
      <c r="AM199" s="35"/>
    </row>
    <row r="200" spans="1:39" s="20" customFormat="1">
      <c r="A200" s="35"/>
      <c r="B200" s="3469"/>
      <c r="C200" s="35"/>
      <c r="D200" s="35" t="s">
        <v>2750</v>
      </c>
      <c r="E200" s="35"/>
      <c r="F200" s="35"/>
      <c r="G200" s="35"/>
      <c r="H200" s="35"/>
      <c r="I200" s="35"/>
      <c r="J200" s="35"/>
      <c r="K200" s="35"/>
      <c r="L200" s="35"/>
      <c r="M200" s="44"/>
      <c r="O200" s="35"/>
      <c r="P200" s="35"/>
      <c r="Q200" s="35"/>
      <c r="R200" s="35"/>
      <c r="S200" s="35"/>
      <c r="T200" s="35"/>
      <c r="U200" s="35"/>
      <c r="V200" s="35"/>
      <c r="W200" s="35"/>
      <c r="X200" s="35"/>
      <c r="Y200" s="35"/>
      <c r="Z200" s="35"/>
      <c r="AA200" s="35"/>
      <c r="AB200" s="35"/>
      <c r="AC200" s="35"/>
      <c r="AD200" s="35"/>
      <c r="AE200" s="35"/>
      <c r="AF200" s="35"/>
      <c r="AI200" s="35"/>
      <c r="AJ200" s="35"/>
      <c r="AK200" s="35"/>
      <c r="AL200" s="35"/>
      <c r="AM200" s="35"/>
    </row>
    <row r="201" spans="1:39" s="20" customFormat="1">
      <c r="A201" s="35"/>
      <c r="B201" s="3469"/>
      <c r="C201" s="35"/>
      <c r="D201" s="35" t="s">
        <v>2751</v>
      </c>
      <c r="E201" s="35"/>
      <c r="F201" s="35"/>
      <c r="G201" s="35"/>
      <c r="H201" s="35"/>
      <c r="I201" s="35"/>
      <c r="J201" s="35"/>
      <c r="K201" s="35"/>
      <c r="L201" s="35"/>
      <c r="M201" s="44"/>
      <c r="O201" s="35"/>
      <c r="P201" s="35"/>
      <c r="Q201" s="35"/>
      <c r="R201" s="35"/>
      <c r="S201" s="35"/>
      <c r="T201" s="35"/>
      <c r="U201" s="35"/>
      <c r="V201" s="35"/>
      <c r="W201" s="35"/>
      <c r="X201" s="35"/>
      <c r="Y201" s="35"/>
      <c r="Z201" s="35"/>
      <c r="AA201" s="35"/>
      <c r="AB201" s="35"/>
      <c r="AC201" s="35"/>
      <c r="AD201" s="35"/>
      <c r="AE201" s="35"/>
      <c r="AF201" s="35"/>
      <c r="AI201" s="35"/>
      <c r="AJ201" s="35"/>
      <c r="AK201" s="35"/>
      <c r="AL201" s="35"/>
      <c r="AM201" s="35"/>
    </row>
    <row r="202" spans="1:39">
      <c r="D202" s="35" t="s">
        <v>2752</v>
      </c>
    </row>
    <row r="203" spans="1:39" s="20" customFormat="1">
      <c r="A203" s="35"/>
      <c r="B203" s="3469"/>
      <c r="C203" s="35"/>
      <c r="D203" s="1464" t="s">
        <v>2753</v>
      </c>
      <c r="E203" s="35"/>
      <c r="F203" s="35"/>
      <c r="G203" s="35"/>
      <c r="H203" s="35"/>
      <c r="I203" s="35"/>
      <c r="J203" s="3483" t="s">
        <v>642</v>
      </c>
      <c r="K203" s="3994">
        <f>'Earned Income'!J33</f>
        <v>0</v>
      </c>
      <c r="L203" s="35"/>
      <c r="M203" s="35"/>
      <c r="O203" s="35"/>
      <c r="P203" s="35"/>
      <c r="Q203" s="35"/>
      <c r="R203" s="35"/>
      <c r="S203" s="35"/>
      <c r="T203" s="35"/>
      <c r="U203" s="35"/>
      <c r="V203" s="35"/>
      <c r="W203" s="35"/>
      <c r="X203" s="35"/>
      <c r="Y203" s="35"/>
      <c r="Z203" s="35"/>
      <c r="AA203" s="35"/>
      <c r="AB203" s="35"/>
      <c r="AC203" s="35"/>
      <c r="AD203" s="35"/>
      <c r="AE203" s="35"/>
      <c r="AF203" s="35"/>
      <c r="AG203" s="716"/>
      <c r="AI203" s="35"/>
      <c r="AJ203" s="35"/>
      <c r="AK203" s="35"/>
      <c r="AL203" s="35"/>
      <c r="AM203" s="35"/>
    </row>
    <row r="205" spans="1:39">
      <c r="C205" s="3483" t="s">
        <v>53</v>
      </c>
      <c r="D205" s="35" t="s">
        <v>2739</v>
      </c>
      <c r="P205" s="3418"/>
      <c r="Q205" s="3418"/>
      <c r="R205" s="3418"/>
      <c r="S205" s="3418"/>
      <c r="T205" s="3418"/>
      <c r="U205" s="3418"/>
    </row>
    <row r="206" spans="1:39">
      <c r="D206" s="35" t="s">
        <v>2754</v>
      </c>
      <c r="P206" s="3418"/>
      <c r="Q206" s="3418"/>
      <c r="R206" s="3418"/>
      <c r="S206" s="3418"/>
      <c r="T206" s="3418"/>
      <c r="U206" s="3418"/>
    </row>
    <row r="207" spans="1:39">
      <c r="D207" s="35" t="s">
        <v>2755</v>
      </c>
      <c r="P207" s="3418"/>
      <c r="Q207" s="3418"/>
      <c r="R207" s="3418"/>
      <c r="S207" s="3418"/>
      <c r="T207" s="3418"/>
      <c r="U207" s="3418"/>
    </row>
    <row r="208" spans="1:39">
      <c r="D208" s="35" t="s">
        <v>2756</v>
      </c>
      <c r="J208" s="3483" t="s">
        <v>53</v>
      </c>
      <c r="K208" s="3994">
        <f>'Earned Income'!J38</f>
        <v>0</v>
      </c>
      <c r="P208" s="3418"/>
      <c r="Q208" s="3418"/>
      <c r="R208" s="3418"/>
      <c r="S208" s="3418"/>
      <c r="T208" s="3418"/>
      <c r="U208" s="3418"/>
    </row>
    <row r="209" spans="3:24">
      <c r="P209" s="3418"/>
      <c r="Q209" s="3418"/>
      <c r="R209" s="3418"/>
      <c r="S209" s="3418"/>
      <c r="T209" s="3418"/>
      <c r="U209" s="3418"/>
      <c r="V209" s="3481"/>
      <c r="X209" s="3481"/>
    </row>
    <row r="210" spans="3:24">
      <c r="C210" s="3483" t="s">
        <v>122</v>
      </c>
      <c r="D210" s="1464" t="s">
        <v>2757</v>
      </c>
      <c r="J210" s="3483" t="s">
        <v>122</v>
      </c>
      <c r="K210" s="3994">
        <f>SUM(K187,K193,K203,K208)</f>
        <v>0</v>
      </c>
      <c r="P210" s="3418"/>
      <c r="Q210" s="3418"/>
      <c r="R210" s="3418"/>
      <c r="S210" s="3418"/>
      <c r="T210" s="3418"/>
      <c r="U210" s="3418"/>
      <c r="V210" s="3481"/>
      <c r="X210" s="3481"/>
    </row>
    <row r="211" spans="3:24">
      <c r="P211" s="3418"/>
      <c r="Q211" s="3418"/>
      <c r="R211" s="3418"/>
      <c r="S211" s="3418"/>
      <c r="T211" s="3418"/>
      <c r="U211" s="3418"/>
    </row>
    <row r="212" spans="3:24">
      <c r="C212" s="3483" t="s">
        <v>123</v>
      </c>
      <c r="D212" s="1464" t="s">
        <v>2767</v>
      </c>
      <c r="J212" s="3483" t="s">
        <v>123</v>
      </c>
      <c r="K212" s="3994">
        <f>SUM(K183,-K210)</f>
        <v>0</v>
      </c>
      <c r="P212" s="3418"/>
      <c r="Q212" s="3418"/>
      <c r="R212" s="3418"/>
      <c r="S212" s="3418"/>
      <c r="T212" s="3418"/>
      <c r="U212" s="3418"/>
    </row>
    <row r="213" spans="3:24">
      <c r="P213" s="3418"/>
      <c r="Q213" s="3418"/>
      <c r="R213" s="3418"/>
      <c r="S213" s="3418"/>
      <c r="T213" s="3418"/>
      <c r="U213" s="3418"/>
    </row>
    <row r="214" spans="3:24">
      <c r="C214" s="3483" t="s">
        <v>338</v>
      </c>
      <c r="D214" s="35" t="s">
        <v>2768</v>
      </c>
      <c r="P214" s="3418"/>
      <c r="Q214" s="3418"/>
      <c r="R214" s="3418"/>
      <c r="S214" s="3418"/>
      <c r="T214" s="3418"/>
      <c r="U214" s="3418"/>
    </row>
    <row r="215" spans="3:24">
      <c r="D215" s="35" t="s">
        <v>2769</v>
      </c>
    </row>
    <row r="216" spans="3:24">
      <c r="D216" s="1464" t="s">
        <v>2771</v>
      </c>
    </row>
    <row r="217" spans="3:24">
      <c r="D217" s="1464" t="s">
        <v>2770</v>
      </c>
      <c r="J217" s="3483" t="s">
        <v>338</v>
      </c>
      <c r="K217" s="3994">
        <f>'Earned Income'!J47</f>
        <v>0</v>
      </c>
    </row>
    <row r="218" spans="3:24" ht="15" customHeight="1">
      <c r="D218" s="1464"/>
      <c r="J218" s="3483"/>
      <c r="K218" s="44"/>
    </row>
    <row r="219" spans="3:24">
      <c r="D219" s="1464"/>
      <c r="J219" s="3483"/>
      <c r="K219" s="44"/>
    </row>
    <row r="220" spans="3:24">
      <c r="D220" s="1464"/>
      <c r="E220" s="3480" t="s">
        <v>2772</v>
      </c>
      <c r="J220" s="3483"/>
      <c r="K220" s="44"/>
    </row>
    <row r="221" spans="3:24">
      <c r="D221" s="3480" t="s">
        <v>2773</v>
      </c>
      <c r="J221" s="3483"/>
      <c r="K221" s="44"/>
    </row>
    <row r="222" spans="3:24">
      <c r="D222" s="3480" t="s">
        <v>2774</v>
      </c>
      <c r="J222" s="3483"/>
      <c r="K222" s="44"/>
    </row>
    <row r="223" spans="3:24">
      <c r="D223" s="3480" t="s">
        <v>2775</v>
      </c>
      <c r="J223" s="3483"/>
      <c r="K223" s="44"/>
    </row>
    <row r="224" spans="3:24">
      <c r="D224" s="3480"/>
      <c r="J224" s="3483"/>
      <c r="K224" s="44"/>
      <c r="M224" s="3481" t="s">
        <v>149</v>
      </c>
      <c r="N224" s="35"/>
      <c r="O224" s="3481"/>
      <c r="Q224" s="3481"/>
    </row>
    <row r="225" spans="1:34" ht="13.5" thickBot="1">
      <c r="C225" s="3483" t="s">
        <v>339</v>
      </c>
      <c r="D225" s="1464" t="s">
        <v>2777</v>
      </c>
      <c r="M225" s="3481" t="s">
        <v>661</v>
      </c>
    </row>
    <row r="226" spans="1:34" ht="13.5" thickBot="1">
      <c r="D226" s="36" t="s">
        <v>2776</v>
      </c>
      <c r="J226" s="3483" t="s">
        <v>339</v>
      </c>
      <c r="K226" s="3994">
        <f>IF(M226&lt;&gt;"",M226,SUM(K212,K217))</f>
        <v>0</v>
      </c>
      <c r="M226" s="3505"/>
      <c r="N226" s="35"/>
      <c r="O226" s="3481"/>
      <c r="Q226" s="3481"/>
    </row>
    <row r="228" spans="1:34" s="44" customFormat="1">
      <c r="B228" s="60"/>
      <c r="N228" s="21"/>
      <c r="AG228" s="21"/>
      <c r="AH228" s="21"/>
    </row>
    <row r="229" spans="1:34" s="44" customFormat="1">
      <c r="A229" s="1693" t="s">
        <v>0</v>
      </c>
      <c r="B229" s="35" t="str">
        <f>"Were you self-employed at any time in "&amp;TaxYear&amp;", or are you filing Schedule SE because you were a member of the"</f>
        <v>Were you self-employed at any time in 2016, or are you filing Schedule SE because you were a member of the</v>
      </c>
      <c r="C229" s="3504"/>
      <c r="N229" s="21"/>
      <c r="AG229" s="21"/>
      <c r="AH229" s="21"/>
    </row>
    <row r="230" spans="1:34">
      <c r="A230" s="2571"/>
      <c r="B230" s="35" t="s">
        <v>2598</v>
      </c>
      <c r="C230" s="2571"/>
    </row>
    <row r="231" spans="1:34">
      <c r="C231" s="3470"/>
    </row>
    <row r="232" spans="1:34">
      <c r="B232" s="2693"/>
      <c r="D232" s="1464" t="s">
        <v>2778</v>
      </c>
      <c r="H232" s="2693"/>
      <c r="J232" s="1464" t="s">
        <v>2578</v>
      </c>
    </row>
    <row r="233" spans="1:34">
      <c r="D233" s="1464" t="s">
        <v>2779</v>
      </c>
      <c r="F233" s="3520"/>
      <c r="G233" s="3520" t="str">
        <f>IF(AND(B232&lt;&gt;"",H232&lt;&gt;""),"Check ONLY one.","")</f>
        <v/>
      </c>
    </row>
    <row r="234" spans="1:34" ht="12.75" customHeight="1"/>
    <row r="235" spans="1:34">
      <c r="A235" s="3483" t="s">
        <v>1</v>
      </c>
      <c r="B235" s="1464" t="s">
        <v>2611</v>
      </c>
    </row>
    <row r="236" spans="1:34" ht="7.5" customHeight="1"/>
    <row r="237" spans="1:34">
      <c r="B237" s="3614" t="str">
        <f>IF(OR(B232="X",H232="",EICNumQualChild&lt;3),"",IF(OR(AND(File_Marr_Joint&lt;&gt;"",EIC_EarnedIncome&lt;O10),EIC_EarnedIncome&lt;N10),"®",""))</f>
        <v/>
      </c>
      <c r="C237" s="1693" t="s">
        <v>2570</v>
      </c>
      <c r="D237" s="1464" t="s">
        <v>3037</v>
      </c>
    </row>
    <row r="238" spans="1:34">
      <c r="B238" s="3472"/>
      <c r="D238" s="35" t="str">
        <f>"Is your earned income less than "&amp;TEXT(N10,"$0,000")&amp;" ("&amp;TEXT(O10,"$0,000")&amp;" if married filing jointly)?"</f>
        <v>Is your earned income less than $47,955 ($53,505 if married filing jointly)?</v>
      </c>
      <c r="L238" s="3520" t="str">
        <f>IF(B237&lt;&gt;"®","",IF(M238,"Yes","No"))</f>
        <v/>
      </c>
      <c r="M238" s="2112" t="b">
        <f>IF(B237&lt;&gt;"®",FALSE,IF(OR(AND(File_Marr_Joint&lt;&gt;"",EIC_EarnedIncome&lt;O10),EIC_EarnedIncome&lt;N10),TRUE,FALSE))</f>
        <v>0</v>
      </c>
      <c r="AG238" s="20">
        <v>39783</v>
      </c>
    </row>
    <row r="239" spans="1:34">
      <c r="B239" s="3472"/>
      <c r="C239" s="3469" t="s">
        <v>385</v>
      </c>
    </row>
    <row r="240" spans="1:34">
      <c r="B240" s="3614" t="str">
        <f>IF(OR(B232="X",H232=""),"",IF(AND(EICNumQualChild=2,OR(AND(File_Marr_Joint&lt;&gt;"",Adj_Gross_Inc&lt;O13),Adj_Gross_Inc&lt;N13)),"®",""))</f>
        <v/>
      </c>
      <c r="C240" s="1693" t="s">
        <v>2570</v>
      </c>
      <c r="D240" s="1464" t="s">
        <v>3032</v>
      </c>
    </row>
    <row r="241" spans="1:34">
      <c r="B241" s="3472"/>
      <c r="D241" s="35" t="str">
        <f>"Is your earned income less than "&amp;TEXT(N13,"$0,000")&amp;" ("&amp;TEXT(O13,"$0,000")&amp;" if married filing jointly)?"</f>
        <v>Is your earned income less than $44,648 ($50,198 if married filing jointly)?</v>
      </c>
      <c r="L241" s="3520" t="str">
        <f>IF(B240&lt;&gt;"®","",IF(M241,"Yes","No"))</f>
        <v/>
      </c>
      <c r="M241" s="2112" t="b">
        <f>IF(B240&lt;&gt;"®",FALSE,IF(OR(AND(File_Marr_Joint&lt;&gt;"",EIC_EarnedIncome&lt;O13),EIC_EarnedIncome&lt;N13),TRUE,FALSE))</f>
        <v>0</v>
      </c>
      <c r="AG241" s="20">
        <v>39783</v>
      </c>
    </row>
    <row r="242" spans="1:34">
      <c r="B242" s="3472"/>
      <c r="C242" s="3469" t="s">
        <v>385</v>
      </c>
    </row>
    <row r="243" spans="1:34">
      <c r="B243" s="3614" t="str">
        <f>IF(OR(B232="X",B240="X",H232=""),"",IF(AND(EICNumQualChild=1,OR(AND(File_Marr_Joint&lt;&gt;"",Adj_Gross_Inc&lt;O16),Adj_Gross_Inc&lt;N16)),"®",""))</f>
        <v/>
      </c>
      <c r="C243" s="1693" t="s">
        <v>2570</v>
      </c>
      <c r="D243" s="1464" t="s">
        <v>3033</v>
      </c>
    </row>
    <row r="244" spans="1:34">
      <c r="B244" s="3472"/>
      <c r="D244" s="35" t="str">
        <f>"Is your earned income less than "&amp;TEXT(N16,"$0,000")&amp;" ("&amp;TEXT(O16,"$0,000")&amp;" if married filing jointly)?"</f>
        <v>Is your earned income less than $39,296 ($44,846 if married filing jointly)?</v>
      </c>
      <c r="L244" s="3520" t="str">
        <f>IF(B243&lt;&gt;"®","",IF(M244,"Yes","No"))</f>
        <v/>
      </c>
      <c r="M244" s="2112" t="b">
        <f>IF(B243&lt;&gt;"®",FALSE,IF(OR(AND(File_Marr_Joint&lt;&gt;"",EIC_EarnedIncome&lt;O16),EIC_EarnedIncome&lt;N16),TRUE,FALSE))</f>
        <v>0</v>
      </c>
      <c r="AG244" s="20">
        <v>35241</v>
      </c>
    </row>
    <row r="245" spans="1:34">
      <c r="B245" s="3472"/>
      <c r="C245" s="3469" t="s">
        <v>385</v>
      </c>
    </row>
    <row r="246" spans="1:34">
      <c r="B246" s="3614" t="str">
        <f>IF(OR(B232="X",B240="X",B243="X",H232=""),"",IF(AND(EICNumQualChild=0,OR(AND(File_Marr_Joint&lt;&gt;"",Adj_Gross_Inc&lt;O19),Adj_Gross_Inc&lt;N19)),"®",""))</f>
        <v/>
      </c>
      <c r="C246" s="1693" t="s">
        <v>2570</v>
      </c>
      <c r="D246" s="35" t="s">
        <v>2599</v>
      </c>
    </row>
    <row r="247" spans="1:34">
      <c r="D247" s="35" t="str">
        <f>"Is your earned income less than "&amp;TEXT(N19,"$0,000")&amp;" ("&amp;TEXT(O19,"$0,000")&amp;" if married filing jointly)?"</f>
        <v>Is your earned income less than $14,880 ($20,430 if married filing jointly)?</v>
      </c>
      <c r="L247" s="3520" t="str">
        <f>IF(B246&lt;&gt;"®","",IF(M247,"Yes","No"))</f>
        <v/>
      </c>
      <c r="M247" s="2112" t="b">
        <f>IF(B246&lt;&gt;"®",FALSE,IF(OR(AND(File_Marr_Joint&lt;&gt;"",EIC_EarnedIncome&lt;O19),EIC_EarnedIncome&lt;N19),TRUE,FALSE))</f>
        <v>0</v>
      </c>
      <c r="AG247" s="20">
        <v>14590</v>
      </c>
    </row>
    <row r="249" spans="1:34">
      <c r="B249" s="4003" t="str">
        <f>IF(H232="","",IF(OR(M238,M241,M244,M247),"X",""))</f>
        <v/>
      </c>
      <c r="D249" s="1464" t="s">
        <v>2600</v>
      </c>
      <c r="H249" s="4003" t="str">
        <f>IF(H232="","",IF(OR(M238,M241,M244,M247),"","X"))</f>
        <v/>
      </c>
      <c r="J249" s="1464" t="s">
        <v>2572</v>
      </c>
    </row>
    <row r="250" spans="1:34" ht="7.5" customHeight="1"/>
    <row r="251" spans="1:34" s="3474" customFormat="1" ht="7.5" customHeight="1">
      <c r="B251" s="3473"/>
      <c r="N251" s="3475"/>
      <c r="AG251" s="3475"/>
      <c r="AH251" s="3475"/>
    </row>
    <row r="252" spans="1:34" s="3465" customFormat="1" ht="15.75">
      <c r="A252" s="3502" t="s">
        <v>2784</v>
      </c>
      <c r="B252" s="3503" t="s">
        <v>2782</v>
      </c>
      <c r="C252" s="3464"/>
      <c r="G252" s="3521" t="str">
        <f>IF(B232&lt;&gt;"","Skip","")</f>
        <v/>
      </c>
      <c r="N252" s="3466"/>
      <c r="AG252" s="3466"/>
      <c r="AH252" s="3466"/>
    </row>
    <row r="253" spans="1:34" s="3465" customFormat="1" ht="15.75">
      <c r="A253" s="3464"/>
      <c r="B253" s="3464"/>
      <c r="C253" s="3464"/>
      <c r="N253" s="3466"/>
      <c r="AG253" s="3466"/>
      <c r="AH253" s="3466"/>
    </row>
    <row r="254" spans="1:34" s="3465" customFormat="1" ht="15.75">
      <c r="A254" s="3464"/>
      <c r="B254" s="3464"/>
      <c r="C254" s="3470" t="s">
        <v>476</v>
      </c>
      <c r="D254" s="35" t="s">
        <v>2601</v>
      </c>
      <c r="N254" s="3466"/>
      <c r="AG254" s="3466"/>
      <c r="AH254" s="3466"/>
    </row>
    <row r="256" spans="1:34">
      <c r="A256" s="2112" t="b">
        <f>IF(OR(H21&lt;&gt;"",H26&lt;&gt;"",B31&lt;&gt;"",B35&lt;&gt;"",AND(B59&lt;&gt;"",H63&lt;&gt;""),AND(H106&lt;&gt;"",H134&lt;&gt;""),B125&lt;&gt;"",H142&lt;&gt;"",H149&lt;&gt;"",B164&lt;&gt;"",B172&lt;&gt;"",H249&lt;&gt;""),TRUE,FALSE)</f>
        <v>1</v>
      </c>
      <c r="B256" s="2693"/>
      <c r="D256" s="1464" t="s">
        <v>2781</v>
      </c>
      <c r="H256" s="4003" t="str">
        <f>IF(B232&lt;&gt;"","",IF(NOT(A256),"X",""))</f>
        <v/>
      </c>
      <c r="J256" s="35" t="s">
        <v>2602</v>
      </c>
    </row>
    <row r="257" spans="1:41">
      <c r="D257" s="1464" t="s">
        <v>2780</v>
      </c>
    </row>
    <row r="259" spans="1:41" s="3474" customFormat="1">
      <c r="B259" s="3473"/>
      <c r="N259" s="3475"/>
      <c r="AG259" s="3475"/>
      <c r="AH259" s="3475"/>
    </row>
    <row r="260" spans="1:41" s="3465" customFormat="1" ht="15.75">
      <c r="A260" s="3464" t="s">
        <v>2807</v>
      </c>
      <c r="B260" s="3464"/>
      <c r="C260" s="3464"/>
      <c r="N260" s="3466"/>
      <c r="AG260" s="3466"/>
      <c r="AH260" s="3466"/>
    </row>
    <row r="261" spans="1:41" s="3465" customFormat="1" ht="15.75">
      <c r="A261" s="3464"/>
      <c r="B261" s="3464"/>
      <c r="C261" s="3464"/>
      <c r="N261" s="3466"/>
      <c r="AG261" s="3466"/>
      <c r="AH261" s="3466"/>
    </row>
    <row r="262" spans="1:41" s="3465" customFormat="1" ht="15.75">
      <c r="A262" s="3502" t="s">
        <v>2786</v>
      </c>
      <c r="B262" s="3464" t="s">
        <v>2785</v>
      </c>
      <c r="C262" s="3464"/>
      <c r="N262" s="3466"/>
      <c r="AG262" s="3466"/>
      <c r="AH262" s="3466"/>
    </row>
    <row r="264" spans="1:41">
      <c r="B264" s="4003" t="str">
        <f>IF($H$249="X","",IF(AND($H$232&lt;&gt;"",$H$256&lt;&gt;""),"X",""))</f>
        <v/>
      </c>
      <c r="D264" s="1464" t="s">
        <v>2787</v>
      </c>
    </row>
    <row r="265" spans="1:41">
      <c r="B265" s="60"/>
      <c r="D265" s="1464" t="s">
        <v>2788</v>
      </c>
    </row>
    <row r="266" spans="1:41">
      <c r="B266" s="60"/>
      <c r="D266" s="1464" t="s">
        <v>2789</v>
      </c>
    </row>
    <row r="268" spans="1:41">
      <c r="C268" s="3470" t="s">
        <v>476</v>
      </c>
      <c r="D268" s="1464" t="s">
        <v>2790</v>
      </c>
      <c r="J268" s="3483" t="s">
        <v>476</v>
      </c>
      <c r="K268" s="3994" t="str">
        <f>IF(B264="","",EIC_EarnedIncome)</f>
        <v/>
      </c>
    </row>
    <row r="269" spans="1:41" ht="13.5" thickBot="1">
      <c r="AG269" s="1464" t="s">
        <v>2795</v>
      </c>
    </row>
    <row r="270" spans="1:41">
      <c r="C270" s="3470" t="s">
        <v>0</v>
      </c>
      <c r="D270" s="1464" t="s">
        <v>2791</v>
      </c>
      <c r="K270" s="3483" t="s">
        <v>0</v>
      </c>
      <c r="L270" s="3994" t="str">
        <f>IF(B264="","",AG274)</f>
        <v/>
      </c>
      <c r="AG270" s="3506">
        <f>EIC_EarnedIncome</f>
        <v>0</v>
      </c>
      <c r="AH270" s="4985" t="s">
        <v>2603</v>
      </c>
      <c r="AI270" s="4986"/>
      <c r="AJ270" s="4985" t="s">
        <v>2604</v>
      </c>
      <c r="AK270" s="4986"/>
      <c r="AL270" s="4987" t="s">
        <v>2798</v>
      </c>
      <c r="AM270" s="4986"/>
      <c r="AN270" s="4987" t="s">
        <v>2799</v>
      </c>
      <c r="AO270" s="4986"/>
    </row>
    <row r="271" spans="1:41">
      <c r="D271" s="1464" t="s">
        <v>2792</v>
      </c>
      <c r="AG271" s="3507">
        <f>IF(AG270&lt;&gt;"",ROUND(AG270,0),"")</f>
        <v>0</v>
      </c>
      <c r="AH271" s="3508" t="s">
        <v>2317</v>
      </c>
      <c r="AI271" s="3509" t="s">
        <v>2605</v>
      </c>
      <c r="AJ271" s="3508" t="s">
        <v>2317</v>
      </c>
      <c r="AK271" s="3509" t="s">
        <v>2605</v>
      </c>
      <c r="AL271" s="3508" t="s">
        <v>2317</v>
      </c>
      <c r="AM271" s="3510" t="s">
        <v>2605</v>
      </c>
      <c r="AN271" s="3508" t="s">
        <v>2317</v>
      </c>
      <c r="AO271" s="3510" t="s">
        <v>2605</v>
      </c>
    </row>
    <row r="272" spans="1:41">
      <c r="D272" s="1464" t="s">
        <v>2793</v>
      </c>
      <c r="AG272" s="3511"/>
      <c r="AH272" s="3512" t="e">
        <f>LOOKUP(AG273,'EIC Table'!$A$3:$A$1100,'EIC Table'!$C$3:$C$1100)</f>
        <v>#N/A</v>
      </c>
      <c r="AI272" s="3513" t="e">
        <f>LOOKUP(AG273,'EIC Table'!$A$3:$A$1100,'EIC Table'!$G$3:$G$1100)</f>
        <v>#N/A</v>
      </c>
      <c r="AJ272" s="3512" t="e">
        <f>LOOKUP(AG273,'EIC Table'!$A$3:$A$1100,'EIC Table'!$D$3:$D$1100)</f>
        <v>#N/A</v>
      </c>
      <c r="AK272" s="3513" t="e">
        <f>LOOKUP(AG273,'EIC Table'!$A$3:$A$1100,'EIC Table'!$H$3:$H$1100)</f>
        <v>#N/A</v>
      </c>
      <c r="AL272" s="3514" t="e">
        <f>LOOKUP(AG273,'EIC Table'!$A$3:$A$1100,'EIC Table'!$E$3:$E$1100)</f>
        <v>#N/A</v>
      </c>
      <c r="AM272" s="3513" t="e">
        <f>LOOKUP(AG273,'EIC Table'!$A$3:$A$1100,'EIC Table'!$I$3:$I$1100)</f>
        <v>#N/A</v>
      </c>
      <c r="AN272" s="3514" t="e">
        <f>LOOKUP(AG273,'EIC Table'!$A$3:$A$1100,'EIC Table'!$F$3:$F$1100)</f>
        <v>#N/A</v>
      </c>
      <c r="AO272" s="3513" t="e">
        <f>LOOKUP(AG273,'EIC Table'!$A$3:$A$1100,'EIC Table'!$J$3:$J$1100)</f>
        <v>#N/A</v>
      </c>
    </row>
    <row r="273" spans="1:41" ht="13.5" thickBot="1">
      <c r="D273" s="1464" t="s">
        <v>2794</v>
      </c>
      <c r="AG273" s="3507">
        <f>IF(AG271="","",AG271)</f>
        <v>0</v>
      </c>
      <c r="AH273" s="3512"/>
      <c r="AI273" s="3513"/>
      <c r="AJ273" s="3512"/>
      <c r="AK273" s="3513"/>
      <c r="AL273" s="3514"/>
      <c r="AM273" s="3513"/>
      <c r="AN273" s="3514"/>
      <c r="AO273" s="3513"/>
    </row>
    <row r="274" spans="1:41" ht="13.5" thickBot="1">
      <c r="D274" s="35" t="s">
        <v>2606</v>
      </c>
      <c r="AG274" s="3515" t="e">
        <f>IF(EICNumQualChild&gt;2,AO274,IF(EICNumQualChild=2,AM274,IF(EICNumQualChild=1,AK274,AI274)))</f>
        <v>#N/A</v>
      </c>
      <c r="AH274" s="3516"/>
      <c r="AI274" s="3517" t="e">
        <f>IF(File_Marr_Joint&lt;&gt;"",AI272,AH272)</f>
        <v>#N/A</v>
      </c>
      <c r="AJ274" s="3516"/>
      <c r="AK274" s="3517" t="e">
        <f>IF(File_Marr_Joint&lt;&gt;"",AK272,AJ272)</f>
        <v>#N/A</v>
      </c>
      <c r="AL274" s="3518"/>
      <c r="AM274" s="3517" t="e">
        <f>IF(File_Marr_Joint&lt;&gt;"",AM272,AL272)</f>
        <v>#N/A</v>
      </c>
      <c r="AN274" s="3518"/>
      <c r="AO274" s="3517" t="e">
        <f>IF(File_Marr_Joint&lt;&gt;"",AO272,AN272)</f>
        <v>#N/A</v>
      </c>
    </row>
    <row r="275" spans="1:41">
      <c r="D275" s="1464" t="s">
        <v>2685</v>
      </c>
    </row>
    <row r="277" spans="1:41">
      <c r="C277" s="3470" t="s">
        <v>1</v>
      </c>
      <c r="D277" s="35" t="s">
        <v>2607</v>
      </c>
      <c r="J277" s="3483" t="s">
        <v>1</v>
      </c>
      <c r="K277" s="3994" t="str">
        <f>IF(OR(L270=0,B264=""),"",Adj_Gross_Inc)</f>
        <v/>
      </c>
    </row>
    <row r="279" spans="1:41">
      <c r="C279" s="3470" t="s">
        <v>642</v>
      </c>
      <c r="D279" s="35" t="s">
        <v>2608</v>
      </c>
    </row>
    <row r="281" spans="1:41">
      <c r="B281" s="4003" t="str">
        <f>IF($B$264="","",IF(K277=K268,"X",""))</f>
        <v/>
      </c>
      <c r="D281" s="36" t="s">
        <v>2609</v>
      </c>
    </row>
    <row r="283" spans="1:41">
      <c r="B283" s="4003" t="str">
        <f>IF(OR(L270=0,$B$264=""),"",IF(K277=K268,"","X"))</f>
        <v/>
      </c>
      <c r="D283" s="36" t="s">
        <v>2610</v>
      </c>
    </row>
    <row r="284" spans="1:41" ht="7.5" customHeight="1"/>
    <row r="285" spans="1:41" s="3474" customFormat="1" ht="7.5" customHeight="1">
      <c r="B285" s="3473"/>
      <c r="N285" s="3475"/>
      <c r="AG285" s="3475"/>
      <c r="AH285" s="3475"/>
    </row>
    <row r="286" spans="1:41" s="3465" customFormat="1" ht="16.5" customHeight="1">
      <c r="A286" s="3502" t="s">
        <v>2801</v>
      </c>
      <c r="B286" s="3519" t="s">
        <v>2800</v>
      </c>
      <c r="C286" s="3464"/>
      <c r="N286" s="3466"/>
      <c r="AG286" s="3466"/>
      <c r="AH286" s="3466"/>
    </row>
    <row r="288" spans="1:41">
      <c r="B288" s="60"/>
      <c r="C288" s="3470" t="s">
        <v>53</v>
      </c>
      <c r="D288" s="35" t="s">
        <v>2611</v>
      </c>
    </row>
    <row r="289" spans="2:41">
      <c r="B289" s="3614" t="str">
        <f>IF(OR($H$249="X",$B$264="",$B$283=""),"",IF(EICNumQualChild=0,"®",""))</f>
        <v/>
      </c>
      <c r="C289" s="1693" t="s">
        <v>2570</v>
      </c>
      <c r="D289" s="1464" t="s">
        <v>2599</v>
      </c>
      <c r="L289" s="628"/>
      <c r="N289" s="3482">
        <v>8300</v>
      </c>
    </row>
    <row r="290" spans="2:41">
      <c r="B290" s="60"/>
      <c r="D290" s="35" t="str">
        <f>"Is the amount on line 3 less than "&amp;TEXT(N289,"$0,000")&amp;" ("&amp;TEXT(N290,"$0,000")&amp;" if married filing jointly)? "</f>
        <v xml:space="preserve">Is the amount on line 3 less than $8,300 ($13,850 if married filing jointly)? </v>
      </c>
      <c r="L290" s="3469" t="str">
        <f>IF(B289&lt;&gt;"®","",IF(M290,"Yes","No"))</f>
        <v/>
      </c>
      <c r="M290" s="2112" t="b">
        <f>IF($H$249="X","",IF(OR(AND(File_Marr_Joint="",$K$277&lt;N289),AND(File_Marr_Joint&lt;&gt;"",$K$277&lt;N290)),TRUE,FALSE))</f>
        <v>0</v>
      </c>
      <c r="N290" s="3482">
        <v>13850</v>
      </c>
    </row>
    <row r="291" spans="2:41">
      <c r="B291" s="60"/>
      <c r="C291" s="3469" t="s">
        <v>385</v>
      </c>
      <c r="N291" s="3482"/>
    </row>
    <row r="292" spans="2:41" ht="14.25" customHeight="1">
      <c r="B292" s="3614" t="str">
        <f>IF(OR($H$249="X",$B$264="",$B$283=""),"",IF(EICNumQualChild&gt;0,"®",""))</f>
        <v/>
      </c>
      <c r="C292" s="1693" t="s">
        <v>2570</v>
      </c>
      <c r="D292" s="1464" t="s">
        <v>3036</v>
      </c>
      <c r="L292" s="628"/>
      <c r="N292" s="3482">
        <v>18200</v>
      </c>
    </row>
    <row r="293" spans="2:41">
      <c r="B293" s="60"/>
      <c r="D293" s="35" t="str">
        <f>"Is the amount on line 3 less than "&amp;TEXT(N292,"$0,000")&amp;" ("&amp;TEXT(N293,"$0,000")&amp;" if married filing jointly)?"</f>
        <v>Is the amount on line 3 less than $18,200 ($23,750 if married filing jointly)?</v>
      </c>
      <c r="L293" s="3469" t="str">
        <f>IF(B292&lt;&gt;"®","",IF(M293,"Yes","No"))</f>
        <v/>
      </c>
      <c r="M293" s="2112" t="b">
        <f>IF($H$249="X","",IF(OR(AND(File_Marr_Joint="",$K$277&lt;N292),AND(File_Marr_Joint&lt;&gt;"",$K$277&lt;N293)),TRUE,FALSE))</f>
        <v>0</v>
      </c>
      <c r="N293" s="3482">
        <v>23750</v>
      </c>
    </row>
    <row r="295" spans="2:41">
      <c r="B295" s="4003" t="str">
        <f>IF(OR($B$264="",$B$283=""),"",IF(OR(AND(B289="®",M290),AND(B292="®",M293)),"X",""))</f>
        <v/>
      </c>
      <c r="D295" s="36" t="s">
        <v>2612</v>
      </c>
    </row>
    <row r="296" spans="2:41" ht="13.5" thickBot="1">
      <c r="AG296" s="1464" t="s">
        <v>2613</v>
      </c>
    </row>
    <row r="297" spans="2:41">
      <c r="B297" s="4003" t="str">
        <f>IF(OR($H$249="X",$B$264="",$B$283=""),"",IF(OR(AND(B289="®",M290),AND(B292="®",M293)),"","X"))</f>
        <v/>
      </c>
      <c r="D297" s="36" t="s">
        <v>2804</v>
      </c>
      <c r="K297" s="3483" t="s">
        <v>53</v>
      </c>
      <c r="L297" s="3994" t="str">
        <f>IF(B283="","",IF(B295&lt;&gt;"","",AG301))</f>
        <v/>
      </c>
      <c r="AG297" s="3506">
        <f>Adj_Gross_Inc</f>
        <v>0</v>
      </c>
      <c r="AH297" s="4985" t="s">
        <v>2603</v>
      </c>
      <c r="AI297" s="4986"/>
      <c r="AJ297" s="4985" t="s">
        <v>2604</v>
      </c>
      <c r="AK297" s="4986"/>
      <c r="AL297" s="4987" t="s">
        <v>2798</v>
      </c>
      <c r="AM297" s="4986"/>
      <c r="AN297" s="4987" t="s">
        <v>2799</v>
      </c>
      <c r="AO297" s="4986"/>
    </row>
    <row r="298" spans="2:41">
      <c r="D298" s="1464" t="s">
        <v>2614</v>
      </c>
      <c r="AG298" s="3507">
        <f>IF(AG297&lt;&gt;"",ROUND(AG297,0),"")</f>
        <v>0</v>
      </c>
      <c r="AH298" s="3508" t="s">
        <v>2317</v>
      </c>
      <c r="AI298" s="3509" t="s">
        <v>2605</v>
      </c>
      <c r="AJ298" s="3508" t="s">
        <v>2317</v>
      </c>
      <c r="AK298" s="3509" t="s">
        <v>2605</v>
      </c>
      <c r="AL298" s="3508" t="s">
        <v>2317</v>
      </c>
      <c r="AM298" s="3510" t="s">
        <v>2605</v>
      </c>
      <c r="AN298" s="3508" t="s">
        <v>2317</v>
      </c>
      <c r="AO298" s="3510" t="s">
        <v>2605</v>
      </c>
    </row>
    <row r="299" spans="2:41">
      <c r="D299" s="1464" t="s">
        <v>2615</v>
      </c>
      <c r="AG299" s="3511"/>
      <c r="AH299" s="3512" t="e">
        <f>LOOKUP(AG300,'EIC Table'!$A$3:$A$1100,'EIC Table'!$C$3:$C$1100)</f>
        <v>#N/A</v>
      </c>
      <c r="AI299" s="3513" t="e">
        <f>LOOKUP(AG300,'EIC Table'!$A$3:$A$1100,'EIC Table'!$G$3:$G$1100)</f>
        <v>#N/A</v>
      </c>
      <c r="AJ299" s="3512" t="e">
        <f>LOOKUP(AG300,'EIC Table'!$A$3:$A$1100,'EIC Table'!$D$3:$D$1100)</f>
        <v>#N/A</v>
      </c>
      <c r="AK299" s="3513" t="e">
        <f>LOOKUP(AG300,'EIC Table'!$A$3:$A$1100,'EIC Table'!$H$3:$H$1100)</f>
        <v>#N/A</v>
      </c>
      <c r="AL299" s="3514" t="e">
        <f>LOOKUP(AG300,'EIC Table'!$A$3:$A$1100,'EIC Table'!$E$3:$E$1100)</f>
        <v>#N/A</v>
      </c>
      <c r="AM299" s="3513" t="e">
        <f>LOOKUP(AG300,'EIC Table'!$A$3:$A$1100,'EIC Table'!$I$3:$I$1100)</f>
        <v>#N/A</v>
      </c>
      <c r="AN299" s="3514" t="e">
        <f>LOOKUP(AG300,'EIC Table'!$A$3:$A$1100,'EIC Table'!$F$3:$F$1100)</f>
        <v>#N/A</v>
      </c>
      <c r="AO299" s="3513" t="e">
        <f>LOOKUP(AG300,'EIC Table'!$A$3:$A$1100,'EIC Table'!$J$3:$J$1100)</f>
        <v>#N/A</v>
      </c>
    </row>
    <row r="300" spans="2:41" ht="13.5" thickBot="1">
      <c r="AG300" s="3507">
        <f>IF(AG298="","",AG298)</f>
        <v>0</v>
      </c>
      <c r="AH300" s="3512"/>
      <c r="AI300" s="3513"/>
      <c r="AJ300" s="3512"/>
      <c r="AK300" s="3513"/>
      <c r="AL300" s="3514"/>
      <c r="AM300" s="3513"/>
      <c r="AN300" s="3514"/>
      <c r="AO300" s="3513"/>
    </row>
    <row r="301" spans="2:41" ht="13.5" thickBot="1">
      <c r="D301" s="35" t="s">
        <v>2616</v>
      </c>
      <c r="AG301" s="3515" t="e">
        <f>IF(EICNumQualChild&gt;2,AO301,IF(EICNumQualChild=2,AM301,IF(EICNumQualChild=1,AK301,AI301)))</f>
        <v>#N/A</v>
      </c>
      <c r="AH301" s="3516"/>
      <c r="AI301" s="3517" t="e">
        <f>IF(File_Marr_Joint&lt;&gt;"",AI299,AH299)</f>
        <v>#N/A</v>
      </c>
      <c r="AJ301" s="3516"/>
      <c r="AK301" s="3517" t="e">
        <f>IF(File_Marr_Joint&lt;&gt;"",AK299,AJ299)</f>
        <v>#N/A</v>
      </c>
      <c r="AL301" s="3518"/>
      <c r="AM301" s="3517" t="e">
        <f>IF(File_Marr_Joint&lt;&gt;"",AM299,AL299)</f>
        <v>#N/A</v>
      </c>
      <c r="AN301" s="3518"/>
      <c r="AO301" s="3517" t="e">
        <f>IF(File_Marr_Joint&lt;&gt;"",AO299,AN299)</f>
        <v>#N/A</v>
      </c>
    </row>
    <row r="302" spans="2:41">
      <c r="D302" s="35" t="s">
        <v>2617</v>
      </c>
      <c r="AG302" s="35"/>
      <c r="AH302" s="35"/>
    </row>
    <row r="303" spans="2:41" ht="7.5" customHeight="1"/>
    <row r="304" spans="2:41" s="3474" customFormat="1" ht="7.5" customHeight="1">
      <c r="B304" s="3473"/>
      <c r="N304" s="3475"/>
      <c r="AG304" s="3475"/>
      <c r="AH304" s="3475"/>
    </row>
    <row r="305" spans="1:34" s="3465" customFormat="1" ht="15.75">
      <c r="A305" s="3502" t="s">
        <v>2803</v>
      </c>
      <c r="B305" s="3519" t="s">
        <v>2802</v>
      </c>
      <c r="C305" s="3464"/>
      <c r="N305" s="3466"/>
      <c r="AG305" s="3466"/>
      <c r="AH305" s="3466"/>
    </row>
    <row r="307" spans="1:34">
      <c r="B307" s="60"/>
      <c r="C307" s="1656" t="s">
        <v>122</v>
      </c>
      <c r="D307" s="1464" t="s">
        <v>2618</v>
      </c>
      <c r="K307" s="3483" t="s">
        <v>122</v>
      </c>
      <c r="L307" s="3994" t="str">
        <f>IF(B264="","",IF(B295&lt;&gt;"",L270,MIN(L270,L297)))</f>
        <v/>
      </c>
    </row>
    <row r="308" spans="1:34" ht="13.5" customHeight="1"/>
    <row r="309" spans="1:34">
      <c r="D309" s="35" t="s">
        <v>2619</v>
      </c>
    </row>
    <row r="310" spans="1:34">
      <c r="D310" s="35" t="s">
        <v>2620</v>
      </c>
    </row>
    <row r="311" spans="1:34">
      <c r="D311" s="3667" t="s">
        <v>3118</v>
      </c>
    </row>
    <row r="313" spans="1:34" s="3474" customFormat="1">
      <c r="B313" s="3473"/>
      <c r="N313" s="3475"/>
      <c r="AG313" s="3475"/>
      <c r="AH313" s="3475"/>
    </row>
    <row r="314" spans="1:34" s="3465" customFormat="1" ht="15.75">
      <c r="A314" s="3464" t="s">
        <v>2805</v>
      </c>
      <c r="B314" s="3464"/>
      <c r="C314" s="3464"/>
      <c r="N314" s="3466"/>
      <c r="AG314" s="3466"/>
      <c r="AH314" s="3466"/>
    </row>
    <row r="316" spans="1:34">
      <c r="B316" s="4003" t="str">
        <f>IF($B$232&lt;&gt;"","X","")</f>
        <v/>
      </c>
      <c r="D316" s="36" t="s">
        <v>3011</v>
      </c>
    </row>
    <row r="317" spans="1:34">
      <c r="B317" s="60"/>
    </row>
    <row r="318" spans="1:34">
      <c r="C318" s="1021" t="s">
        <v>72</v>
      </c>
      <c r="D318" s="35" t="s">
        <v>2621</v>
      </c>
    </row>
    <row r="319" spans="1:34" ht="6" customHeight="1"/>
    <row r="320" spans="1:34">
      <c r="C320" s="1021" t="s">
        <v>72</v>
      </c>
      <c r="D320" s="360" t="s">
        <v>2622</v>
      </c>
    </row>
    <row r="321" spans="1:34" ht="7.5" customHeight="1"/>
    <row r="322" spans="1:34" s="3474" customFormat="1" ht="7.5" customHeight="1">
      <c r="B322" s="3473"/>
      <c r="N322" s="3475"/>
      <c r="AG322" s="3475"/>
      <c r="AH322" s="3475"/>
    </row>
    <row r="323" spans="1:34" s="3465" customFormat="1" ht="15.75">
      <c r="A323" s="3502" t="s">
        <v>2786</v>
      </c>
      <c r="B323" s="3526" t="s">
        <v>2813</v>
      </c>
      <c r="C323" s="3464"/>
      <c r="N323" s="3466"/>
      <c r="AG323" s="3466"/>
      <c r="AH323" s="3466"/>
    </row>
    <row r="325" spans="1:34">
      <c r="C325" s="3470" t="s">
        <v>19</v>
      </c>
      <c r="D325" s="35" t="s">
        <v>2623</v>
      </c>
      <c r="N325" s="3470" t="s">
        <v>2624</v>
      </c>
      <c r="O325" s="3994">
        <f>IF('Sch. SE'!C42&lt;&gt;"",'Sch. SE'!V56,IF('Sch. SE'!P42&lt;&gt;"",'Sch. SE'!V88,0))</f>
        <v>0</v>
      </c>
    </row>
    <row r="327" spans="1:34">
      <c r="C327" s="3470" t="s">
        <v>1054</v>
      </c>
      <c r="D327" s="35" t="s">
        <v>2625</v>
      </c>
      <c r="N327" s="3470" t="s">
        <v>2626</v>
      </c>
      <c r="O327" s="3994">
        <f>SUM('Sch. SE'!V91,'Sch. SE'!Q95)</f>
        <v>0</v>
      </c>
    </row>
    <row r="329" spans="1:34">
      <c r="C329" s="3470" t="s">
        <v>1051</v>
      </c>
      <c r="D329" s="35" t="s">
        <v>2627</v>
      </c>
      <c r="N329" s="3470" t="s">
        <v>2628</v>
      </c>
      <c r="O329" s="3994" t="str">
        <f>IF($B$316="","",IF(OR(O325&lt;&gt;"",O327&lt;&gt;""),SUM(O325,O327),""))</f>
        <v/>
      </c>
    </row>
    <row r="331" spans="1:34">
      <c r="C331" s="3470" t="s">
        <v>2629</v>
      </c>
      <c r="D331" s="35" t="s">
        <v>2630</v>
      </c>
      <c r="N331" s="3470" t="s">
        <v>2631</v>
      </c>
      <c r="O331" s="3994">
        <f>SE_Deduction</f>
        <v>0</v>
      </c>
      <c r="R331" s="3481" t="s">
        <v>149</v>
      </c>
    </row>
    <row r="332" spans="1:34">
      <c r="R332" s="3481" t="s">
        <v>661</v>
      </c>
    </row>
    <row r="333" spans="1:34">
      <c r="C333" s="3470" t="s">
        <v>2632</v>
      </c>
      <c r="D333" s="35" t="s">
        <v>2633</v>
      </c>
      <c r="N333" s="3483" t="s">
        <v>2634</v>
      </c>
      <c r="O333" s="3994" t="str">
        <f>IF(R333&lt;&gt;"",ROUND(R333,0),IF($B$316="","",IF(OR(O331=0,O331=""),O329,SUM(O329,-O331))))</f>
        <v/>
      </c>
      <c r="R333" s="4624"/>
      <c r="S333" s="4746"/>
      <c r="T333" s="4746"/>
      <c r="U333" s="4746"/>
      <c r="V333" s="4746"/>
      <c r="W333" s="4746"/>
      <c r="X333" s="4746"/>
    </row>
    <row r="334" spans="1:34" ht="7.5" customHeight="1"/>
    <row r="335" spans="1:34" s="3474" customFormat="1" ht="7.5" customHeight="1">
      <c r="B335" s="3473"/>
      <c r="N335" s="3475"/>
      <c r="AG335" s="3475"/>
      <c r="AH335" s="3475"/>
    </row>
    <row r="336" spans="1:34" s="3465" customFormat="1" ht="15.75">
      <c r="A336" s="3502" t="s">
        <v>2801</v>
      </c>
      <c r="B336" s="3519" t="s">
        <v>2814</v>
      </c>
      <c r="C336" s="3464"/>
      <c r="K336" s="3520" t="str">
        <f>IF(B232="","",IF(AND(B316&lt;&gt;"",OR(O343="",R345="",R346="",R347="")),"Enter values for 2a and 2b. If none, enter zero.",""))</f>
        <v/>
      </c>
      <c r="N336" s="3466"/>
      <c r="AG336" s="3466"/>
      <c r="AH336" s="3466"/>
    </row>
    <row r="337" spans="1:34" s="3465" customFormat="1" ht="15.75">
      <c r="A337" s="3464"/>
      <c r="B337" s="3464"/>
      <c r="C337" s="3464"/>
      <c r="N337" s="3466"/>
      <c r="AG337" s="3466"/>
      <c r="AH337" s="3466"/>
    </row>
    <row r="338" spans="1:34">
      <c r="D338" s="35" t="s">
        <v>2635</v>
      </c>
    </row>
    <row r="340" spans="1:34">
      <c r="C340" s="3470" t="s">
        <v>0</v>
      </c>
      <c r="D340" s="35" t="s">
        <v>2636</v>
      </c>
    </row>
    <row r="341" spans="1:34">
      <c r="D341" s="35" t="s">
        <v>2637</v>
      </c>
    </row>
    <row r="342" spans="1:34">
      <c r="R342" s="3481" t="s">
        <v>149</v>
      </c>
      <c r="T342" s="3481"/>
      <c r="U342" s="716"/>
      <c r="V342" s="3481"/>
      <c r="X342" s="3481"/>
    </row>
    <row r="343" spans="1:34" ht="15">
      <c r="C343" s="3470"/>
      <c r="D343" s="1693" t="s">
        <v>1052</v>
      </c>
      <c r="E343" s="35" t="s">
        <v>2638</v>
      </c>
      <c r="N343" s="3470" t="s">
        <v>2639</v>
      </c>
      <c r="O343" s="3617"/>
      <c r="R343" s="3481" t="s">
        <v>661</v>
      </c>
      <c r="T343" s="3481"/>
      <c r="U343" s="3484"/>
      <c r="V343" s="3481"/>
      <c r="X343" s="3481"/>
    </row>
    <row r="344" spans="1:34">
      <c r="E344" s="35" t="s">
        <v>2640</v>
      </c>
      <c r="R344" s="4624">
        <f>IF(Business_Profit&gt;400,"&gt;$400",IF(SchC_StatutoryEmp&lt;&gt;"",SUM(Business_Profit,-'Sch. C'!T25),Business_Profit))</f>
        <v>0</v>
      </c>
      <c r="S344" s="4746"/>
      <c r="T344" s="4746"/>
      <c r="U344" s="4746"/>
      <c r="V344" s="4746"/>
      <c r="W344" s="4746"/>
      <c r="X344" s="4746"/>
      <c r="Y344" s="1269"/>
      <c r="Z344" s="1269"/>
      <c r="AA344" s="1464" t="s">
        <v>3038</v>
      </c>
    </row>
    <row r="345" spans="1:34">
      <c r="N345" s="35"/>
      <c r="R345" s="4993"/>
      <c r="S345" s="4742"/>
      <c r="T345" s="4742"/>
      <c r="U345" s="4742"/>
      <c r="V345" s="4742"/>
      <c r="W345" s="4742"/>
      <c r="X345" s="4742"/>
      <c r="Y345" s="1269"/>
      <c r="Z345" s="1269"/>
      <c r="AA345" s="35" t="s">
        <v>2641</v>
      </c>
      <c r="AG345" s="35"/>
      <c r="AH345" s="35"/>
    </row>
    <row r="346" spans="1:34">
      <c r="C346" s="3470"/>
      <c r="D346" s="1693" t="s">
        <v>1054</v>
      </c>
      <c r="E346" s="35" t="s">
        <v>2642</v>
      </c>
      <c r="N346" s="3470" t="s">
        <v>2643</v>
      </c>
      <c r="O346" s="3994">
        <f>SUM(R344,R345,R346,R347)</f>
        <v>0</v>
      </c>
      <c r="R346" s="4993"/>
      <c r="S346" s="4742"/>
      <c r="T346" s="4742"/>
      <c r="U346" s="4742"/>
      <c r="V346" s="4742"/>
      <c r="W346" s="4742"/>
      <c r="X346" s="4742"/>
      <c r="Y346" s="1269"/>
      <c r="Z346" s="1269"/>
      <c r="AA346" s="35" t="s">
        <v>2644</v>
      </c>
    </row>
    <row r="347" spans="1:34">
      <c r="E347" s="35" t="s">
        <v>2645</v>
      </c>
      <c r="R347" s="4993"/>
      <c r="S347" s="4742"/>
      <c r="T347" s="4742"/>
      <c r="U347" s="4742"/>
      <c r="V347" s="4742"/>
      <c r="W347" s="4742"/>
      <c r="X347" s="4742"/>
      <c r="Y347" s="1269"/>
      <c r="Z347" s="1269"/>
      <c r="AA347" s="35" t="s">
        <v>2646</v>
      </c>
    </row>
    <row r="348" spans="1:34">
      <c r="E348" s="35" t="s">
        <v>2647</v>
      </c>
    </row>
    <row r="350" spans="1:34">
      <c r="C350" s="3470" t="s">
        <v>1051</v>
      </c>
      <c r="D350" s="35" t="s">
        <v>2648</v>
      </c>
      <c r="N350" s="3470" t="s">
        <v>2649</v>
      </c>
      <c r="O350" s="3994" t="str">
        <f>IF($B$316="","",SUM(O343,O346))</f>
        <v/>
      </c>
    </row>
    <row r="352" spans="1:34">
      <c r="D352" s="35" t="s">
        <v>2650</v>
      </c>
    </row>
    <row r="353" spans="1:36">
      <c r="D353" s="35" t="s">
        <v>2651</v>
      </c>
    </row>
    <row r="354" spans="1:36">
      <c r="D354" s="35" t="s">
        <v>2652</v>
      </c>
    </row>
    <row r="355" spans="1:36">
      <c r="D355" s="35" t="s">
        <v>2653</v>
      </c>
    </row>
    <row r="357" spans="1:36" s="3474" customFormat="1">
      <c r="B357" s="3473"/>
      <c r="N357" s="3475"/>
      <c r="AG357" s="3475"/>
      <c r="AH357" s="3475"/>
    </row>
    <row r="358" spans="1:36" s="3465" customFormat="1" ht="15.75">
      <c r="A358" s="3464" t="s">
        <v>2808</v>
      </c>
      <c r="B358" s="3464"/>
      <c r="C358" s="3464"/>
      <c r="N358" s="3466"/>
      <c r="AG358" s="3466"/>
      <c r="AH358" s="3466"/>
    </row>
    <row r="360" spans="1:36" s="3465" customFormat="1" ht="15.75">
      <c r="A360" s="3502" t="s">
        <v>2803</v>
      </c>
      <c r="B360" s="3519" t="s">
        <v>2815</v>
      </c>
      <c r="C360" s="3464"/>
      <c r="N360" s="3466"/>
      <c r="R360" s="3481" t="s">
        <v>149</v>
      </c>
      <c r="S360" s="35"/>
      <c r="T360" s="3481"/>
      <c r="U360" s="35"/>
      <c r="V360" s="3481"/>
      <c r="W360" s="35"/>
      <c r="X360" s="3481"/>
      <c r="AG360" s="3466"/>
      <c r="AH360" s="3466"/>
    </row>
    <row r="361" spans="1:36">
      <c r="R361" s="3481" t="s">
        <v>661</v>
      </c>
      <c r="T361" s="3481"/>
      <c r="V361" s="3481"/>
      <c r="X361" s="3481"/>
    </row>
    <row r="362" spans="1:36">
      <c r="C362" s="3470" t="s">
        <v>1</v>
      </c>
      <c r="D362" s="35" t="s">
        <v>2654</v>
      </c>
      <c r="N362" s="3483" t="s">
        <v>3048</v>
      </c>
      <c r="O362" s="3994" t="str">
        <f>IF(R362&lt;&gt;"",R362,IF(SchC_StatutoryEmp&lt;&gt;"",'Sch. C'!T25,""))</f>
        <v/>
      </c>
      <c r="Q362" s="716"/>
      <c r="R362" s="4988"/>
      <c r="S362" s="4989"/>
      <c r="T362" s="4989"/>
      <c r="U362" s="4989"/>
      <c r="V362" s="4989"/>
      <c r="W362" s="4989"/>
      <c r="X362" s="4990"/>
    </row>
    <row r="363" spans="1:36">
      <c r="D363" s="35" t="s">
        <v>2655</v>
      </c>
      <c r="O363" s="820"/>
    </row>
    <row r="364" spans="1:36" ht="7.5" customHeight="1"/>
    <row r="365" spans="1:36" s="3474" customFormat="1" ht="7.5" customHeight="1">
      <c r="B365" s="3473"/>
      <c r="N365" s="3475"/>
      <c r="AG365" s="3475"/>
      <c r="AH365" s="3475"/>
    </row>
    <row r="366" spans="1:36" s="3465" customFormat="1" ht="15.75">
      <c r="A366" s="3502" t="s">
        <v>2817</v>
      </c>
      <c r="B366" s="3519" t="s">
        <v>2816</v>
      </c>
      <c r="C366" s="3464"/>
      <c r="N366" s="3466"/>
      <c r="AG366" s="3466"/>
      <c r="AH366" s="3466"/>
    </row>
    <row r="367" spans="1:36" ht="15" customHeight="1">
      <c r="D367" s="36" t="s">
        <v>2656</v>
      </c>
    </row>
    <row r="368" spans="1:36">
      <c r="D368" s="35" t="s">
        <v>2657</v>
      </c>
      <c r="R368" s="3481" t="s">
        <v>149</v>
      </c>
      <c r="T368" s="3481"/>
      <c r="V368" s="3481"/>
      <c r="X368" s="3481"/>
      <c r="AA368" s="3481"/>
      <c r="AG368" s="35"/>
      <c r="AH368" s="35"/>
      <c r="AI368" s="20"/>
      <c r="AJ368" s="20"/>
    </row>
    <row r="369" spans="2:36">
      <c r="R369" s="3481" t="s">
        <v>661</v>
      </c>
      <c r="T369" s="3481"/>
      <c r="V369" s="3481"/>
      <c r="X369" s="3481"/>
      <c r="AA369" s="3481"/>
      <c r="AG369" s="35"/>
      <c r="AH369" s="35"/>
      <c r="AI369" s="20"/>
      <c r="AJ369" s="20"/>
    </row>
    <row r="370" spans="2:36">
      <c r="C370" s="3470" t="s">
        <v>2658</v>
      </c>
      <c r="D370" s="35" t="s">
        <v>2659</v>
      </c>
      <c r="N370" s="3483" t="s">
        <v>3046</v>
      </c>
      <c r="O370" s="3994" t="str">
        <f>IF(R370&lt;&gt;"",R370,IF($B$316="","",EIC_EarnedIncome))</f>
        <v/>
      </c>
      <c r="R370" s="4988"/>
      <c r="S370" s="4989"/>
      <c r="T370" s="4989"/>
      <c r="U370" s="4989"/>
      <c r="V370" s="4989"/>
      <c r="W370" s="4989"/>
      <c r="X370" s="4990"/>
    </row>
    <row r="372" spans="2:36">
      <c r="C372" s="3470" t="s">
        <v>1054</v>
      </c>
      <c r="D372" s="1464" t="s">
        <v>3029</v>
      </c>
      <c r="G372" s="1464" t="s">
        <v>3030</v>
      </c>
      <c r="N372" s="3483" t="s">
        <v>3047</v>
      </c>
      <c r="O372" s="3994" t="str">
        <f>IF($B$316="","",SUM(O333,O350,O362,O370))</f>
        <v/>
      </c>
    </row>
    <row r="373" spans="2:36">
      <c r="D373" s="1464" t="s">
        <v>2809</v>
      </c>
    </row>
    <row r="375" spans="2:36">
      <c r="C375" s="3470" t="s">
        <v>53</v>
      </c>
      <c r="D375" s="35" t="s">
        <v>2611</v>
      </c>
    </row>
    <row r="376" spans="2:36">
      <c r="B376" s="3614" t="str">
        <f>IF($B$316="","",IF(EICNumQualChild&lt;2,"",IF(OR(AND(File_Marr_Joint&lt;&gt;"",EarnedIncomeWSB&lt;O10),EarnedIncomeWSB&lt;N10),"®","")))</f>
        <v/>
      </c>
      <c r="C376" s="1693" t="s">
        <v>2570</v>
      </c>
      <c r="D376" s="1464" t="s">
        <v>3031</v>
      </c>
    </row>
    <row r="377" spans="2:36">
      <c r="B377" s="3485"/>
      <c r="D377" s="35" t="str">
        <f>"Is line 4b less than "&amp;TEXT(N10,"$0,000")&amp;" ("&amp;TEXT(O10,"$0,000")&amp;" if married filing jointly)?"</f>
        <v>Is line 4b less than $47,955 ($53,505 if married filing jointly)?</v>
      </c>
    </row>
    <row r="378" spans="2:36">
      <c r="B378" s="3485"/>
      <c r="C378" s="3469" t="s">
        <v>385</v>
      </c>
    </row>
    <row r="379" spans="2:36">
      <c r="B379" s="3614" t="str">
        <f>IF($B$316="","",IF(EICNumQualChild&lt;&gt;2,"",IF(OR(AND(File_Marr_Joint&lt;&gt;"",EarnedIncomeWSB&lt;O13),EarnedIncomeWSB&lt;N13),"®","")))</f>
        <v/>
      </c>
      <c r="C379" s="1693" t="s">
        <v>2570</v>
      </c>
      <c r="D379" s="1464" t="s">
        <v>3032</v>
      </c>
    </row>
    <row r="380" spans="2:36">
      <c r="B380" s="3485"/>
      <c r="D380" s="35" t="str">
        <f>"Is line 4b less than "&amp;TEXT(N13,"$0,000")&amp;" ("&amp;TEXT(O13,"$0,000")&amp;" if married filing jointly)?"</f>
        <v>Is line 4b less than $44,648 ($50,198 if married filing jointly)?</v>
      </c>
    </row>
    <row r="381" spans="2:36">
      <c r="B381" s="3485"/>
      <c r="C381" s="3469" t="s">
        <v>385</v>
      </c>
    </row>
    <row r="382" spans="2:36">
      <c r="B382" s="3614" t="str">
        <f>IF($B$316="","",IF(B379="X","",IF(EICNumQualChild&lt;&gt;1,"",IF(OR(AND(File_Marr_Joint&lt;&gt;"",EarnedIncomeWSB&lt;O16),EarnedIncomeWSB&lt;N16),"®",""))))</f>
        <v/>
      </c>
      <c r="C382" s="1693" t="s">
        <v>2570</v>
      </c>
      <c r="D382" s="1464" t="s">
        <v>3033</v>
      </c>
    </row>
    <row r="383" spans="2:36">
      <c r="B383" s="3485"/>
      <c r="D383" s="35" t="str">
        <f>"Is line 4b less than "&amp;TEXT(N16,"$0,000")&amp;" ("&amp;TEXT(O16,"$0,000")&amp;" if married filing jointly)?"</f>
        <v>Is line 4b less than $39,296 ($44,846 if married filing jointly)?</v>
      </c>
    </row>
    <row r="384" spans="2:36">
      <c r="B384" s="3485"/>
      <c r="C384" s="3469" t="s">
        <v>385</v>
      </c>
    </row>
    <row r="385" spans="1:41">
      <c r="B385" s="3614" t="str">
        <f>IF($B$316="","",IF(OR(B379="X",B382="X"),"",IF(EICNumQualChild&lt;&gt;0,"",IF(OR(AND(File_Marr_Joint&lt;&gt;"",EarnedIncomeWSB&lt;O19),EarnedIncomeWSB&lt;N19),"®",""))))</f>
        <v/>
      </c>
      <c r="C385" s="1693" t="s">
        <v>2570</v>
      </c>
      <c r="D385" s="35" t="s">
        <v>2599</v>
      </c>
    </row>
    <row r="386" spans="1:41">
      <c r="D386" s="35" t="str">
        <f>"Is line 4b less than "&amp;TEXT(N19,"$0,000")&amp;" ("&amp;TEXT(O19,"$0,000")&amp;" if married filing jointly)?"</f>
        <v>Is line 4b less than $14,880 ($20,430 if married filing jointly)?</v>
      </c>
    </row>
    <row r="388" spans="1:41">
      <c r="B388" s="4003" t="str">
        <f>IF($B$316="","",IF(OR(B376="®",B379="®",B382="®",B385="®"),"X",""))</f>
        <v/>
      </c>
      <c r="D388" s="36" t="s">
        <v>3034</v>
      </c>
    </row>
    <row r="389" spans="1:41">
      <c r="D389" s="1464" t="s">
        <v>3035</v>
      </c>
    </row>
    <row r="391" spans="1:41">
      <c r="B391" s="4003" t="str">
        <f>IF($B$316="","",IF(OR(B376="®",B379="®",B382="®",B385="®"),"","X"))</f>
        <v/>
      </c>
      <c r="D391" s="1464" t="s">
        <v>2810</v>
      </c>
    </row>
    <row r="392" spans="1:41" ht="7.5" customHeight="1"/>
    <row r="393" spans="1:41" s="3474" customFormat="1" ht="7.5" customHeight="1">
      <c r="B393" s="3473"/>
      <c r="N393" s="3475"/>
      <c r="AG393" s="3475"/>
      <c r="AH393" s="3475"/>
    </row>
    <row r="394" spans="1:41" s="3465" customFormat="1" ht="15.75">
      <c r="A394" s="3502" t="s">
        <v>2818</v>
      </c>
      <c r="B394" s="3519" t="s">
        <v>2816</v>
      </c>
      <c r="C394" s="3464"/>
      <c r="N394" s="3466"/>
      <c r="AG394" s="3466"/>
      <c r="AH394" s="3466"/>
    </row>
    <row r="396" spans="1:41" ht="13.5" thickBot="1">
      <c r="C396" s="3470" t="s">
        <v>122</v>
      </c>
      <c r="D396" s="1464" t="s">
        <v>2824</v>
      </c>
      <c r="L396" s="3483" t="s">
        <v>3043</v>
      </c>
      <c r="M396" s="3994" t="str">
        <f>IF(OR($B$316="",B391&lt;&gt;""),"",EarnedIncomeWSB)</f>
        <v/>
      </c>
      <c r="AG396" s="1464" t="s">
        <v>2660</v>
      </c>
    </row>
    <row r="397" spans="1:41">
      <c r="C397" s="3470"/>
      <c r="N397" s="3470"/>
      <c r="O397" s="1269"/>
      <c r="AG397" s="3506" t="str">
        <f>EarnedIncomeWSB</f>
        <v/>
      </c>
      <c r="AH397" s="4985" t="s">
        <v>2603</v>
      </c>
      <c r="AI397" s="4986"/>
      <c r="AJ397" s="4985" t="s">
        <v>2604</v>
      </c>
      <c r="AK397" s="4986"/>
      <c r="AL397" s="4987" t="s">
        <v>2798</v>
      </c>
      <c r="AM397" s="4986"/>
      <c r="AN397" s="4987" t="s">
        <v>2799</v>
      </c>
      <c r="AO397" s="4986"/>
    </row>
    <row r="398" spans="1:41">
      <c r="C398" s="3470" t="s">
        <v>123</v>
      </c>
      <c r="D398" s="1464" t="s">
        <v>3300</v>
      </c>
      <c r="N398" s="3470"/>
      <c r="O398" s="1269"/>
      <c r="AG398" s="3507" t="str">
        <f>IF(AG397&lt;&gt;"",ROUND(AG397,0),"")</f>
        <v/>
      </c>
      <c r="AH398" s="3508" t="s">
        <v>2317</v>
      </c>
      <c r="AI398" s="3509" t="s">
        <v>2605</v>
      </c>
      <c r="AJ398" s="3508" t="s">
        <v>2317</v>
      </c>
      <c r="AK398" s="3509" t="s">
        <v>2605</v>
      </c>
      <c r="AL398" s="3508" t="s">
        <v>2317</v>
      </c>
      <c r="AM398" s="3510" t="s">
        <v>2605</v>
      </c>
      <c r="AN398" s="3508" t="s">
        <v>2317</v>
      </c>
      <c r="AO398" s="3510" t="s">
        <v>2605</v>
      </c>
    </row>
    <row r="399" spans="1:41">
      <c r="C399" s="3470"/>
      <c r="D399" s="1464" t="s">
        <v>3301</v>
      </c>
      <c r="N399" s="3483" t="s">
        <v>3044</v>
      </c>
      <c r="O399" s="3994" t="str">
        <f>IF(M396=0,0,IF(OR($B$316="",B391&lt;&gt;""),"",AG401))</f>
        <v/>
      </c>
      <c r="AG399" s="3511"/>
      <c r="AH399" s="3512" t="e">
        <f>LOOKUP(AG400,'EIC Table'!$A$3:$A$1100,'EIC Table'!$C$3:$C$1100)</f>
        <v>#N/A</v>
      </c>
      <c r="AI399" s="3513" t="e">
        <f>LOOKUP(AG400,'EIC Table'!$A$3:$A$1100,'EIC Table'!$G$3:$G$1100)</f>
        <v>#N/A</v>
      </c>
      <c r="AJ399" s="3512" t="e">
        <f>LOOKUP(AG400,'EIC Table'!$A$3:$A$1100,'EIC Table'!$D$3:$D$1100)</f>
        <v>#N/A</v>
      </c>
      <c r="AK399" s="3513" t="e">
        <f>LOOKUP(AG400,'EIC Table'!$A$3:$A$1100,'EIC Table'!$H$3:$H$1100)</f>
        <v>#N/A</v>
      </c>
      <c r="AL399" s="3514" t="e">
        <f>LOOKUP(AG400,'EIC Table'!$A$3:$A$1100,'EIC Table'!$E$3:$E$1100)</f>
        <v>#N/A</v>
      </c>
      <c r="AM399" s="3513" t="e">
        <f>LOOKUP(AG400,'EIC Table'!$A$3:$A$1100,'EIC Table'!$I$3:$I$1100)</f>
        <v>#N/A</v>
      </c>
      <c r="AN399" s="3514" t="e">
        <f>LOOKUP(AG400,'EIC Table'!$A$3:$A$1100,'EIC Table'!$F$3:$F$1100)</f>
        <v>#N/A</v>
      </c>
      <c r="AO399" s="3513" t="e">
        <f>LOOKUP(AG400,'EIC Table'!$A$3:$A$1100,'EIC Table'!$J$3:$J$1100)</f>
        <v>#N/A</v>
      </c>
    </row>
    <row r="400" spans="1:41" ht="13.5" thickBot="1">
      <c r="C400" s="3470"/>
      <c r="D400" s="1464" t="s">
        <v>3302</v>
      </c>
      <c r="N400" s="3470"/>
      <c r="O400" s="1269"/>
      <c r="AG400" s="3507" t="str">
        <f>IF(AG398="","",AG398)</f>
        <v/>
      </c>
      <c r="AH400" s="3512"/>
      <c r="AI400" s="3513"/>
      <c r="AJ400" s="3512"/>
      <c r="AK400" s="3513"/>
      <c r="AL400" s="3514"/>
      <c r="AM400" s="3513"/>
      <c r="AN400" s="3514"/>
      <c r="AO400" s="3513"/>
    </row>
    <row r="401" spans="1:41" ht="13.5" thickBot="1">
      <c r="C401" s="3470"/>
      <c r="N401" s="3470"/>
      <c r="O401" s="1269"/>
      <c r="AG401" s="3515" t="e">
        <f>IF(EICNumQualChild&gt;2,AO401,IF(EICNumQualChild=2,AM401,IF(EICNumQualChild=1,AK401,AI401)))</f>
        <v>#N/A</v>
      </c>
      <c r="AH401" s="3516"/>
      <c r="AI401" s="3517" t="e">
        <f>IF(File_Marr_Joint&lt;&gt;"",AI399,AH399)</f>
        <v>#N/A</v>
      </c>
      <c r="AJ401" s="3516"/>
      <c r="AK401" s="3517" t="e">
        <f>IF(File_Marr_Joint&lt;&gt;"",AK399,AJ399)</f>
        <v>#N/A</v>
      </c>
      <c r="AL401" s="3518"/>
      <c r="AM401" s="3517" t="e">
        <f>IF(File_Marr_Joint&lt;&gt;"",AM399,AL399)</f>
        <v>#N/A</v>
      </c>
      <c r="AN401" s="3518"/>
      <c r="AO401" s="3517" t="e">
        <f>IF(File_Marr_Joint&lt;&gt;"",AO399,AN399)</f>
        <v>#N/A</v>
      </c>
    </row>
    <row r="402" spans="1:41">
      <c r="C402" s="3470"/>
      <c r="D402" s="35" t="s">
        <v>2661</v>
      </c>
      <c r="N402" s="3470"/>
      <c r="O402" s="1269"/>
      <c r="AG402" s="35"/>
      <c r="AH402" s="35"/>
    </row>
    <row r="403" spans="1:41">
      <c r="C403" s="3470"/>
      <c r="D403" s="1464" t="s">
        <v>2685</v>
      </c>
      <c r="N403" s="3470"/>
      <c r="O403" s="1269"/>
      <c r="AG403" s="35"/>
      <c r="AH403" s="35"/>
    </row>
    <row r="404" spans="1:41">
      <c r="C404" s="3470"/>
      <c r="N404" s="3470"/>
      <c r="O404" s="1269"/>
      <c r="AG404" s="35"/>
      <c r="AH404" s="35"/>
    </row>
    <row r="405" spans="1:41">
      <c r="C405" s="3470" t="s">
        <v>338</v>
      </c>
      <c r="D405" s="35" t="s">
        <v>2607</v>
      </c>
      <c r="L405" s="3483" t="s">
        <v>3045</v>
      </c>
      <c r="M405" s="3994" t="str">
        <f>IF(OR($B$316="",B391&lt;&gt;""),"",Adj_Gross_Inc)</f>
        <v/>
      </c>
      <c r="N405" s="3470"/>
      <c r="O405" s="1269"/>
      <c r="AG405" s="35"/>
      <c r="AH405" s="35"/>
    </row>
    <row r="406" spans="1:41">
      <c r="C406" s="3470"/>
      <c r="N406" s="3470"/>
      <c r="O406" s="1269"/>
      <c r="AG406" s="35"/>
      <c r="AH406" s="35"/>
    </row>
    <row r="407" spans="1:41">
      <c r="C407" s="3470" t="s">
        <v>339</v>
      </c>
      <c r="D407" s="35" t="s">
        <v>2662</v>
      </c>
      <c r="N407" s="3470"/>
      <c r="O407" s="1269"/>
      <c r="AG407" s="35"/>
      <c r="AH407" s="35"/>
    </row>
    <row r="408" spans="1:41">
      <c r="C408" s="3470"/>
      <c r="N408" s="3470"/>
      <c r="O408" s="1269"/>
      <c r="AG408" s="35"/>
      <c r="AH408" s="35"/>
    </row>
    <row r="409" spans="1:41">
      <c r="B409" s="4003" t="str">
        <f>IF(OR($B$316="",B391&lt;&gt;""),"",IF(M405=M396,"X",""))</f>
        <v/>
      </c>
      <c r="D409" s="1464" t="s">
        <v>2663</v>
      </c>
      <c r="AG409" s="35"/>
      <c r="AH409" s="35"/>
    </row>
    <row r="410" spans="1:41">
      <c r="C410" s="3470"/>
      <c r="N410" s="3470"/>
      <c r="O410" s="1269"/>
      <c r="AG410" s="35"/>
      <c r="AH410" s="35"/>
    </row>
    <row r="411" spans="1:41">
      <c r="B411" s="4003" t="str">
        <f>IF(OR($B$316="",B391&lt;&gt;""),"",IF(M405=M396,"","X"))</f>
        <v/>
      </c>
      <c r="D411" s="1464" t="s">
        <v>2664</v>
      </c>
      <c r="AG411" s="35"/>
      <c r="AH411" s="35"/>
    </row>
    <row r="412" spans="1:41" ht="7.5" customHeight="1"/>
    <row r="413" spans="1:41" s="3474" customFormat="1" ht="7.5" customHeight="1">
      <c r="B413" s="3473"/>
      <c r="N413" s="3475"/>
      <c r="AG413" s="3475"/>
      <c r="AH413" s="3475"/>
    </row>
    <row r="414" spans="1:41" s="3465" customFormat="1" ht="15.75">
      <c r="A414" s="3502" t="s">
        <v>2820</v>
      </c>
      <c r="B414" s="3519" t="s">
        <v>2819</v>
      </c>
      <c r="C414" s="3464"/>
      <c r="N414" s="3466"/>
      <c r="AG414" s="3466"/>
      <c r="AH414" s="3466"/>
    </row>
    <row r="416" spans="1:41">
      <c r="C416" s="3470" t="s">
        <v>477</v>
      </c>
      <c r="D416" s="35" t="s">
        <v>2611</v>
      </c>
      <c r="N416" s="35"/>
    </row>
    <row r="417" spans="2:41">
      <c r="C417" s="3470"/>
      <c r="N417" s="35"/>
    </row>
    <row r="418" spans="2:41">
      <c r="B418" s="3614" t="str">
        <f>IF(OR($B$316="",B391&lt;&gt;"",B409&lt;&gt;""),"",IF(AND(File_Marr_Joint,EICNumQualChild=0),"®",IF(EICNumQualChild=0,"®","")))</f>
        <v/>
      </c>
      <c r="C418" s="3470" t="s">
        <v>2665</v>
      </c>
      <c r="D418" s="1464" t="s">
        <v>2599</v>
      </c>
      <c r="N418" s="35"/>
    </row>
    <row r="419" spans="2:41">
      <c r="B419" s="3485"/>
      <c r="C419" s="3470"/>
      <c r="D419" s="35" t="str">
        <f>" Is the amount on line 8 less than "&amp;TEXT(N289,"$0,000")&amp;" ("&amp;TEXT(N290,"$0,000")&amp;" if married filing jointly)?"</f>
        <v xml:space="preserve"> Is the amount on line 8 less than $8,300 ($13,850 if married filing jointly)?</v>
      </c>
      <c r="L419" s="3469" t="str">
        <f>IF(B418&lt;&gt;"®","",IF(M419,"Yes","No"))</f>
        <v/>
      </c>
      <c r="M419" s="2112" t="b">
        <f>IF(OR(AND(File_Marr_Joint&lt;&gt;"",M405&lt;N290),M405&lt;N289),TRUE,FALSE)</f>
        <v>0</v>
      </c>
      <c r="N419" s="35"/>
    </row>
    <row r="420" spans="2:41">
      <c r="B420" s="3485"/>
      <c r="C420" s="3470"/>
      <c r="N420" s="35"/>
    </row>
    <row r="421" spans="2:41">
      <c r="B421" s="3614" t="str">
        <f>IF(OR($B$316="",B391&lt;&gt;"",B409&lt;&gt;""),"",IF(AND(File_Marr_Joint,EICNumQualChild&gt;0),"®",IF(EICNumQualChild&gt;0,"®","")))</f>
        <v/>
      </c>
      <c r="C421" s="3470" t="s">
        <v>2665</v>
      </c>
      <c r="D421" s="1464" t="s">
        <v>3036</v>
      </c>
      <c r="N421" s="35"/>
    </row>
    <row r="422" spans="2:41">
      <c r="C422" s="3470"/>
      <c r="D422" s="35" t="str">
        <f>" Is the amount on line 8 less than "&amp;TEXT(N292,"$0,000")&amp;" ("&amp;TEXT(N293,"$0,000")&amp;" if married filing jointly)?"</f>
        <v xml:space="preserve"> Is the amount on line 8 less than $18,200 ($23,750 if married filing jointly)?</v>
      </c>
      <c r="L422" s="3469" t="str">
        <f>IF(B421&lt;&gt;"®","",IF(M422,"Yes","No"))</f>
        <v/>
      </c>
      <c r="M422" s="2112" t="b">
        <f>IF(OR(AND(File_Marr_Joint&lt;&gt;"",M405&lt;N293),M405&lt;N292),TRUE,FALSE)</f>
        <v>0</v>
      </c>
      <c r="N422" s="35"/>
    </row>
    <row r="423" spans="2:41" ht="13.5" thickBot="1">
      <c r="C423" s="3470"/>
      <c r="N423" s="35"/>
      <c r="AG423" s="1656" t="s">
        <v>2812</v>
      </c>
    </row>
    <row r="424" spans="2:41">
      <c r="B424" s="4003" t="str">
        <f>IF(OR($B$316="",$B$391&lt;&gt;"",$B$409&lt;&gt;""),"",IF(OR(AND($B$418="®",$M$419),AND($B$421="®",$M$422)),"X",""))</f>
        <v/>
      </c>
      <c r="C424" s="3470"/>
      <c r="D424" s="35" t="s">
        <v>2666</v>
      </c>
      <c r="N424" s="35"/>
      <c r="AG424" s="3506" t="str">
        <f>M405</f>
        <v/>
      </c>
      <c r="AH424" s="4985" t="s">
        <v>2603</v>
      </c>
      <c r="AI424" s="4986"/>
      <c r="AJ424" s="4985" t="s">
        <v>2604</v>
      </c>
      <c r="AK424" s="4986"/>
      <c r="AL424" s="4987" t="s">
        <v>2798</v>
      </c>
      <c r="AM424" s="4986"/>
      <c r="AN424" s="4987" t="s">
        <v>2799</v>
      </c>
      <c r="AO424" s="4986"/>
    </row>
    <row r="425" spans="2:41">
      <c r="C425" s="3470"/>
      <c r="N425" s="35"/>
      <c r="AG425" s="3507" t="str">
        <f>IF(AG424&lt;&gt;"",ROUND(AG424,0),"")</f>
        <v/>
      </c>
      <c r="AH425" s="3508" t="s">
        <v>2317</v>
      </c>
      <c r="AI425" s="3509" t="s">
        <v>2605</v>
      </c>
      <c r="AJ425" s="3508" t="s">
        <v>2317</v>
      </c>
      <c r="AK425" s="3509" t="s">
        <v>2605</v>
      </c>
      <c r="AL425" s="3508" t="s">
        <v>2317</v>
      </c>
      <c r="AM425" s="3510" t="s">
        <v>2605</v>
      </c>
      <c r="AN425" s="3508" t="s">
        <v>2317</v>
      </c>
      <c r="AO425" s="3510" t="s">
        <v>2605</v>
      </c>
    </row>
    <row r="426" spans="2:41">
      <c r="B426" s="4003" t="str">
        <f>IF(OR($B$316="",$B$391&lt;&gt;"",$B$409&lt;&gt;""),"",IF(OR(AND($B$418="®",$M$419),AND($B$421="®",$M$422)),"","X"))</f>
        <v/>
      </c>
      <c r="C426" s="3470"/>
      <c r="D426" s="1464" t="s">
        <v>2822</v>
      </c>
      <c r="N426" s="3470" t="s">
        <v>2667</v>
      </c>
      <c r="O426" s="3994" t="str">
        <f>IF(OR($B$426="",$B$316=""),"",AG428)</f>
        <v/>
      </c>
      <c r="AG426" s="3511"/>
      <c r="AH426" s="3512" t="e">
        <f>LOOKUP(AG427,'EIC Table'!$A$3:$A$1100,'EIC Table'!$C$3:$C$1100)</f>
        <v>#N/A</v>
      </c>
      <c r="AI426" s="3513" t="e">
        <f>LOOKUP(AG427,'EIC Table'!$A$3:$A$1100,'EIC Table'!$G$3:$G$1100)</f>
        <v>#N/A</v>
      </c>
      <c r="AJ426" s="3512" t="e">
        <f>LOOKUP(AG427,'EIC Table'!$A$3:$A$1100,'EIC Table'!$D$3:$D$1100)</f>
        <v>#N/A</v>
      </c>
      <c r="AK426" s="3513" t="e">
        <f>LOOKUP(AG427,'EIC Table'!$A$3:$A$1100,'EIC Table'!$H$3:$H$1100)</f>
        <v>#N/A</v>
      </c>
      <c r="AL426" s="3514" t="e">
        <f>LOOKUP(AG427,'EIC Table'!$A$3:$A$1100,'EIC Table'!$E$3:$E$1100)</f>
        <v>#N/A</v>
      </c>
      <c r="AM426" s="3513" t="e">
        <f>LOOKUP(AG427,'EIC Table'!$A$3:$A$1100,'EIC Table'!$I$3:$I$1100)</f>
        <v>#N/A</v>
      </c>
      <c r="AN426" s="3514" t="e">
        <f>LOOKUP(AG427,'EIC Table'!$A$3:$A$1100,'EIC Table'!$F$3:$F$1100)</f>
        <v>#N/A</v>
      </c>
      <c r="AO426" s="3513" t="e">
        <f>LOOKUP(AG427,'EIC Table'!$A$3:$A$1100,'EIC Table'!$J$3:$J$1100)</f>
        <v>#N/A</v>
      </c>
    </row>
    <row r="427" spans="2:41" ht="13.5" thickBot="1">
      <c r="C427" s="3470"/>
      <c r="D427" s="1464" t="s">
        <v>2823</v>
      </c>
      <c r="N427" s="35"/>
      <c r="AG427" s="3507" t="str">
        <f>IF(AG425="","",AG425)</f>
        <v/>
      </c>
      <c r="AH427" s="3512"/>
      <c r="AI427" s="3513"/>
      <c r="AJ427" s="3512"/>
      <c r="AK427" s="3513"/>
      <c r="AL427" s="3514"/>
      <c r="AM427" s="3513"/>
      <c r="AN427" s="3514"/>
      <c r="AO427" s="3513"/>
    </row>
    <row r="428" spans="2:41" ht="13.5" thickBot="1">
      <c r="C428" s="3470"/>
      <c r="D428" s="35" t="s">
        <v>2668</v>
      </c>
      <c r="N428" s="35"/>
      <c r="AG428" s="3515" t="e">
        <f>IF(EICNumQualChild&gt;2,AO428,IF(EICNumQualChild=2,AM428,IF(EICNumQualChild=1,AK428,AI428)))</f>
        <v>#N/A</v>
      </c>
      <c r="AH428" s="3516"/>
      <c r="AI428" s="3517" t="e">
        <f>IF(File_Marr_Joint&lt;&gt;"",AI426,AH426)</f>
        <v>#N/A</v>
      </c>
      <c r="AJ428" s="3516"/>
      <c r="AK428" s="3517" t="e">
        <f>IF(File_Marr_Joint&lt;&gt;"",AK426,AJ426)</f>
        <v>#N/A</v>
      </c>
      <c r="AL428" s="3518"/>
      <c r="AM428" s="3517" t="e">
        <f>IF(File_Marr_Joint&lt;&gt;"",AM426,AL426)</f>
        <v>#N/A</v>
      </c>
      <c r="AN428" s="3518"/>
      <c r="AO428" s="3517" t="e">
        <f>IF(File_Marr_Joint&lt;&gt;"",AO426,AN426)</f>
        <v>#N/A</v>
      </c>
    </row>
    <row r="429" spans="2:41">
      <c r="C429" s="3470"/>
      <c r="D429" s="1464" t="s">
        <v>2826</v>
      </c>
      <c r="N429" s="35"/>
    </row>
    <row r="430" spans="2:41">
      <c r="C430" s="3470"/>
      <c r="D430" s="1464" t="s">
        <v>2825</v>
      </c>
      <c r="N430" s="35"/>
    </row>
    <row r="431" spans="2:41">
      <c r="C431" s="3470"/>
      <c r="D431" s="35" t="s">
        <v>2669</v>
      </c>
      <c r="N431" s="35"/>
    </row>
    <row r="432" spans="2:41">
      <c r="C432" s="3470"/>
      <c r="D432" s="1464" t="s">
        <v>2827</v>
      </c>
      <c r="N432" s="35"/>
    </row>
    <row r="433" spans="1:34" ht="7.5" customHeight="1"/>
    <row r="434" spans="1:34" s="3474" customFormat="1" ht="7.5" customHeight="1">
      <c r="B434" s="3473"/>
      <c r="N434" s="3475"/>
      <c r="AG434" s="3475"/>
      <c r="AH434" s="3475"/>
    </row>
    <row r="435" spans="1:34" s="3465" customFormat="1" ht="15.75">
      <c r="A435" s="3502" t="s">
        <v>2821</v>
      </c>
      <c r="B435" s="3519" t="s">
        <v>2802</v>
      </c>
      <c r="C435" s="3464"/>
      <c r="N435" s="3466"/>
      <c r="AG435" s="3466"/>
      <c r="AH435" s="3466"/>
    </row>
    <row r="436" spans="1:34">
      <c r="N436" s="3470" t="s">
        <v>2670</v>
      </c>
      <c r="O436" s="3994" t="str">
        <f>IF(OR($B$316="",B391&lt;&gt;""),"",IF(O399&lt;O426,O399,O426))</f>
        <v/>
      </c>
    </row>
    <row r="437" spans="1:34">
      <c r="C437" s="3470"/>
      <c r="D437" s="36" t="s">
        <v>2618</v>
      </c>
      <c r="N437" s="35"/>
      <c r="O437" s="35" t="s">
        <v>747</v>
      </c>
    </row>
    <row r="438" spans="1:34">
      <c r="C438" s="3470"/>
      <c r="N438" s="35"/>
      <c r="O438" s="1464" t="s">
        <v>2811</v>
      </c>
    </row>
    <row r="439" spans="1:34">
      <c r="D439" s="35" t="s">
        <v>2671</v>
      </c>
    </row>
    <row r="440" spans="1:34">
      <c r="D440" s="35" t="s">
        <v>2620</v>
      </c>
      <c r="O440" s="2698" t="str">
        <f>IF(EIC_WSA_Part3&lt;&gt;"",EIC_WSA_Part3,IF(EIC_WSB_Part7&lt;&gt;"",EIC_WSB_Part7,""))</f>
        <v/>
      </c>
    </row>
    <row r="441" spans="1:34">
      <c r="D441" s="3667" t="s">
        <v>3118</v>
      </c>
    </row>
    <row r="443" spans="1:34">
      <c r="E443" s="35" t="s">
        <v>2828</v>
      </c>
    </row>
    <row r="444" spans="1:34">
      <c r="E444" s="1464" t="s">
        <v>3303</v>
      </c>
    </row>
    <row r="445" spans="1:34">
      <c r="E445" s="35" t="str">
        <f>"8862 to take the credit for "&amp;TaxYear&amp;"."</f>
        <v>8862 to take the credit for 2016.</v>
      </c>
    </row>
  </sheetData>
  <sheetProtection password="F07E" sheet="1" objects="1" scenarios="1"/>
  <mergeCells count="39">
    <mergeCell ref="AN397:AO397"/>
    <mergeCell ref="AN424:AO424"/>
    <mergeCell ref="A146:B146"/>
    <mergeCell ref="A147:B147"/>
    <mergeCell ref="A159:B159"/>
    <mergeCell ref="AN270:AO270"/>
    <mergeCell ref="AN297:AO297"/>
    <mergeCell ref="AH424:AI424"/>
    <mergeCell ref="AJ424:AK424"/>
    <mergeCell ref="AL424:AM424"/>
    <mergeCell ref="R344:X344"/>
    <mergeCell ref="R345:X345"/>
    <mergeCell ref="R346:X346"/>
    <mergeCell ref="R347:X347"/>
    <mergeCell ref="R370:X370"/>
    <mergeCell ref="A160:B160"/>
    <mergeCell ref="A161:B161"/>
    <mergeCell ref="A162:B162"/>
    <mergeCell ref="A61:B61"/>
    <mergeCell ref="A119:B119"/>
    <mergeCell ref="A136:B136"/>
    <mergeCell ref="A144:B144"/>
    <mergeCell ref="A145:B145"/>
    <mergeCell ref="A114:B114"/>
    <mergeCell ref="A120:B120"/>
    <mergeCell ref="A121:B121"/>
    <mergeCell ref="A122:B122"/>
    <mergeCell ref="A123:B123"/>
    <mergeCell ref="R333:X333"/>
    <mergeCell ref="AJ397:AK397"/>
    <mergeCell ref="AL397:AM397"/>
    <mergeCell ref="AL270:AM270"/>
    <mergeCell ref="AH297:AI297"/>
    <mergeCell ref="AJ297:AK297"/>
    <mergeCell ref="AL297:AM297"/>
    <mergeCell ref="AH270:AI270"/>
    <mergeCell ref="AJ270:AK270"/>
    <mergeCell ref="AH397:AI397"/>
    <mergeCell ref="R362:X362"/>
  </mergeCells>
  <conditionalFormatting sqref="D21">
    <cfRule type="expression" dxfId="1546" priority="153" stopIfTrue="1">
      <formula>IF($B$21="X",1,0)</formula>
    </cfRule>
  </conditionalFormatting>
  <conditionalFormatting sqref="J21">
    <cfRule type="expression" dxfId="1545" priority="154" stopIfTrue="1">
      <formula>IF(H21="X",1,0)</formula>
    </cfRule>
  </conditionalFormatting>
  <conditionalFormatting sqref="J106">
    <cfRule type="expression" dxfId="1544" priority="162" stopIfTrue="1">
      <formula>IF(B101="",0,IF(AND(H78&lt;&gt;"",EICNumQualChild=0),1,0))</formula>
    </cfRule>
  </conditionalFormatting>
  <conditionalFormatting sqref="J78">
    <cfRule type="expression" dxfId="1543" priority="76">
      <formula>IF($H$78&lt;&gt;"",1,0)</formula>
    </cfRule>
    <cfRule type="expression" dxfId="1542" priority="166">
      <formula>IF(AND($B$68="",$B$70="",$B$73="",$B$76="",N$78="",NOT(NoEICredit)),1,0)</formula>
    </cfRule>
  </conditionalFormatting>
  <conditionalFormatting sqref="D274:D275">
    <cfRule type="expression" dxfId="1541" priority="180" stopIfTrue="1">
      <formula>IF($L$270=0,1,0)</formula>
    </cfRule>
  </conditionalFormatting>
  <conditionalFormatting sqref="D295">
    <cfRule type="expression" dxfId="1540" priority="181" stopIfTrue="1">
      <formula>IF($B$295&lt;&gt;"",1,0)</formula>
    </cfRule>
  </conditionalFormatting>
  <conditionalFormatting sqref="D297:D299">
    <cfRule type="expression" dxfId="1539" priority="182" stopIfTrue="1">
      <formula>IF($B$297&lt;&gt;"",1,0)</formula>
    </cfRule>
  </conditionalFormatting>
  <conditionalFormatting sqref="J256 D411">
    <cfRule type="expression" dxfId="1538" priority="183" stopIfTrue="1">
      <formula>IF(AND($B$232="",$B$249="X",B256&lt;&gt;""),1,0)</formula>
    </cfRule>
  </conditionalFormatting>
  <conditionalFormatting sqref="D256:D257">
    <cfRule type="expression" dxfId="1537" priority="184" stopIfTrue="1">
      <formula>IF(AND($H$256="",$B$256="X"),1,0)</formula>
    </cfRule>
  </conditionalFormatting>
  <conditionalFormatting sqref="D373">
    <cfRule type="expression" dxfId="1536" priority="185" stopIfTrue="1">
      <formula>IF($O$372&lt;=0,1,0)</formula>
    </cfRule>
  </conditionalFormatting>
  <conditionalFormatting sqref="D410 D402:D404 D406 D408">
    <cfRule type="expression" dxfId="1535" priority="186" stopIfTrue="1">
      <formula>IF($O$399&lt;=0,1,0)</formula>
    </cfRule>
  </conditionalFormatting>
  <conditionalFormatting sqref="D391">
    <cfRule type="expression" dxfId="1534" priority="187" stopIfTrue="1">
      <formula>IF(B391&lt;&gt;"",1,0)</formula>
    </cfRule>
  </conditionalFormatting>
  <conditionalFormatting sqref="D409">
    <cfRule type="expression" dxfId="1533" priority="188" stopIfTrue="1">
      <formula>IF($B$409&lt;&gt;"",1,0)</formula>
    </cfRule>
  </conditionalFormatting>
  <conditionalFormatting sqref="D426:D432">
    <cfRule type="expression" dxfId="1532" priority="189" stopIfTrue="1">
      <formula>"IF($B$367&lt;&gt;"""",1,0)"</formula>
    </cfRule>
  </conditionalFormatting>
  <conditionalFormatting sqref="D424">
    <cfRule type="expression" dxfId="1531" priority="190" stopIfTrue="1">
      <formula>IF($B$424&lt;&gt;"",1,0)</formula>
    </cfRule>
  </conditionalFormatting>
  <conditionalFormatting sqref="D101">
    <cfRule type="expression" dxfId="1530" priority="191" stopIfTrue="1">
      <formula>IF($B$101="",1,0)</formula>
    </cfRule>
  </conditionalFormatting>
  <conditionalFormatting sqref="C1">
    <cfRule type="expression" dxfId="1529" priority="192" stopIfTrue="1">
      <formula>IF($A$1=1,1,0)</formula>
    </cfRule>
  </conditionalFormatting>
  <conditionalFormatting sqref="D309:D311">
    <cfRule type="expression" dxfId="1528" priority="193" stopIfTrue="1">
      <formula>IF(OR($L$307="",$L$307=0),0,IF(AND($H$256&lt;&gt;"",EICNumQualChild&gt;1),1,0))</formula>
    </cfRule>
  </conditionalFormatting>
  <conditionalFormatting sqref="D439:D440">
    <cfRule type="expression" dxfId="1527" priority="194" stopIfTrue="1">
      <formula>IF(AND($B$216&lt;&gt;"",$B$101&gt;0),1,0)</formula>
    </cfRule>
  </conditionalFormatting>
  <conditionalFormatting sqref="D126:D127 D117">
    <cfRule type="expression" dxfId="1526" priority="196" stopIfTrue="1">
      <formula>IF(AND($B$106="X",$B$125="X",$H$104="",$B$31="",$H$26="",$H$21=""),1,0)</formula>
    </cfRule>
  </conditionalFormatting>
  <conditionalFormatting sqref="D23">
    <cfRule type="expression" dxfId="1525" priority="151">
      <formula>IF(AND($B$26="",$H$26="",NOT(NoEICredit)),1,0)</formula>
    </cfRule>
  </conditionalFormatting>
  <conditionalFormatting sqref="D24">
    <cfRule type="expression" dxfId="1524" priority="149">
      <formula>IF(AND($B$26="",$H$26="",NOT(NoEICredit)),1,0)</formula>
    </cfRule>
  </conditionalFormatting>
  <conditionalFormatting sqref="D33">
    <cfRule type="expression" dxfId="1523" priority="148">
      <formula>IF(AND($B$35="",$H$35="",NOT(NoEICredit)),1,0)</formula>
    </cfRule>
  </conditionalFormatting>
  <conditionalFormatting sqref="D37">
    <cfRule type="expression" dxfId="1522" priority="147">
      <formula>IF(AND($B$26&lt;&gt;"",$B$39="",$H$39="",NOT(NoEICredit)),1,0)</formula>
    </cfRule>
  </conditionalFormatting>
  <conditionalFormatting sqref="D66">
    <cfRule type="expression" dxfId="1521" priority="141">
      <formula>IF(AND($B$68="",$B$70="",$B$73="",$B$76="",H$78="",NOT(NoEICredit)),1,0)</formula>
    </cfRule>
  </conditionalFormatting>
  <conditionalFormatting sqref="D134">
    <cfRule type="expression" dxfId="1520" priority="129">
      <formula>IF(AND($B$101=0,$B$134&lt;&gt;""),1,0)</formula>
    </cfRule>
  </conditionalFormatting>
  <conditionalFormatting sqref="D142">
    <cfRule type="expression" dxfId="1519" priority="128">
      <formula>IF(AND($B$101=0,$B$142&lt;&gt;""),1,0)</formula>
    </cfRule>
  </conditionalFormatting>
  <conditionalFormatting sqref="D144:D147">
    <cfRule type="expression" dxfId="1518" priority="1053">
      <formula>IF(AND($B$134="X",$B$142="X",$B$149="",$H$149="",NOT(NoEICredit)),1,0)</formula>
    </cfRule>
  </conditionalFormatting>
  <conditionalFormatting sqref="J149:J151">
    <cfRule type="expression" dxfId="1517" priority="127" stopIfTrue="1">
      <formula>IF(AND($B$134="X",$B$142="X",$H$149&lt;&gt;""),1,0)</formula>
    </cfRule>
  </conditionalFormatting>
  <conditionalFormatting sqref="D149">
    <cfRule type="expression" dxfId="1516" priority="126">
      <formula>IF(AND($B$101=0,$B$134&lt;&gt;"",$B$142&lt;&gt;"",$B$149&lt;&gt;""),1,0)</formula>
    </cfRule>
  </conditionalFormatting>
  <conditionalFormatting sqref="D155:D156">
    <cfRule type="expression" dxfId="1515" priority="125">
      <formula>IF(OR($B$116="X",$H$125&lt;&gt;""),0,IF(File_Marr_Joint&lt;&gt;"",1,0))</formula>
    </cfRule>
  </conditionalFormatting>
  <conditionalFormatting sqref="J173">
    <cfRule type="expression" dxfId="1514" priority="124" stopIfTrue="1">
      <formula>IF(AND(H163="",H172="X"),1,0)</formula>
    </cfRule>
  </conditionalFormatting>
  <conditionalFormatting sqref="J155">
    <cfRule type="expression" dxfId="1513" priority="121">
      <formula>IF(AND($B$101=0,$B$134&lt;&gt;"",$B$142&lt;&gt;"",$B$149&lt;&gt;""),1,0)</formula>
    </cfRule>
  </conditionalFormatting>
  <conditionalFormatting sqref="J164">
    <cfRule type="expression" dxfId="1512" priority="119">
      <formula>IF(AND($B$101=0,$B$134&lt;&gt;"",$B$142&lt;&gt;"",$B$149&lt;&gt;"",$H$155&lt;&gt;"",$H$164&lt;&gt;""),1,0)</formula>
    </cfRule>
  </conditionalFormatting>
  <conditionalFormatting sqref="D232">
    <cfRule type="expression" dxfId="1511" priority="1054" stopIfTrue="1">
      <formula>IF($B$232="X",1,0)</formula>
    </cfRule>
  </conditionalFormatting>
  <conditionalFormatting sqref="D233">
    <cfRule type="expression" dxfId="1510" priority="111" stopIfTrue="1">
      <formula>IF($B$232="X",1,0)</formula>
    </cfRule>
  </conditionalFormatting>
  <conditionalFormatting sqref="J232">
    <cfRule type="expression" dxfId="1509" priority="110" stopIfTrue="1">
      <formula>IF($H$232="X",1,0)</formula>
    </cfRule>
  </conditionalFormatting>
  <conditionalFormatting sqref="J249">
    <cfRule type="expression" dxfId="1508" priority="109" stopIfTrue="1">
      <formula>IF($H$249="X",1,0)</formula>
    </cfRule>
  </conditionalFormatting>
  <conditionalFormatting sqref="D249">
    <cfRule type="expression" dxfId="1507" priority="108" stopIfTrue="1">
      <formula>IF($B$249="X",1,0)</formula>
    </cfRule>
  </conditionalFormatting>
  <conditionalFormatting sqref="G252">
    <cfRule type="expression" dxfId="1506" priority="107" stopIfTrue="1">
      <formula>IF(G252&lt;&gt;"",1,0)</formula>
    </cfRule>
  </conditionalFormatting>
  <conditionalFormatting sqref="J26">
    <cfRule type="expression" dxfId="1505" priority="1115" stopIfTrue="1">
      <formula>IF(AND(H21="",H26="X"),1,0)</formula>
    </cfRule>
  </conditionalFormatting>
  <conditionalFormatting sqref="J27">
    <cfRule type="expression" dxfId="1504" priority="1116" stopIfTrue="1">
      <formula>IF(AND(H21="",H26="X"),1,0)</formula>
    </cfRule>
  </conditionalFormatting>
  <conditionalFormatting sqref="D31">
    <cfRule type="expression" dxfId="1503" priority="1138" stopIfTrue="1">
      <formula>IF(AND(H27="",B31="X"),1,0)</formula>
    </cfRule>
  </conditionalFormatting>
  <conditionalFormatting sqref="J31">
    <cfRule type="expression" dxfId="1502" priority="1139" stopIfTrue="1">
      <formula>IF(AND(H27="",H31="X"),1,0)</formula>
    </cfRule>
  </conditionalFormatting>
  <conditionalFormatting sqref="D35">
    <cfRule type="expression" dxfId="1501" priority="1144" stopIfTrue="1">
      <formula>IF(AND(B35="X",$B$31="",$H$26="",$H$21=""),1,0)</formula>
    </cfRule>
  </conditionalFormatting>
  <conditionalFormatting sqref="J116">
    <cfRule type="expression" dxfId="1500" priority="1151" stopIfTrue="1">
      <formula>IF(AND(H116="X",H100="",$B$31="",$H$26="",$H$21=""),1,0)</formula>
    </cfRule>
  </conditionalFormatting>
  <conditionalFormatting sqref="J125">
    <cfRule type="expression" dxfId="1499" priority="1153" stopIfTrue="1">
      <formula>IF(AND(H125="X",H106="",$B$31="",$H$26="",$H$21=""),1,0)</formula>
    </cfRule>
  </conditionalFormatting>
  <conditionalFormatting sqref="D179">
    <cfRule type="expression" dxfId="1498" priority="1157" stopIfTrue="1">
      <formula>IF(AND($B$179="X",$B$31="",$H$26="",$H$21=""),1,0)</formula>
    </cfRule>
  </conditionalFormatting>
  <conditionalFormatting sqref="D39:D41">
    <cfRule type="expression" dxfId="1497" priority="1164" stopIfTrue="1">
      <formula>IF(AND($B$39="X",$B35="",$B$31="",$H$26="",$H$21=""),1,0)</formula>
    </cfRule>
  </conditionalFormatting>
  <conditionalFormatting sqref="J39 J179">
    <cfRule type="expression" dxfId="1496" priority="1166" stopIfTrue="1">
      <formula>IF(AND(H39="X",$B$35="",$B$31="",$H$26="",$H$21=""),1,0)</formula>
    </cfRule>
  </conditionalFormatting>
  <conditionalFormatting sqref="J180">
    <cfRule type="expression" dxfId="1495" priority="1170" stopIfTrue="1">
      <formula>IF(AND(H179="X",$B$35="",$B$31="",$H$26="",$H$21=""),1,0)</formula>
    </cfRule>
  </conditionalFormatting>
  <conditionalFormatting sqref="D61">
    <cfRule type="expression" dxfId="1494" priority="1189">
      <formula>IF(AND($B$59&lt;&gt;"",$B$63="",H$63="",NOT(NoEICredit)),1,0)</formula>
    </cfRule>
  </conditionalFormatting>
  <conditionalFormatting sqref="J63:J64">
    <cfRule type="expression" dxfId="1493" priority="1190" stopIfTrue="1">
      <formula>IF(AND(H63="X",H59="",$B$31="",$H$26="",$H$21=""),1,0)</formula>
    </cfRule>
  </conditionalFormatting>
  <conditionalFormatting sqref="D63:D64">
    <cfRule type="expression" dxfId="1492" priority="1191" stopIfTrue="1">
      <formula>IF(AND($B$63="X",$H$59="",$B$31="",$H$26="",$H$21=""),1,0)</formula>
    </cfRule>
  </conditionalFormatting>
  <conditionalFormatting sqref="D116">
    <cfRule type="expression" dxfId="1491" priority="1198" stopIfTrue="1">
      <formula>IF(AND(B100="X",B116="X",$H$104="",$B$31="",$H$26="",$H$21=""),1,0)</formula>
    </cfRule>
  </conditionalFormatting>
  <conditionalFormatting sqref="D125">
    <cfRule type="expression" dxfId="1490" priority="1199" stopIfTrue="1">
      <formula>IF(AND($B$106="X",$B$125="X",$H$104="",$B$31="",$H$26="",$H$21=""),1,0)</formula>
    </cfRule>
  </conditionalFormatting>
  <conditionalFormatting sqref="J142">
    <cfRule type="expression" dxfId="1489" priority="1207" stopIfTrue="1">
      <formula>IF(AND(B134&lt;&gt;"",H142="X"),1,0)</formula>
    </cfRule>
  </conditionalFormatting>
  <conditionalFormatting sqref="J134">
    <cfRule type="expression" dxfId="1488" priority="1219" stopIfTrue="1">
      <formula>IF(AND(H106&lt;&gt;"",H134="X",#REF!="",$B$31="",$H$26="",$H$21=""),1,0)</formula>
    </cfRule>
  </conditionalFormatting>
  <conditionalFormatting sqref="D164">
    <cfRule type="expression" dxfId="1487" priority="1220">
      <formula>IF(OR($B$116="X",$H$125&lt;&gt;"",$B$155&lt;&gt;""),0,IF($B$164&lt;&gt;"",1,0))</formula>
    </cfRule>
  </conditionalFormatting>
  <conditionalFormatting sqref="J172">
    <cfRule type="expression" dxfId="1486" priority="1221">
      <formula>IF(OR(B116="X",H125&lt;&gt;"",B155&lt;&gt;"",B164&lt;&gt;""),0,IF(OR(DependentYOU&lt;&gt;"",DependentSPOUSE&lt;&gt;""),0,1))</formula>
    </cfRule>
  </conditionalFormatting>
  <conditionalFormatting sqref="D172">
    <cfRule type="expression" dxfId="1485" priority="1222">
      <formula>IF(OR(B124="X",H133&lt;&gt;"",B162&lt;&gt;"",B164&lt;&gt;""),0,IF(OR(DependentYOU&lt;&gt;"",DependentSPOUSE&lt;&gt;""),1,0))</formula>
    </cfRule>
  </conditionalFormatting>
  <conditionalFormatting sqref="D26">
    <cfRule type="expression" dxfId="1484" priority="105" stopIfTrue="1">
      <formula>IF($B$26="X",1,0)</formula>
    </cfRule>
  </conditionalFormatting>
  <conditionalFormatting sqref="J35">
    <cfRule type="expression" dxfId="1483" priority="104" stopIfTrue="1">
      <formula>IF($H$35="X",1,0)</formula>
    </cfRule>
  </conditionalFormatting>
  <conditionalFormatting sqref="D78">
    <cfRule type="expression" dxfId="1482" priority="103">
      <formula>IF(AND($B$78="X",$H$80=""),1,0)</formula>
    </cfRule>
  </conditionalFormatting>
  <conditionalFormatting sqref="G80">
    <cfRule type="expression" dxfId="1481" priority="97">
      <formula>IF(H80&lt;&gt;"",1,0)</formula>
    </cfRule>
    <cfRule type="expression" dxfId="1480" priority="102">
      <formula>IF($B$78="X",1,0)</formula>
    </cfRule>
  </conditionalFormatting>
  <conditionalFormatting sqref="D79">
    <cfRule type="expression" dxfId="1479" priority="101">
      <formula>IF(AND($B$78="X",$H$80=""),1,0)</formula>
    </cfRule>
  </conditionalFormatting>
  <conditionalFormatting sqref="D80">
    <cfRule type="expression" dxfId="1478" priority="100">
      <formula>IF(AND($B$78="X",$H$80=""),1,0)</formula>
    </cfRule>
  </conditionalFormatting>
  <conditionalFormatting sqref="H80">
    <cfRule type="expression" dxfId="1477" priority="6">
      <formula>IF($B$78="",1,0)</formula>
    </cfRule>
    <cfRule type="expression" dxfId="1476" priority="7">
      <formula>IF(OR(NoColor,$B$78=""),1,0)</formula>
    </cfRule>
    <cfRule type="expression" dxfId="1475" priority="98">
      <formula>IF($B$78="X",1,0)</formula>
    </cfRule>
  </conditionalFormatting>
  <conditionalFormatting sqref="J80">
    <cfRule type="expression" dxfId="1474" priority="95">
      <formula>IF(H80&lt;&gt;"",1,0)</formula>
    </cfRule>
    <cfRule type="expression" dxfId="1473" priority="96">
      <formula>IF($B$78="X",1,0)</formula>
    </cfRule>
  </conditionalFormatting>
  <conditionalFormatting sqref="A68">
    <cfRule type="expression" dxfId="1472" priority="93">
      <formula>IF(AND($B$68="",$B$70="",$B$73="",$B$76="",H$78="",NOT(NoEICredit)),1,0)</formula>
    </cfRule>
  </conditionalFormatting>
  <conditionalFormatting sqref="A70">
    <cfRule type="expression" dxfId="1471" priority="80">
      <formula>IF(AND($B$68="",$B$70="",$B$73="",$B$76="",H$78="",NOT(NoEICredit)),1,0)</formula>
    </cfRule>
  </conditionalFormatting>
  <conditionalFormatting sqref="A73">
    <cfRule type="expression" dxfId="1470" priority="79">
      <formula>IF(AND($B$68="",$B$70="",$B$73="",$B$76="",H$78="",NOT(NoEICredit)),1,0)</formula>
    </cfRule>
  </conditionalFormatting>
  <conditionalFormatting sqref="A76">
    <cfRule type="expression" dxfId="1469" priority="78">
      <formula>IF(AND($B$68="",$B$70="",$B$73="",$B$76="",H$78="",NOT(NoEICredit)),1,0)</formula>
    </cfRule>
  </conditionalFormatting>
  <conditionalFormatting sqref="G78">
    <cfRule type="expression" dxfId="1468" priority="65">
      <formula>IF($H$78&lt;&gt;"",1,0)</formula>
    </cfRule>
    <cfRule type="expression" dxfId="1467" priority="77">
      <formula>IF(AND($B$68="",$B$70="",$B$73="",$B$76="",N$78="",NOT(NoEICredit)),1,0)</formula>
    </cfRule>
  </conditionalFormatting>
  <conditionalFormatting sqref="D165:D167">
    <cfRule type="expression" dxfId="1466" priority="75">
      <formula>IF(OR($B$116="X",$H$125&lt;&gt;"",$B$155&lt;&gt;""),0,IF($B$164&lt;&gt;"",1,0))</formula>
    </cfRule>
  </conditionalFormatting>
  <conditionalFormatting sqref="D158:D162">
    <cfRule type="expression" dxfId="1465" priority="74">
      <formula>IF(AND($H$155="X",$B$164="",$H$164=""),1,0)</formula>
    </cfRule>
  </conditionalFormatting>
  <conditionalFormatting sqref="C158">
    <cfRule type="expression" dxfId="1464" priority="73">
      <formula>IF(AND($H$155="X",$B$164="",$H$164=""),1,0)</formula>
    </cfRule>
  </conditionalFormatting>
  <conditionalFormatting sqref="D180:D181">
    <cfRule type="expression" dxfId="1463" priority="72" stopIfTrue="1">
      <formula>IF(AND($B$179="X",$B$31="",$H$26="",$H$21=""),1,0)</formula>
    </cfRule>
  </conditionalFormatting>
  <conditionalFormatting sqref="G372">
    <cfRule type="expression" dxfId="1462" priority="71">
      <formula>IF(AND($B$232&lt;&gt;"",$H$249&lt;&gt;"X",$O$372&gt;0),1,0)</formula>
    </cfRule>
  </conditionalFormatting>
  <conditionalFormatting sqref="D388:D389">
    <cfRule type="expression" dxfId="1461" priority="70">
      <formula>IF($B$388="X",1,0)</formula>
    </cfRule>
  </conditionalFormatting>
  <conditionalFormatting sqref="L241">
    <cfRule type="expression" dxfId="1460" priority="69">
      <formula>IF(M241,1,0)</formula>
    </cfRule>
  </conditionalFormatting>
  <conditionalFormatting sqref="L238">
    <cfRule type="expression" dxfId="1459" priority="68">
      <formula>IF(M238,1,0)</formula>
    </cfRule>
  </conditionalFormatting>
  <conditionalFormatting sqref="L244">
    <cfRule type="expression" dxfId="1458" priority="67">
      <formula>IF(M244,1,0)</formula>
    </cfRule>
  </conditionalFormatting>
  <conditionalFormatting sqref="L247">
    <cfRule type="expression" dxfId="1457" priority="66">
      <formula>IF(M247,1,0)</formula>
    </cfRule>
  </conditionalFormatting>
  <conditionalFormatting sqref="D283">
    <cfRule type="expression" dxfId="1456" priority="64">
      <formula>IF(B283="X",1,0)</formula>
    </cfRule>
  </conditionalFormatting>
  <conditionalFormatting sqref="D281">
    <cfRule type="expression" dxfId="1455" priority="63">
      <formula>IF(B281="X",1,0)</formula>
    </cfRule>
  </conditionalFormatting>
  <conditionalFormatting sqref="L293">
    <cfRule type="expression" dxfId="1454" priority="62">
      <formula>IF(L293="Yes",1,0)</formula>
    </cfRule>
  </conditionalFormatting>
  <conditionalFormatting sqref="L290">
    <cfRule type="expression" dxfId="1453" priority="61">
      <formula>IF(L290="Yes",1,0)</formula>
    </cfRule>
  </conditionalFormatting>
  <conditionalFormatting sqref="D437">
    <cfRule type="expression" dxfId="1452" priority="60">
      <formula>IF($O$436="",0,IF($O$436&gt;0,1,0))</formula>
    </cfRule>
  </conditionalFormatting>
  <conditionalFormatting sqref="O437:O438">
    <cfRule type="expression" dxfId="1451" priority="59">
      <formula>IF($O$436="",0,IF($O$436&gt;0,1,0))</formula>
    </cfRule>
  </conditionalFormatting>
  <conditionalFormatting sqref="M10">
    <cfRule type="expression" dxfId="1450" priority="58">
      <formula>IF(M10="No",1,0)</formula>
    </cfRule>
  </conditionalFormatting>
  <conditionalFormatting sqref="M13">
    <cfRule type="expression" dxfId="1449" priority="57">
      <formula>IF(M13="No",1,0)</formula>
    </cfRule>
  </conditionalFormatting>
  <conditionalFormatting sqref="M16">
    <cfRule type="expression" dxfId="1448" priority="56">
      <formula>IF(M16="No",1,0)</formula>
    </cfRule>
  </conditionalFormatting>
  <conditionalFormatting sqref="M19">
    <cfRule type="expression" dxfId="1447" priority="55">
      <formula>IF(M19="No",1,0)</formula>
    </cfRule>
  </conditionalFormatting>
  <conditionalFormatting sqref="A177:B177">
    <cfRule type="expression" dxfId="1446" priority="53">
      <formula>IF(AND(OR($B$116="X",$H$125="X",$H$172="X"),$B$179="",$H$179=""),1,0)</formula>
    </cfRule>
  </conditionalFormatting>
  <conditionalFormatting sqref="B229">
    <cfRule type="expression" dxfId="1445" priority="51">
      <formula>IF(AND(OR($B$179&lt;&gt;"",$H$179&lt;&gt;""),$B$232="",$H$232=""),1,0)</formula>
    </cfRule>
  </conditionalFormatting>
  <conditionalFormatting sqref="B230">
    <cfRule type="expression" dxfId="1444" priority="44">
      <formula>IF(AND(OR($B$179&lt;&gt;"",$H$179&lt;&gt;""),$B$232="",$H$232=""),1,0)</formula>
    </cfRule>
  </conditionalFormatting>
  <conditionalFormatting sqref="A229">
    <cfRule type="expression" dxfId="1443" priority="43">
      <formula>IF(AND(OR($B$179&lt;&gt;"",$H$179&lt;&gt;""),$B$232="",$H$232=""),1,0)</formula>
    </cfRule>
  </conditionalFormatting>
  <conditionalFormatting sqref="D307">
    <cfRule type="expression" dxfId="1442" priority="42">
      <formula>IF(OR($B$232=0,$B$232&lt;&gt;""),0,IF($L$307&gt;0,1,0))</formula>
    </cfRule>
  </conditionalFormatting>
  <conditionalFormatting sqref="C307">
    <cfRule type="expression" dxfId="1441" priority="40">
      <formula>IF($B$232&lt;&gt;"",0,IF($L$307&gt;0,1,0))</formula>
    </cfRule>
  </conditionalFormatting>
  <conditionalFormatting sqref="E343">
    <cfRule type="expression" dxfId="1440" priority="39">
      <formula>IF($B$232="",0,IF(AND($B$316&lt;&gt;"",$O$343=""),1,0))</formula>
    </cfRule>
  </conditionalFormatting>
  <conditionalFormatting sqref="E344">
    <cfRule type="expression" dxfId="1439" priority="36">
      <formula>IF($B$232="",0,IF(AND($B$316&lt;&gt;"",$O$343=""),1,0))</formula>
    </cfRule>
  </conditionalFormatting>
  <conditionalFormatting sqref="D343">
    <cfRule type="expression" dxfId="1438" priority="35">
      <formula>IF($B$232="",0,IF(AND($B$316&lt;&gt;"",$O$343=""),1,0))</formula>
    </cfRule>
  </conditionalFormatting>
  <conditionalFormatting sqref="E346">
    <cfRule type="expression" dxfId="1437" priority="34">
      <formula>IF($B$232="",0,IF(AND($B$316&lt;&gt;"",OR($R$345="",$R$346="",$R$347="")),1,0))</formula>
    </cfRule>
  </conditionalFormatting>
  <conditionalFormatting sqref="E347:E348">
    <cfRule type="expression" dxfId="1436" priority="33">
      <formula>IF($B$232="",0,IF(AND($B$316&lt;&gt;"",OR($R$345="",$R$346="",$R$347="")),1,0))</formula>
    </cfRule>
  </conditionalFormatting>
  <conditionalFormatting sqref="D346">
    <cfRule type="expression" dxfId="1435" priority="32">
      <formula>IF($B$232="",0,IF(AND($B$316&lt;&gt;"",OR($R$345="",$R$346="",$R$347="")),1,0))</formula>
    </cfRule>
  </conditionalFormatting>
  <conditionalFormatting sqref="H26">
    <cfRule type="expression" dxfId="1434" priority="30">
      <formula>IF(NoColor,1,0)</formula>
    </cfRule>
  </conditionalFormatting>
  <conditionalFormatting sqref="B179">
    <cfRule type="expression" dxfId="1433" priority="24">
      <formula>IF(NoColor,1,0)</formula>
    </cfRule>
  </conditionalFormatting>
  <conditionalFormatting sqref="H179">
    <cfRule type="expression" dxfId="1432" priority="23">
      <formula>IF(NoColor,1,0)</formula>
    </cfRule>
  </conditionalFormatting>
  <conditionalFormatting sqref="B164">
    <cfRule type="expression" dxfId="1431" priority="22">
      <formula>IF(NoColor,1,0)</formula>
    </cfRule>
  </conditionalFormatting>
  <conditionalFormatting sqref="H164">
    <cfRule type="expression" dxfId="1430" priority="21">
      <formula>IF(NoColor,1,0)</formula>
    </cfRule>
  </conditionalFormatting>
  <conditionalFormatting sqref="B149">
    <cfRule type="expression" dxfId="1429" priority="20">
      <formula>IF(NoColor,1,0)</formula>
    </cfRule>
  </conditionalFormatting>
  <conditionalFormatting sqref="H149">
    <cfRule type="expression" dxfId="1428" priority="19">
      <formula>IF(NoColor,1,0)</formula>
    </cfRule>
  </conditionalFormatting>
  <conditionalFormatting sqref="H78">
    <cfRule type="expression" dxfId="1427" priority="18">
      <formula>IF(NoColor,1,0)</formula>
    </cfRule>
  </conditionalFormatting>
  <conditionalFormatting sqref="H39">
    <cfRule type="expression" dxfId="1426" priority="17">
      <formula>IF(NoColor,1,0)</formula>
    </cfRule>
  </conditionalFormatting>
  <conditionalFormatting sqref="H232">
    <cfRule type="expression" dxfId="1425" priority="15">
      <formula>IF(NoColor,1,0)</formula>
    </cfRule>
  </conditionalFormatting>
  <conditionalFormatting sqref="B256">
    <cfRule type="expression" dxfId="1424" priority="13">
      <formula>IF(NoColor,1,0)</formula>
    </cfRule>
  </conditionalFormatting>
  <conditionalFormatting sqref="B68">
    <cfRule type="expression" dxfId="1423" priority="12">
      <formula>IF(NoColor,1,0)</formula>
    </cfRule>
  </conditionalFormatting>
  <conditionalFormatting sqref="B70">
    <cfRule type="expression" dxfId="1422" priority="11">
      <formula>IF(NoColor,1,0)</formula>
    </cfRule>
  </conditionalFormatting>
  <conditionalFormatting sqref="B73">
    <cfRule type="expression" dxfId="1421" priority="10">
      <formula>IF(NoColor,1,0)</formula>
    </cfRule>
  </conditionalFormatting>
  <conditionalFormatting sqref="B76">
    <cfRule type="expression" dxfId="1420" priority="9">
      <formula>IF(NoColor,1,0)</formula>
    </cfRule>
  </conditionalFormatting>
  <conditionalFormatting sqref="D441">
    <cfRule type="expression" dxfId="1419" priority="5" stopIfTrue="1">
      <formula>IF(OR($L$307="",$L$307=0),0,IF(AND($H$256&lt;&gt;"",EICNumQualChild&gt;1),1,0))</formula>
    </cfRule>
  </conditionalFormatting>
  <conditionalFormatting sqref="B39">
    <cfRule type="expression" dxfId="1418" priority="4">
      <formula>IF(NoColor,1,0)</formula>
    </cfRule>
  </conditionalFormatting>
  <conditionalFormatting sqref="B63">
    <cfRule type="expression" dxfId="1417" priority="3">
      <formula>IF(NoColor,1,0)</formula>
    </cfRule>
  </conditionalFormatting>
  <conditionalFormatting sqref="B59">
    <cfRule type="expression" dxfId="1416" priority="2">
      <formula>IF(NoColor,1,0)</formula>
    </cfRule>
  </conditionalFormatting>
  <conditionalFormatting sqref="B232">
    <cfRule type="expression" dxfId="1415" priority="1">
      <formula>IF(NoColor,1,0)</formula>
    </cfRule>
  </conditionalFormatting>
  <hyperlinks>
    <hyperlink ref="D311" r:id="rId1"/>
    <hyperlink ref="D441" r:id="rId2"/>
  </hyperlinks>
  <pageMargins left="0.75" right="0.75" top="0.4" bottom="0.4" header="0.31" footer="0.5"/>
  <pageSetup scale="64" fitToHeight="0" orientation="portrait" horizontalDpi="4294967293" verticalDpi="4294967293" r:id="rId3"/>
  <headerFooter alignWithMargins="0"/>
  <rowBreaks count="5" manualBreakCount="5">
    <brk id="81" max="24" man="1"/>
    <brk id="173" max="24" man="1"/>
    <brk id="258" max="24" man="1"/>
    <brk id="312" max="24" man="1"/>
    <brk id="356" max="24" man="1"/>
  </row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70"/>
  <sheetViews>
    <sheetView workbookViewId="0">
      <selection activeCell="J33" sqref="J33"/>
    </sheetView>
  </sheetViews>
  <sheetFormatPr defaultRowHeight="12.75"/>
  <cols>
    <col min="1" max="1" width="2.7109375" customWidth="1"/>
    <col min="2" max="2" width="5.5703125" customWidth="1"/>
    <col min="9" max="9" width="4.5703125" customWidth="1"/>
    <col min="10" max="10" width="13" customWidth="1"/>
    <col min="12" max="12" width="3.7109375" customWidth="1"/>
    <col min="13" max="13" width="12" customWidth="1"/>
  </cols>
  <sheetData>
    <row r="1" spans="1:39" ht="13.5" thickBot="1"/>
    <row r="2" spans="1:39">
      <c r="B2" s="4994" t="s">
        <v>3321</v>
      </c>
      <c r="C2" s="4995"/>
      <c r="D2" s="4995"/>
      <c r="E2" s="4995"/>
      <c r="F2" s="4995"/>
      <c r="G2" s="4995"/>
      <c r="H2" s="4995"/>
      <c r="I2" s="4995"/>
      <c r="J2" s="4995"/>
      <c r="K2" s="4996"/>
    </row>
    <row r="3" spans="1:39">
      <c r="B3" s="4997"/>
      <c r="C3" s="4998"/>
      <c r="D3" s="4998"/>
      <c r="E3" s="4998"/>
      <c r="F3" s="4998"/>
      <c r="G3" s="4998"/>
      <c r="H3" s="4998"/>
      <c r="I3" s="4998"/>
      <c r="J3" s="4998"/>
      <c r="K3" s="4999"/>
    </row>
    <row r="4" spans="1:39">
      <c r="B4" s="4997"/>
      <c r="C4" s="4998"/>
      <c r="D4" s="4998"/>
      <c r="E4" s="4998"/>
      <c r="F4" s="4998"/>
      <c r="G4" s="4998"/>
      <c r="H4" s="4998"/>
      <c r="I4" s="4998"/>
      <c r="J4" s="4998"/>
      <c r="K4" s="4999"/>
    </row>
    <row r="5" spans="1:39">
      <c r="B5" s="4997"/>
      <c r="C5" s="4998"/>
      <c r="D5" s="4998"/>
      <c r="E5" s="4998"/>
      <c r="F5" s="4998"/>
      <c r="G5" s="4998"/>
      <c r="H5" s="4998"/>
      <c r="I5" s="4998"/>
      <c r="J5" s="4998"/>
      <c r="K5" s="4999"/>
    </row>
    <row r="6" spans="1:39" ht="13.5" thickBot="1">
      <c r="B6" s="5000"/>
      <c r="C6" s="5001"/>
      <c r="D6" s="5001"/>
      <c r="E6" s="5001"/>
      <c r="F6" s="5001"/>
      <c r="G6" s="5001"/>
      <c r="H6" s="5001"/>
      <c r="I6" s="5001"/>
      <c r="J6" s="5001"/>
      <c r="K6" s="5002"/>
    </row>
    <row r="7" spans="1:39" ht="13.5" thickBot="1"/>
    <row r="8" spans="1:39" s="5" customFormat="1" ht="15.75">
      <c r="B8" s="3992"/>
      <c r="C8" s="2595"/>
      <c r="D8" s="2595"/>
      <c r="E8" s="2595"/>
      <c r="F8" s="2595"/>
      <c r="G8" s="2595"/>
      <c r="H8" s="2595"/>
      <c r="I8" s="2595"/>
      <c r="J8" s="2595"/>
      <c r="K8" s="2596"/>
      <c r="L8" s="425"/>
      <c r="M8" s="523"/>
      <c r="N8" s="437"/>
    </row>
    <row r="9" spans="1:39" s="5" customFormat="1" ht="15.75">
      <c r="B9" s="3993" t="s">
        <v>3308</v>
      </c>
      <c r="C9" s="2399"/>
      <c r="D9" s="2399"/>
      <c r="E9" s="2399"/>
      <c r="F9" s="2399"/>
      <c r="G9" s="2399"/>
      <c r="H9" s="2399"/>
      <c r="I9" s="2399"/>
      <c r="J9" s="2399"/>
      <c r="K9" s="2477"/>
      <c r="L9" s="425"/>
      <c r="M9" s="523"/>
      <c r="N9" s="437"/>
    </row>
    <row r="10" spans="1:39" s="5" customFormat="1">
      <c r="B10" s="2873"/>
      <c r="C10" s="2878" t="s">
        <v>3324</v>
      </c>
      <c r="D10" s="2878" t="s">
        <v>3322</v>
      </c>
      <c r="E10" s="3032"/>
      <c r="F10" s="3032"/>
      <c r="G10" s="3032"/>
      <c r="H10" s="3032"/>
      <c r="I10" s="3032"/>
      <c r="J10" s="3032"/>
      <c r="K10" s="3033"/>
      <c r="M10" s="523"/>
      <c r="N10" s="437"/>
    </row>
    <row r="11" spans="1:39" s="5" customFormat="1">
      <c r="B11" s="2873"/>
      <c r="C11" s="2878"/>
      <c r="D11" s="2878" t="s">
        <v>3323</v>
      </c>
      <c r="E11" s="3032"/>
      <c r="F11" s="3032"/>
      <c r="G11" s="3032"/>
      <c r="H11" s="3032"/>
      <c r="I11" s="3032"/>
      <c r="J11" s="3032"/>
      <c r="K11" s="3033"/>
      <c r="M11" s="3996" t="s">
        <v>149</v>
      </c>
      <c r="N11" s="437"/>
    </row>
    <row r="12" spans="1:39" s="437" customFormat="1" ht="13.5" thickBot="1">
      <c r="A12" s="5"/>
      <c r="B12" s="2601"/>
      <c r="C12" s="2598"/>
      <c r="D12" s="2399"/>
      <c r="E12" s="2399"/>
      <c r="F12" s="2399"/>
      <c r="G12" s="2399"/>
      <c r="H12" s="2399"/>
      <c r="I12" s="3999"/>
      <c r="J12" s="2399"/>
      <c r="K12" s="2477"/>
      <c r="M12" s="3996" t="s">
        <v>661</v>
      </c>
      <c r="N12" s="3995"/>
      <c r="AG12" s="3995"/>
      <c r="AH12" s="3995"/>
    </row>
    <row r="13" spans="1:39" s="437" customFormat="1" ht="13.5" thickBot="1">
      <c r="A13" s="5"/>
      <c r="B13" s="4000" t="s">
        <v>476</v>
      </c>
      <c r="C13" s="2598" t="s">
        <v>2738</v>
      </c>
      <c r="D13" s="2399"/>
      <c r="E13" s="2399"/>
      <c r="F13" s="2399"/>
      <c r="G13" s="2399"/>
      <c r="H13" s="2399"/>
      <c r="I13" s="3999" t="s">
        <v>476</v>
      </c>
      <c r="J13" s="3994">
        <f>IF(M13&lt;&gt;"",ROUND(M13,0),Wages)</f>
        <v>0</v>
      </c>
      <c r="K13" s="2477"/>
      <c r="M13" s="3997"/>
      <c r="N13" s="3995"/>
      <c r="AG13" s="3995"/>
      <c r="AH13" s="3995">
        <v>65</v>
      </c>
    </row>
    <row r="14" spans="1:39" s="437" customFormat="1">
      <c r="A14" s="5"/>
      <c r="B14" s="2601"/>
      <c r="C14" s="2399"/>
      <c r="D14" s="2399"/>
      <c r="E14" s="2399"/>
      <c r="F14" s="2399"/>
      <c r="G14" s="2399"/>
      <c r="H14" s="2399"/>
      <c r="I14" s="2399"/>
      <c r="J14" s="2399"/>
      <c r="K14" s="2477"/>
      <c r="M14" s="523"/>
      <c r="N14" s="3995"/>
      <c r="AG14" s="3995"/>
      <c r="AH14" s="3995"/>
    </row>
    <row r="15" spans="1:39" s="3995" customFormat="1">
      <c r="A15" s="5"/>
      <c r="B15" s="4000" t="s">
        <v>0</v>
      </c>
      <c r="C15" s="2598" t="s">
        <v>2739</v>
      </c>
      <c r="D15" s="2399"/>
      <c r="E15" s="2399"/>
      <c r="F15" s="2399"/>
      <c r="G15" s="2399"/>
      <c r="H15" s="2399"/>
      <c r="I15" s="2399"/>
      <c r="J15" s="2399"/>
      <c r="K15" s="2477"/>
      <c r="L15" s="437"/>
      <c r="M15" s="523"/>
      <c r="O15" s="437"/>
      <c r="P15" s="437"/>
      <c r="Q15" s="437"/>
      <c r="R15" s="437"/>
      <c r="S15" s="437"/>
      <c r="T15" s="437"/>
      <c r="U15" s="437"/>
      <c r="V15" s="437"/>
      <c r="W15" s="437"/>
      <c r="X15" s="437"/>
      <c r="Y15" s="437"/>
      <c r="Z15" s="437"/>
      <c r="AA15" s="437"/>
      <c r="AB15" s="437"/>
      <c r="AC15" s="437"/>
      <c r="AD15" s="437"/>
      <c r="AE15" s="437"/>
      <c r="AF15" s="437"/>
      <c r="AI15" s="437"/>
      <c r="AJ15" s="437"/>
      <c r="AK15" s="437"/>
      <c r="AL15" s="437"/>
      <c r="AM15" s="437"/>
    </row>
    <row r="16" spans="1:39" s="437" customFormat="1">
      <c r="A16" s="5"/>
      <c r="B16" s="2601"/>
      <c r="C16" s="2598" t="s">
        <v>2740</v>
      </c>
      <c r="D16" s="2399"/>
      <c r="E16" s="2399"/>
      <c r="F16" s="2399"/>
      <c r="G16" s="2399"/>
      <c r="H16" s="2399"/>
      <c r="I16" s="2399"/>
      <c r="J16" s="2399"/>
      <c r="K16" s="2477"/>
      <c r="M16" s="523"/>
      <c r="N16" s="3995"/>
      <c r="AG16" s="3995"/>
      <c r="AH16" s="3995"/>
    </row>
    <row r="17" spans="1:39" s="3995" customFormat="1">
      <c r="A17" s="5"/>
      <c r="B17" s="2601"/>
      <c r="C17" s="2598" t="s">
        <v>2741</v>
      </c>
      <c r="D17" s="2399"/>
      <c r="E17" s="2399"/>
      <c r="F17" s="2399"/>
      <c r="G17" s="2399"/>
      <c r="H17" s="2399"/>
      <c r="I17" s="3999" t="s">
        <v>0</v>
      </c>
      <c r="J17" s="3618"/>
      <c r="K17" s="2477"/>
      <c r="L17" s="437"/>
      <c r="M17" s="523"/>
      <c r="O17" s="437"/>
      <c r="P17" s="437"/>
      <c r="Q17" s="437"/>
      <c r="R17" s="437"/>
      <c r="S17" s="437"/>
      <c r="T17" s="437"/>
      <c r="U17" s="437"/>
      <c r="V17" s="437"/>
      <c r="W17" s="437"/>
      <c r="X17" s="437"/>
      <c r="Y17" s="437"/>
      <c r="Z17" s="437"/>
      <c r="AA17" s="437"/>
      <c r="AB17" s="437"/>
      <c r="AC17" s="437"/>
      <c r="AD17" s="437"/>
      <c r="AE17" s="437"/>
      <c r="AF17" s="437"/>
      <c r="AI17" s="437"/>
      <c r="AJ17" s="437"/>
      <c r="AK17" s="437"/>
      <c r="AL17" s="437"/>
      <c r="AM17" s="437"/>
    </row>
    <row r="18" spans="1:39" s="3995" customFormat="1">
      <c r="A18" s="5"/>
      <c r="B18" s="2601"/>
      <c r="C18" s="2399"/>
      <c r="D18" s="2399"/>
      <c r="E18" s="2399"/>
      <c r="F18" s="2399"/>
      <c r="G18" s="2399"/>
      <c r="H18" s="2399"/>
      <c r="I18" s="2399"/>
      <c r="J18" s="2399"/>
      <c r="K18" s="2477"/>
      <c r="L18" s="437"/>
      <c r="M18" s="523"/>
      <c r="O18" s="437"/>
      <c r="P18" s="437"/>
      <c r="Q18" s="437"/>
      <c r="R18" s="437"/>
      <c r="S18" s="437"/>
      <c r="T18" s="437"/>
      <c r="U18" s="437"/>
      <c r="V18" s="437"/>
      <c r="W18" s="437"/>
      <c r="X18" s="437"/>
      <c r="Y18" s="437"/>
      <c r="Z18" s="437"/>
      <c r="AA18" s="437"/>
      <c r="AB18" s="437"/>
      <c r="AC18" s="437"/>
      <c r="AD18" s="437"/>
      <c r="AE18" s="437"/>
      <c r="AF18" s="437"/>
      <c r="AI18" s="437"/>
      <c r="AJ18" s="437"/>
      <c r="AK18" s="437"/>
      <c r="AL18" s="437"/>
      <c r="AM18" s="437"/>
    </row>
    <row r="19" spans="1:39" s="437" customFormat="1">
      <c r="A19" s="5"/>
      <c r="B19" s="4000" t="s">
        <v>1</v>
      </c>
      <c r="C19" s="2598" t="s">
        <v>2742</v>
      </c>
      <c r="D19" s="2399"/>
      <c r="E19" s="2399"/>
      <c r="F19" s="2399"/>
      <c r="G19" s="2399"/>
      <c r="H19" s="2399"/>
      <c r="I19" s="2399"/>
      <c r="J19" s="2399"/>
      <c r="K19" s="2477"/>
      <c r="M19" s="523"/>
      <c r="N19" s="3995"/>
      <c r="AG19" s="3995"/>
      <c r="AH19" s="3995"/>
    </row>
    <row r="20" spans="1:39" s="3995" customFormat="1">
      <c r="A20" s="5"/>
      <c r="B20" s="2601"/>
      <c r="C20" s="2598" t="s">
        <v>2743</v>
      </c>
      <c r="D20" s="2399"/>
      <c r="E20" s="2399"/>
      <c r="F20" s="2399"/>
      <c r="G20" s="2399"/>
      <c r="H20" s="2399"/>
      <c r="I20" s="2399"/>
      <c r="J20" s="2399"/>
      <c r="K20" s="2477"/>
      <c r="L20" s="437"/>
      <c r="M20" s="523"/>
      <c r="O20" s="437"/>
      <c r="P20" s="437"/>
      <c r="Q20" s="437"/>
      <c r="R20" s="437"/>
      <c r="S20" s="437"/>
      <c r="T20" s="437"/>
      <c r="U20" s="437"/>
      <c r="V20" s="437"/>
      <c r="W20" s="437"/>
      <c r="X20" s="437"/>
      <c r="Y20" s="437"/>
      <c r="Z20" s="437"/>
      <c r="AA20" s="437"/>
      <c r="AB20" s="437"/>
      <c r="AC20" s="437"/>
      <c r="AD20" s="437"/>
      <c r="AE20" s="437"/>
      <c r="AF20" s="437"/>
      <c r="AI20" s="437"/>
      <c r="AJ20" s="437"/>
      <c r="AK20" s="437"/>
      <c r="AL20" s="437"/>
      <c r="AM20" s="437"/>
    </row>
    <row r="21" spans="1:39" s="3995" customFormat="1">
      <c r="A21" s="5"/>
      <c r="B21" s="2601"/>
      <c r="C21" s="2598" t="s">
        <v>2744</v>
      </c>
      <c r="D21" s="2399"/>
      <c r="E21" s="2399"/>
      <c r="F21" s="2399"/>
      <c r="G21" s="2399"/>
      <c r="H21" s="2399"/>
      <c r="I21" s="2399"/>
      <c r="J21" s="2399"/>
      <c r="K21" s="2477"/>
      <c r="L21" s="437"/>
      <c r="M21" s="523"/>
      <c r="O21" s="437"/>
      <c r="P21" s="437"/>
      <c r="Q21" s="437"/>
      <c r="R21" s="437"/>
      <c r="S21" s="437"/>
      <c r="T21" s="437"/>
      <c r="U21" s="437"/>
      <c r="V21" s="437"/>
      <c r="W21" s="437"/>
      <c r="X21" s="437"/>
      <c r="Y21" s="437"/>
      <c r="Z21" s="437"/>
      <c r="AA21" s="437"/>
      <c r="AB21" s="437"/>
      <c r="AC21" s="437"/>
      <c r="AD21" s="437"/>
      <c r="AE21" s="437"/>
      <c r="AF21" s="437"/>
      <c r="AI21" s="437"/>
      <c r="AJ21" s="437"/>
      <c r="AK21" s="437"/>
      <c r="AL21" s="437"/>
      <c r="AM21" s="437"/>
    </row>
    <row r="22" spans="1:39" s="437" customFormat="1">
      <c r="A22" s="5"/>
      <c r="B22" s="2601"/>
      <c r="C22" s="2598" t="s">
        <v>2745</v>
      </c>
      <c r="D22" s="2399"/>
      <c r="E22" s="2399"/>
      <c r="F22" s="2399"/>
      <c r="G22" s="2399"/>
      <c r="H22" s="2399"/>
      <c r="I22" s="2399"/>
      <c r="J22" s="2399"/>
      <c r="K22" s="2477"/>
      <c r="M22" s="523"/>
      <c r="N22" s="3995"/>
      <c r="AG22" s="3995"/>
      <c r="AH22" s="3995"/>
    </row>
    <row r="23" spans="1:39" s="3995" customFormat="1">
      <c r="A23" s="5"/>
      <c r="B23" s="2601"/>
      <c r="C23" s="2598" t="s">
        <v>2746</v>
      </c>
      <c r="D23" s="2399"/>
      <c r="E23" s="2399"/>
      <c r="F23" s="2399"/>
      <c r="G23" s="2399"/>
      <c r="H23" s="2399"/>
      <c r="I23" s="3999" t="s">
        <v>1</v>
      </c>
      <c r="J23" s="3618"/>
      <c r="K23" s="2477"/>
      <c r="L23" s="437"/>
      <c r="M23" s="523"/>
      <c r="O23" s="437"/>
      <c r="P23" s="437"/>
      <c r="Q23" s="437"/>
      <c r="R23" s="437"/>
      <c r="S23" s="437"/>
      <c r="T23" s="437"/>
      <c r="U23" s="437"/>
      <c r="V23" s="437"/>
      <c r="W23" s="437"/>
      <c r="X23" s="437"/>
      <c r="Y23" s="437"/>
      <c r="Z23" s="437"/>
      <c r="AA23" s="437"/>
      <c r="AB23" s="437"/>
      <c r="AC23" s="437"/>
      <c r="AD23" s="437"/>
      <c r="AE23" s="437"/>
      <c r="AF23" s="437"/>
      <c r="AG23" s="3998"/>
      <c r="AI23" s="437"/>
      <c r="AJ23" s="437"/>
      <c r="AK23" s="437"/>
      <c r="AL23" s="437"/>
      <c r="AM23" s="437"/>
    </row>
    <row r="24" spans="1:39" s="3995" customFormat="1">
      <c r="A24" s="5"/>
      <c r="B24" s="2601"/>
      <c r="C24" s="2399"/>
      <c r="D24" s="2399"/>
      <c r="E24" s="2399"/>
      <c r="F24" s="2399"/>
      <c r="G24" s="2399"/>
      <c r="H24" s="2399"/>
      <c r="I24" s="2399"/>
      <c r="J24" s="2399"/>
      <c r="K24" s="2477"/>
      <c r="L24" s="437"/>
      <c r="M24" s="523"/>
      <c r="O24" s="437"/>
      <c r="P24" s="437"/>
      <c r="Q24" s="437"/>
      <c r="R24" s="437"/>
      <c r="S24" s="437"/>
      <c r="T24" s="437"/>
      <c r="U24" s="437"/>
      <c r="V24" s="437"/>
      <c r="W24" s="437"/>
      <c r="X24" s="437"/>
      <c r="Y24" s="437"/>
      <c r="Z24" s="437"/>
      <c r="AA24" s="437"/>
      <c r="AB24" s="437"/>
      <c r="AC24" s="437"/>
      <c r="AD24" s="437"/>
      <c r="AE24" s="437"/>
      <c r="AF24" s="437"/>
      <c r="AI24" s="437"/>
      <c r="AJ24" s="437"/>
      <c r="AK24" s="437"/>
      <c r="AL24" s="437"/>
      <c r="AM24" s="437"/>
    </row>
    <row r="25" spans="1:39" s="3995" customFormat="1">
      <c r="A25" s="5"/>
      <c r="B25" s="4000" t="s">
        <v>642</v>
      </c>
      <c r="C25" s="2598" t="s">
        <v>2739</v>
      </c>
      <c r="D25" s="2399"/>
      <c r="E25" s="2399"/>
      <c r="F25" s="2399"/>
      <c r="G25" s="2399"/>
      <c r="H25" s="2399"/>
      <c r="I25" s="2399"/>
      <c r="J25" s="2399"/>
      <c r="K25" s="2477"/>
      <c r="L25" s="437"/>
      <c r="M25" s="523"/>
      <c r="O25" s="437"/>
      <c r="P25" s="437"/>
      <c r="Q25" s="437"/>
      <c r="R25" s="437"/>
      <c r="S25" s="437"/>
      <c r="T25" s="437"/>
      <c r="U25" s="437"/>
      <c r="V25" s="437"/>
      <c r="W25" s="437"/>
      <c r="X25" s="437"/>
      <c r="Y25" s="437"/>
      <c r="Z25" s="437"/>
      <c r="AA25" s="437"/>
      <c r="AB25" s="437"/>
      <c r="AC25" s="437"/>
      <c r="AD25" s="437"/>
      <c r="AE25" s="437"/>
      <c r="AF25" s="437"/>
      <c r="AI25" s="437"/>
      <c r="AJ25" s="437"/>
      <c r="AK25" s="437"/>
      <c r="AL25" s="437"/>
      <c r="AM25" s="437"/>
    </row>
    <row r="26" spans="1:39" s="3995" customFormat="1">
      <c r="A26" s="5"/>
      <c r="B26" s="2601"/>
      <c r="C26" s="2399" t="s">
        <v>2747</v>
      </c>
      <c r="D26" s="2399"/>
      <c r="E26" s="2399"/>
      <c r="F26" s="2399"/>
      <c r="G26" s="2399"/>
      <c r="H26" s="2399"/>
      <c r="I26" s="2399"/>
      <c r="J26" s="2399"/>
      <c r="K26" s="2477"/>
      <c r="L26" s="437"/>
      <c r="M26" s="523"/>
      <c r="O26" s="437"/>
      <c r="P26" s="437"/>
      <c r="Q26" s="437"/>
      <c r="R26" s="437"/>
      <c r="S26" s="437"/>
      <c r="T26" s="437"/>
      <c r="U26" s="437"/>
      <c r="V26" s="437"/>
      <c r="W26" s="437"/>
      <c r="X26" s="437"/>
      <c r="Y26" s="437"/>
      <c r="Z26" s="437"/>
      <c r="AA26" s="437"/>
      <c r="AB26" s="437"/>
      <c r="AC26" s="437"/>
      <c r="AD26" s="437"/>
      <c r="AE26" s="437"/>
      <c r="AF26" s="437"/>
      <c r="AI26" s="437"/>
      <c r="AJ26" s="437"/>
      <c r="AK26" s="437"/>
      <c r="AL26" s="437"/>
      <c r="AM26" s="437"/>
    </row>
    <row r="27" spans="1:39" s="3995" customFormat="1">
      <c r="A27" s="5"/>
      <c r="B27" s="2601"/>
      <c r="C27" s="2399" t="s">
        <v>2477</v>
      </c>
      <c r="D27" s="2399"/>
      <c r="E27" s="2399"/>
      <c r="F27" s="2399"/>
      <c r="G27" s="2399"/>
      <c r="H27" s="2399"/>
      <c r="I27" s="2399"/>
      <c r="J27" s="2399"/>
      <c r="K27" s="2477"/>
      <c r="L27" s="437"/>
      <c r="M27" s="523"/>
      <c r="O27" s="437"/>
      <c r="P27" s="437"/>
      <c r="Q27" s="437"/>
      <c r="R27" s="437"/>
      <c r="S27" s="437"/>
      <c r="T27" s="437"/>
      <c r="U27" s="437"/>
      <c r="V27" s="437"/>
      <c r="W27" s="437"/>
      <c r="X27" s="437"/>
      <c r="Y27" s="437"/>
      <c r="Z27" s="437"/>
      <c r="AA27" s="437"/>
      <c r="AB27" s="437"/>
      <c r="AC27" s="437"/>
      <c r="AD27" s="437"/>
      <c r="AE27" s="437"/>
      <c r="AF27" s="437"/>
      <c r="AI27" s="437"/>
      <c r="AJ27" s="437"/>
      <c r="AK27" s="437"/>
      <c r="AL27" s="437"/>
      <c r="AM27" s="437"/>
    </row>
    <row r="28" spans="1:39" s="3995" customFormat="1">
      <c r="A28" s="5"/>
      <c r="B28" s="2601"/>
      <c r="C28" s="2399" t="s">
        <v>2748</v>
      </c>
      <c r="D28" s="2399"/>
      <c r="E28" s="2399"/>
      <c r="F28" s="2399"/>
      <c r="G28" s="2399"/>
      <c r="H28" s="2399"/>
      <c r="I28" s="2399"/>
      <c r="J28" s="2399"/>
      <c r="K28" s="2477"/>
      <c r="L28" s="437"/>
      <c r="M28" s="523"/>
      <c r="O28" s="437"/>
      <c r="P28" s="437"/>
      <c r="Q28" s="437"/>
      <c r="R28" s="437"/>
      <c r="S28" s="437"/>
      <c r="T28" s="437"/>
      <c r="U28" s="437"/>
      <c r="V28" s="437"/>
      <c r="W28" s="437"/>
      <c r="X28" s="437"/>
      <c r="Y28" s="437"/>
      <c r="Z28" s="437"/>
      <c r="AA28" s="437"/>
      <c r="AB28" s="437"/>
      <c r="AC28" s="437"/>
      <c r="AD28" s="437"/>
      <c r="AE28" s="437"/>
      <c r="AF28" s="437"/>
      <c r="AI28" s="437"/>
      <c r="AJ28" s="437"/>
      <c r="AK28" s="437"/>
      <c r="AL28" s="437"/>
      <c r="AM28" s="437"/>
    </row>
    <row r="29" spans="1:39" s="3995" customFormat="1">
      <c r="A29" s="5"/>
      <c r="B29" s="2601"/>
      <c r="C29" s="2399" t="s">
        <v>2749</v>
      </c>
      <c r="D29" s="2399"/>
      <c r="E29" s="2399"/>
      <c r="F29" s="2399"/>
      <c r="G29" s="2399"/>
      <c r="H29" s="2399"/>
      <c r="I29" s="2399"/>
      <c r="J29" s="2399"/>
      <c r="K29" s="2477"/>
      <c r="L29" s="437"/>
      <c r="M29" s="523"/>
      <c r="O29" s="437"/>
      <c r="P29" s="437"/>
      <c r="Q29" s="437"/>
      <c r="R29" s="437"/>
      <c r="S29" s="437"/>
      <c r="T29" s="437"/>
      <c r="U29" s="437"/>
      <c r="V29" s="437"/>
      <c r="W29" s="437"/>
      <c r="X29" s="437"/>
      <c r="Y29" s="437"/>
      <c r="Z29" s="437"/>
      <c r="AA29" s="437"/>
      <c r="AB29" s="437"/>
      <c r="AC29" s="437"/>
      <c r="AD29" s="437"/>
      <c r="AE29" s="437"/>
      <c r="AF29" s="437"/>
      <c r="AI29" s="437"/>
      <c r="AJ29" s="437"/>
      <c r="AK29" s="437"/>
      <c r="AL29" s="437"/>
      <c r="AM29" s="437"/>
    </row>
    <row r="30" spans="1:39" s="3995" customFormat="1">
      <c r="A30" s="5"/>
      <c r="B30" s="2601"/>
      <c r="C30" s="2399" t="s">
        <v>2750</v>
      </c>
      <c r="D30" s="2399"/>
      <c r="E30" s="2399"/>
      <c r="F30" s="2399"/>
      <c r="G30" s="2399"/>
      <c r="H30" s="2399"/>
      <c r="I30" s="2399"/>
      <c r="J30" s="2399"/>
      <c r="K30" s="2477"/>
      <c r="L30" s="437"/>
      <c r="M30" s="523"/>
      <c r="O30" s="437"/>
      <c r="P30" s="437"/>
      <c r="Q30" s="437"/>
      <c r="R30" s="437"/>
      <c r="S30" s="437"/>
      <c r="T30" s="437"/>
      <c r="U30" s="437"/>
      <c r="V30" s="437"/>
      <c r="W30" s="437"/>
      <c r="X30" s="437"/>
      <c r="Y30" s="437"/>
      <c r="Z30" s="437"/>
      <c r="AA30" s="437"/>
      <c r="AB30" s="437"/>
      <c r="AC30" s="437"/>
      <c r="AD30" s="437"/>
      <c r="AE30" s="437"/>
      <c r="AF30" s="437"/>
      <c r="AI30" s="437"/>
      <c r="AJ30" s="437"/>
      <c r="AK30" s="437"/>
      <c r="AL30" s="437"/>
      <c r="AM30" s="437"/>
    </row>
    <row r="31" spans="1:39" s="3995" customFormat="1">
      <c r="A31" s="5"/>
      <c r="B31" s="2601"/>
      <c r="C31" s="2399" t="s">
        <v>2751</v>
      </c>
      <c r="D31" s="2399"/>
      <c r="E31" s="2399"/>
      <c r="F31" s="2399"/>
      <c r="G31" s="2399"/>
      <c r="H31" s="2399"/>
      <c r="I31" s="2399"/>
      <c r="J31" s="2399"/>
      <c r="K31" s="2477"/>
      <c r="L31" s="437"/>
      <c r="M31" s="523"/>
      <c r="O31" s="437"/>
      <c r="P31" s="437"/>
      <c r="Q31" s="437"/>
      <c r="R31" s="437"/>
      <c r="S31" s="437"/>
      <c r="T31" s="437"/>
      <c r="U31" s="437"/>
      <c r="V31" s="437"/>
      <c r="W31" s="437"/>
      <c r="X31" s="437"/>
      <c r="Y31" s="437"/>
      <c r="Z31" s="437"/>
      <c r="AA31" s="437"/>
      <c r="AB31" s="437"/>
      <c r="AC31" s="437"/>
      <c r="AD31" s="437"/>
      <c r="AE31" s="437"/>
      <c r="AF31" s="437"/>
      <c r="AI31" s="437"/>
      <c r="AJ31" s="437"/>
      <c r="AK31" s="437"/>
      <c r="AL31" s="437"/>
      <c r="AM31" s="437"/>
    </row>
    <row r="32" spans="1:39" s="437" customFormat="1">
      <c r="A32" s="5"/>
      <c r="B32" s="2601"/>
      <c r="C32" s="2399" t="s">
        <v>2752</v>
      </c>
      <c r="D32" s="2399"/>
      <c r="E32" s="2399"/>
      <c r="F32" s="2399"/>
      <c r="G32" s="2399"/>
      <c r="H32" s="2399"/>
      <c r="I32" s="2399"/>
      <c r="J32" s="2399"/>
      <c r="K32" s="2477"/>
      <c r="M32" s="523"/>
      <c r="N32" s="3995"/>
      <c r="AG32" s="3995"/>
      <c r="AH32" s="3995"/>
    </row>
    <row r="33" spans="1:39" s="3995" customFormat="1">
      <c r="A33" s="5"/>
      <c r="B33" s="2601"/>
      <c r="C33" s="2598" t="s">
        <v>2753</v>
      </c>
      <c r="D33" s="2399"/>
      <c r="E33" s="2399"/>
      <c r="F33" s="2399"/>
      <c r="G33" s="2399"/>
      <c r="H33" s="2399"/>
      <c r="I33" s="3999" t="s">
        <v>642</v>
      </c>
      <c r="J33" s="3618"/>
      <c r="K33" s="2477"/>
      <c r="L33" s="437"/>
      <c r="M33" s="523"/>
      <c r="O33" s="437"/>
      <c r="P33" s="437"/>
      <c r="Q33" s="437"/>
      <c r="R33" s="437"/>
      <c r="S33" s="437"/>
      <c r="T33" s="437"/>
      <c r="U33" s="437"/>
      <c r="V33" s="437"/>
      <c r="W33" s="437"/>
      <c r="X33" s="437"/>
      <c r="Y33" s="437"/>
      <c r="Z33" s="437"/>
      <c r="AA33" s="437"/>
      <c r="AB33" s="437"/>
      <c r="AC33" s="437"/>
      <c r="AD33" s="437"/>
      <c r="AE33" s="437"/>
      <c r="AF33" s="437"/>
      <c r="AG33" s="3998"/>
      <c r="AI33" s="437"/>
      <c r="AJ33" s="437"/>
      <c r="AK33" s="437"/>
      <c r="AL33" s="437"/>
      <c r="AM33" s="437"/>
    </row>
    <row r="34" spans="1:39" s="437" customFormat="1">
      <c r="A34" s="5"/>
      <c r="B34" s="2601"/>
      <c r="C34" s="2399"/>
      <c r="D34" s="2399"/>
      <c r="E34" s="2399"/>
      <c r="F34" s="2399"/>
      <c r="G34" s="2399"/>
      <c r="H34" s="2399"/>
      <c r="I34" s="2399"/>
      <c r="J34" s="2399"/>
      <c r="K34" s="2477"/>
      <c r="M34" s="523"/>
      <c r="N34" s="3995"/>
      <c r="AG34" s="3995"/>
      <c r="AH34" s="3995"/>
    </row>
    <row r="35" spans="1:39" s="437" customFormat="1">
      <c r="A35" s="5"/>
      <c r="B35" s="4000" t="s">
        <v>53</v>
      </c>
      <c r="C35" s="2399" t="s">
        <v>2739</v>
      </c>
      <c r="D35" s="2399"/>
      <c r="E35" s="2399"/>
      <c r="F35" s="2399"/>
      <c r="G35" s="2399"/>
      <c r="H35" s="2399"/>
      <c r="I35" s="2399"/>
      <c r="J35" s="2399"/>
      <c r="K35" s="2477"/>
      <c r="M35" s="523"/>
      <c r="N35" s="3995"/>
      <c r="P35" s="1215"/>
      <c r="Q35" s="1215"/>
      <c r="R35" s="1215"/>
      <c r="S35" s="1215"/>
      <c r="T35" s="1215"/>
      <c r="U35" s="1215"/>
      <c r="AG35" s="3995"/>
      <c r="AH35" s="3995"/>
    </row>
    <row r="36" spans="1:39" s="437" customFormat="1">
      <c r="A36" s="5"/>
      <c r="B36" s="2601"/>
      <c r="C36" s="2399" t="s">
        <v>2754</v>
      </c>
      <c r="D36" s="2399"/>
      <c r="E36" s="2399"/>
      <c r="F36" s="2399"/>
      <c r="G36" s="2399"/>
      <c r="H36" s="2399"/>
      <c r="I36" s="2399"/>
      <c r="J36" s="2399"/>
      <c r="K36" s="2477"/>
      <c r="M36" s="523"/>
      <c r="N36" s="3995"/>
      <c r="P36" s="1215"/>
      <c r="Q36" s="1215"/>
      <c r="R36" s="1215"/>
      <c r="S36" s="1215"/>
      <c r="T36" s="1215"/>
      <c r="U36" s="1215"/>
      <c r="AG36" s="3995"/>
      <c r="AH36" s="3995"/>
    </row>
    <row r="37" spans="1:39" s="437" customFormat="1">
      <c r="A37" s="5"/>
      <c r="B37" s="2601"/>
      <c r="C37" s="2399" t="s">
        <v>2755</v>
      </c>
      <c r="D37" s="2399"/>
      <c r="E37" s="2399"/>
      <c r="F37" s="2399"/>
      <c r="G37" s="2399"/>
      <c r="H37" s="2399"/>
      <c r="I37" s="2399"/>
      <c r="J37" s="2399"/>
      <c r="K37" s="2477"/>
      <c r="M37" s="523"/>
      <c r="N37" s="3995"/>
      <c r="P37" s="1215"/>
      <c r="Q37" s="1215"/>
      <c r="R37" s="1215"/>
      <c r="S37" s="1215"/>
      <c r="T37" s="1215"/>
      <c r="U37" s="1215"/>
      <c r="AG37" s="3995"/>
      <c r="AH37" s="3995"/>
    </row>
    <row r="38" spans="1:39" s="437" customFormat="1">
      <c r="A38" s="5"/>
      <c r="B38" s="2601"/>
      <c r="C38" s="2399" t="s">
        <v>2756</v>
      </c>
      <c r="D38" s="2399"/>
      <c r="E38" s="2399"/>
      <c r="F38" s="2399"/>
      <c r="G38" s="2399"/>
      <c r="H38" s="2399"/>
      <c r="I38" s="3999" t="s">
        <v>53</v>
      </c>
      <c r="J38" s="3618"/>
      <c r="K38" s="2477"/>
      <c r="M38" s="523"/>
      <c r="N38" s="3995"/>
      <c r="P38" s="1215"/>
      <c r="Q38" s="1215"/>
      <c r="R38" s="1215"/>
      <c r="S38" s="1215"/>
      <c r="T38" s="1215"/>
      <c r="U38" s="1215"/>
      <c r="AG38" s="3995"/>
      <c r="AH38" s="3995"/>
    </row>
    <row r="39" spans="1:39" s="437" customFormat="1">
      <c r="A39" s="5"/>
      <c r="B39" s="2601"/>
      <c r="C39" s="2399"/>
      <c r="D39" s="2399"/>
      <c r="E39" s="2399"/>
      <c r="F39" s="2399"/>
      <c r="G39" s="2399"/>
      <c r="H39" s="2399"/>
      <c r="I39" s="2399"/>
      <c r="J39" s="2399"/>
      <c r="K39" s="2477"/>
      <c r="M39" s="523"/>
      <c r="N39" s="3995"/>
      <c r="P39" s="1215"/>
      <c r="Q39" s="1215"/>
      <c r="R39" s="1215"/>
      <c r="S39" s="1215"/>
      <c r="T39" s="1215"/>
      <c r="U39" s="1215"/>
      <c r="V39" s="3996"/>
      <c r="X39" s="3996"/>
      <c r="AG39" s="3995"/>
      <c r="AH39" s="3995"/>
    </row>
    <row r="40" spans="1:39" s="437" customFormat="1">
      <c r="A40" s="5"/>
      <c r="B40" s="4000" t="s">
        <v>122</v>
      </c>
      <c r="C40" s="2598" t="s">
        <v>2757</v>
      </c>
      <c r="D40" s="2399"/>
      <c r="E40" s="2399"/>
      <c r="F40" s="2399"/>
      <c r="G40" s="2399"/>
      <c r="H40" s="2399"/>
      <c r="I40" s="3999" t="s">
        <v>122</v>
      </c>
      <c r="J40" s="3994">
        <f>SUM(J17,J23,J33,J38)</f>
        <v>0</v>
      </c>
      <c r="K40" s="2477"/>
      <c r="M40" s="523"/>
      <c r="N40" s="3995"/>
      <c r="P40" s="1215"/>
      <c r="Q40" s="1215"/>
      <c r="R40" s="1215"/>
      <c r="S40" s="1215"/>
      <c r="T40" s="1215"/>
      <c r="U40" s="1215"/>
      <c r="V40" s="3996"/>
      <c r="X40" s="3996"/>
      <c r="AG40" s="3995"/>
      <c r="AH40" s="3995"/>
    </row>
    <row r="41" spans="1:39" s="437" customFormat="1">
      <c r="A41" s="5"/>
      <c r="B41" s="2601"/>
      <c r="C41" s="2399"/>
      <c r="D41" s="2399"/>
      <c r="E41" s="2399"/>
      <c r="F41" s="2399"/>
      <c r="G41" s="2399"/>
      <c r="H41" s="2399"/>
      <c r="I41" s="2399"/>
      <c r="J41" s="2399"/>
      <c r="K41" s="2477"/>
      <c r="M41" s="523"/>
      <c r="N41" s="3995"/>
      <c r="P41" s="1215"/>
      <c r="Q41" s="1215"/>
      <c r="R41" s="1215"/>
      <c r="S41" s="1215"/>
      <c r="T41" s="1215"/>
      <c r="U41" s="1215"/>
      <c r="AG41" s="3995"/>
      <c r="AH41" s="3995"/>
    </row>
    <row r="42" spans="1:39" s="437" customFormat="1">
      <c r="A42" s="5"/>
      <c r="B42" s="4000" t="s">
        <v>123</v>
      </c>
      <c r="C42" s="2598" t="s">
        <v>2767</v>
      </c>
      <c r="D42" s="2399"/>
      <c r="E42" s="2399"/>
      <c r="F42" s="2399"/>
      <c r="G42" s="2399"/>
      <c r="H42" s="2399"/>
      <c r="I42" s="3999" t="s">
        <v>123</v>
      </c>
      <c r="J42" s="3994">
        <f>SUM(J13,-J40)</f>
        <v>0</v>
      </c>
      <c r="K42" s="2477"/>
      <c r="M42" s="523"/>
      <c r="N42" s="3995"/>
      <c r="P42" s="1215"/>
      <c r="Q42" s="1215"/>
      <c r="R42" s="1215"/>
      <c r="S42" s="1215"/>
      <c r="T42" s="1215"/>
      <c r="U42" s="1215"/>
      <c r="AG42" s="3995"/>
      <c r="AH42" s="3995"/>
    </row>
    <row r="43" spans="1:39" s="437" customFormat="1">
      <c r="A43" s="5"/>
      <c r="B43" s="2601"/>
      <c r="C43" s="2399"/>
      <c r="D43" s="2399"/>
      <c r="E43" s="2399"/>
      <c r="F43" s="2399"/>
      <c r="G43" s="2399"/>
      <c r="H43" s="2399"/>
      <c r="I43" s="2399"/>
      <c r="J43" s="2399"/>
      <c r="K43" s="2477"/>
      <c r="M43" s="523"/>
      <c r="N43" s="3995"/>
      <c r="P43" s="1215"/>
      <c r="Q43" s="1215"/>
      <c r="R43" s="1215"/>
      <c r="S43" s="1215"/>
      <c r="T43" s="1215"/>
      <c r="U43" s="1215"/>
      <c r="AG43" s="3995"/>
      <c r="AH43" s="3995"/>
    </row>
    <row r="44" spans="1:39" s="437" customFormat="1">
      <c r="A44" s="5"/>
      <c r="B44" s="4000" t="s">
        <v>338</v>
      </c>
      <c r="C44" s="2399" t="s">
        <v>2768</v>
      </c>
      <c r="D44" s="2399"/>
      <c r="E44" s="2399"/>
      <c r="F44" s="2399"/>
      <c r="G44" s="2399"/>
      <c r="H44" s="2399"/>
      <c r="I44" s="2399"/>
      <c r="J44" s="2399"/>
      <c r="K44" s="2477"/>
      <c r="M44" s="523"/>
      <c r="N44" s="3995"/>
      <c r="P44" s="1215"/>
      <c r="Q44" s="1215"/>
      <c r="R44" s="1215"/>
      <c r="S44" s="1215"/>
      <c r="T44" s="1215"/>
      <c r="U44" s="1215"/>
      <c r="AG44" s="3995"/>
      <c r="AH44" s="3995"/>
    </row>
    <row r="45" spans="1:39" s="437" customFormat="1">
      <c r="A45" s="5"/>
      <c r="B45" s="2601"/>
      <c r="C45" s="2399" t="s">
        <v>2769</v>
      </c>
      <c r="D45" s="2399"/>
      <c r="E45" s="2399"/>
      <c r="F45" s="2399"/>
      <c r="G45" s="2399"/>
      <c r="H45" s="2399"/>
      <c r="I45" s="2399"/>
      <c r="J45" s="2399"/>
      <c r="K45" s="2477"/>
      <c r="M45" s="523"/>
      <c r="N45" s="3995"/>
      <c r="AG45" s="3995"/>
      <c r="AH45" s="3995"/>
    </row>
    <row r="46" spans="1:39" s="437" customFormat="1">
      <c r="A46" s="5"/>
      <c r="B46" s="2601"/>
      <c r="C46" s="2598" t="s">
        <v>2771</v>
      </c>
      <c r="D46" s="2399"/>
      <c r="E46" s="2399"/>
      <c r="F46" s="2399"/>
      <c r="G46" s="2399"/>
      <c r="H46" s="2399"/>
      <c r="I46" s="2399"/>
      <c r="J46" s="2399"/>
      <c r="K46" s="2477"/>
      <c r="M46" s="523"/>
      <c r="N46" s="3995"/>
      <c r="AG46" s="3995"/>
      <c r="AH46" s="3995"/>
    </row>
    <row r="47" spans="1:39" s="437" customFormat="1">
      <c r="A47" s="5"/>
      <c r="B47" s="2601"/>
      <c r="C47" s="2598" t="s">
        <v>2770</v>
      </c>
      <c r="D47" s="2399"/>
      <c r="E47" s="2399"/>
      <c r="F47" s="2399"/>
      <c r="G47" s="2399"/>
      <c r="H47" s="2399"/>
      <c r="I47" s="3999" t="s">
        <v>338</v>
      </c>
      <c r="J47" s="3618"/>
      <c r="K47" s="2477"/>
      <c r="M47" s="523"/>
      <c r="N47" s="3995"/>
      <c r="AG47" s="3995"/>
      <c r="AH47" s="3995"/>
    </row>
    <row r="48" spans="1:39" s="437" customFormat="1" ht="15" customHeight="1">
      <c r="A48" s="5"/>
      <c r="B48" s="2601"/>
      <c r="C48" s="2598"/>
      <c r="D48" s="2399"/>
      <c r="E48" s="2399"/>
      <c r="F48" s="2399"/>
      <c r="G48" s="2399"/>
      <c r="H48" s="2399"/>
      <c r="I48" s="3999"/>
      <c r="J48" s="2399"/>
      <c r="K48" s="2477"/>
      <c r="M48" s="523"/>
      <c r="N48" s="3995"/>
      <c r="AG48" s="3995"/>
      <c r="AH48" s="3995"/>
    </row>
    <row r="49" spans="1:34" s="437" customFormat="1">
      <c r="A49" s="5"/>
      <c r="B49" s="2601"/>
      <c r="C49" s="2598"/>
      <c r="D49" s="5003" t="s">
        <v>3314</v>
      </c>
      <c r="E49" s="5004"/>
      <c r="F49" s="5004"/>
      <c r="G49" s="5004"/>
      <c r="H49" s="5004"/>
      <c r="I49" s="5004"/>
      <c r="J49" s="5004"/>
      <c r="K49" s="2477"/>
      <c r="M49" s="523"/>
      <c r="N49" s="3995"/>
      <c r="AG49" s="3995"/>
      <c r="AH49" s="3995"/>
    </row>
    <row r="50" spans="1:34" s="437" customFormat="1">
      <c r="A50" s="5"/>
      <c r="B50" s="2601"/>
      <c r="C50" s="2598"/>
      <c r="D50" s="5004"/>
      <c r="E50" s="5004"/>
      <c r="F50" s="5004"/>
      <c r="G50" s="5004"/>
      <c r="H50" s="5004"/>
      <c r="I50" s="5004"/>
      <c r="J50" s="5004"/>
      <c r="K50" s="2477"/>
      <c r="M50" s="523"/>
      <c r="N50" s="3995"/>
      <c r="AG50" s="3995"/>
      <c r="AH50" s="3995"/>
    </row>
    <row r="51" spans="1:34" s="437" customFormat="1">
      <c r="A51" s="5"/>
      <c r="B51" s="2601"/>
      <c r="C51" s="4001"/>
      <c r="D51" s="5004"/>
      <c r="E51" s="5004"/>
      <c r="F51" s="5004"/>
      <c r="G51" s="5004"/>
      <c r="H51" s="5004"/>
      <c r="I51" s="5004"/>
      <c r="J51" s="5004"/>
      <c r="K51" s="2477"/>
      <c r="M51" s="523"/>
      <c r="N51" s="3995"/>
      <c r="AG51" s="3995"/>
      <c r="AH51" s="3995"/>
    </row>
    <row r="52" spans="1:34" s="437" customFormat="1">
      <c r="A52" s="5"/>
      <c r="B52" s="2601"/>
      <c r="C52" s="4001"/>
      <c r="D52" s="5004"/>
      <c r="E52" s="5004"/>
      <c r="F52" s="5004"/>
      <c r="G52" s="5004"/>
      <c r="H52" s="5004"/>
      <c r="I52" s="5004"/>
      <c r="J52" s="5004"/>
      <c r="K52" s="2477"/>
      <c r="M52" s="3996" t="s">
        <v>149</v>
      </c>
      <c r="N52" s="3995"/>
      <c r="AG52" s="3995"/>
      <c r="AH52" s="3995"/>
    </row>
    <row r="53" spans="1:34" s="437" customFormat="1" ht="13.5" thickBot="1">
      <c r="A53" s="5"/>
      <c r="B53" s="2601"/>
      <c r="C53" s="2598"/>
      <c r="D53" s="2399"/>
      <c r="E53" s="2399"/>
      <c r="F53" s="2399"/>
      <c r="G53" s="2399"/>
      <c r="H53" s="2399"/>
      <c r="I53" s="3999"/>
      <c r="J53" s="2399"/>
      <c r="K53" s="2477"/>
      <c r="M53" s="3996" t="s">
        <v>661</v>
      </c>
      <c r="N53" s="3995"/>
      <c r="AG53" s="3995"/>
      <c r="AH53" s="3995"/>
    </row>
    <row r="54" spans="1:34" s="437" customFormat="1" ht="13.5" thickBot="1">
      <c r="A54" s="5"/>
      <c r="B54" s="4000" t="s">
        <v>339</v>
      </c>
      <c r="C54" s="2598" t="s">
        <v>3309</v>
      </c>
      <c r="D54" s="2399"/>
      <c r="E54" s="2399"/>
      <c r="F54" s="2399"/>
      <c r="G54" s="2399"/>
      <c r="H54" s="2399"/>
      <c r="I54" s="3999" t="s">
        <v>339</v>
      </c>
      <c r="J54" s="3994">
        <f>IF(M54&lt;&gt;"",ROUND(M54,0),'1040'!AB45)</f>
        <v>0</v>
      </c>
      <c r="K54" s="2477"/>
      <c r="M54" s="3997"/>
      <c r="N54" s="3995"/>
      <c r="AG54" s="3995"/>
      <c r="AH54" s="3995">
        <v>65</v>
      </c>
    </row>
    <row r="55" spans="1:34" s="437" customFormat="1" ht="13.5" thickBot="1">
      <c r="A55" s="5"/>
      <c r="B55" s="2601"/>
      <c r="C55" s="2598"/>
      <c r="D55" s="2399"/>
      <c r="E55" s="2399"/>
      <c r="F55" s="2399"/>
      <c r="G55" s="2399"/>
      <c r="H55" s="2399"/>
      <c r="I55" s="3999"/>
      <c r="J55" s="2399"/>
      <c r="K55" s="2477"/>
      <c r="M55" s="523"/>
      <c r="N55" s="3995"/>
      <c r="AG55" s="3995"/>
      <c r="AH55" s="3995"/>
    </row>
    <row r="56" spans="1:34" s="437" customFormat="1" ht="13.5" thickBot="1">
      <c r="A56" s="5"/>
      <c r="B56" s="4000" t="s">
        <v>477</v>
      </c>
      <c r="C56" s="2598" t="s">
        <v>3310</v>
      </c>
      <c r="D56" s="2399"/>
      <c r="E56" s="2399"/>
      <c r="F56" s="2399"/>
      <c r="G56" s="2399"/>
      <c r="H56" s="2399"/>
      <c r="I56" s="3999" t="s">
        <v>477</v>
      </c>
      <c r="J56" s="3994">
        <f>IF(M56&lt;&gt;"",ROUND(M56,0),'1040'!AB51)</f>
        <v>0</v>
      </c>
      <c r="K56" s="2477"/>
      <c r="M56" s="3997"/>
      <c r="N56" s="3995"/>
      <c r="AG56" s="3995"/>
      <c r="AH56" s="3995">
        <v>65</v>
      </c>
    </row>
    <row r="57" spans="1:34" s="437" customFormat="1">
      <c r="A57" s="5"/>
      <c r="B57" s="2601"/>
      <c r="C57" s="4001"/>
      <c r="D57" s="2399"/>
      <c r="E57" s="2399"/>
      <c r="F57" s="2399"/>
      <c r="G57" s="2399"/>
      <c r="H57" s="2399"/>
      <c r="I57" s="3999"/>
      <c r="J57" s="2399"/>
      <c r="K57" s="2477"/>
      <c r="M57" s="523"/>
      <c r="O57" s="3996"/>
      <c r="Q57" s="3996"/>
      <c r="AG57" s="3995"/>
      <c r="AH57" s="3995"/>
    </row>
    <row r="58" spans="1:34" s="437" customFormat="1">
      <c r="A58" s="5"/>
      <c r="B58" s="4000" t="s">
        <v>478</v>
      </c>
      <c r="C58" s="2598" t="s">
        <v>3313</v>
      </c>
      <c r="D58" s="2399"/>
      <c r="E58" s="2399"/>
      <c r="F58" s="2399"/>
      <c r="G58" s="2399"/>
      <c r="H58" s="2399"/>
      <c r="I58" s="3999" t="s">
        <v>478</v>
      </c>
      <c r="J58" s="3994">
        <f>ROUND(SUM(J42,J47,J54,J56),0)</f>
        <v>0</v>
      </c>
      <c r="K58" s="2477"/>
      <c r="M58" s="523"/>
      <c r="N58" s="3995"/>
      <c r="AG58" s="3995"/>
      <c r="AH58" s="3995"/>
    </row>
    <row r="59" spans="1:34" s="437" customFormat="1" ht="13.5" thickBot="1">
      <c r="A59" s="5"/>
      <c r="B59" s="2601"/>
      <c r="C59" s="2598"/>
      <c r="D59" s="2399"/>
      <c r="E59" s="2399"/>
      <c r="F59" s="2399"/>
      <c r="G59" s="2399"/>
      <c r="H59" s="2399"/>
      <c r="I59" s="3999"/>
      <c r="J59" s="2399"/>
      <c r="K59" s="2477"/>
      <c r="M59" s="523"/>
      <c r="N59" s="3995"/>
      <c r="AG59" s="3995"/>
      <c r="AH59" s="3995"/>
    </row>
    <row r="60" spans="1:34" s="437" customFormat="1" ht="13.5" thickBot="1">
      <c r="A60" s="5"/>
      <c r="B60" s="4000" t="s">
        <v>479</v>
      </c>
      <c r="C60" s="2598" t="s">
        <v>3311</v>
      </c>
      <c r="D60" s="2399"/>
      <c r="E60" s="2399"/>
      <c r="F60" s="2399"/>
      <c r="G60" s="2399"/>
      <c r="H60" s="2399"/>
      <c r="I60" s="3999" t="s">
        <v>479</v>
      </c>
      <c r="J60" s="3994">
        <f>IF(M60&lt;&gt;"",ROUND(M60,0),'1040'!V60)</f>
        <v>0</v>
      </c>
      <c r="K60" s="2477"/>
      <c r="M60" s="3997"/>
      <c r="N60" s="3995"/>
      <c r="AG60" s="3995"/>
      <c r="AH60" s="3995">
        <v>65</v>
      </c>
    </row>
    <row r="61" spans="1:34" s="437" customFormat="1">
      <c r="A61" s="5"/>
      <c r="B61" s="2601"/>
      <c r="C61" s="4001"/>
      <c r="D61" s="2399"/>
      <c r="E61" s="2399"/>
      <c r="F61" s="2399"/>
      <c r="G61" s="2399"/>
      <c r="H61" s="2399"/>
      <c r="I61" s="3999"/>
      <c r="J61" s="2399"/>
      <c r="K61" s="2477"/>
      <c r="M61" s="523"/>
      <c r="O61" s="3996"/>
      <c r="Q61" s="3996"/>
      <c r="AG61" s="3995"/>
      <c r="AH61" s="3995"/>
    </row>
    <row r="62" spans="1:34" s="437" customFormat="1" ht="13.5" thickBot="1">
      <c r="A62" s="5"/>
      <c r="B62" s="4000" t="s">
        <v>695</v>
      </c>
      <c r="C62" s="2598" t="s">
        <v>3315</v>
      </c>
      <c r="D62" s="2399"/>
      <c r="E62" s="2399"/>
      <c r="F62" s="2399"/>
      <c r="G62" s="2399"/>
      <c r="H62" s="2399"/>
      <c r="I62" s="2399"/>
      <c r="J62" s="2399"/>
      <c r="K62" s="2477"/>
      <c r="M62" s="523"/>
      <c r="N62" s="3995"/>
      <c r="AG62" s="3995"/>
      <c r="AH62" s="3995"/>
    </row>
    <row r="63" spans="1:34" s="437" customFormat="1" ht="13.5" thickBot="1">
      <c r="A63" s="5"/>
      <c r="B63" s="2601"/>
      <c r="C63" s="3145" t="s">
        <v>3312</v>
      </c>
      <c r="D63" s="2399"/>
      <c r="E63" s="2399"/>
      <c r="F63" s="2399"/>
      <c r="G63" s="2399"/>
      <c r="H63" s="2399"/>
      <c r="I63" s="3999" t="s">
        <v>695</v>
      </c>
      <c r="J63" s="3994">
        <f>IF(M63&lt;&gt;"",ROUND(M63,0),SUM(J58,-J60))</f>
        <v>0</v>
      </c>
      <c r="K63" s="2477"/>
      <c r="M63" s="3997"/>
      <c r="O63" s="3996"/>
      <c r="Q63" s="3996"/>
      <c r="AG63" s="3995"/>
      <c r="AH63" s="3995"/>
    </row>
    <row r="64" spans="1:34" s="437" customFormat="1">
      <c r="A64" s="5"/>
      <c r="B64" s="2601"/>
      <c r="C64" s="3145"/>
      <c r="D64" s="2399"/>
      <c r="E64" s="2399"/>
      <c r="F64" s="2399"/>
      <c r="G64" s="2399"/>
      <c r="H64" s="2399"/>
      <c r="I64" s="3999"/>
      <c r="J64" s="2399"/>
      <c r="K64" s="2477"/>
      <c r="M64" s="523"/>
      <c r="O64" s="3996"/>
      <c r="Q64" s="3996"/>
      <c r="AG64" s="3995"/>
      <c r="AH64" s="3995"/>
    </row>
    <row r="65" spans="1:34" s="437" customFormat="1">
      <c r="A65" s="5"/>
      <c r="B65" s="2601"/>
      <c r="C65" s="3145"/>
      <c r="D65" s="2399"/>
      <c r="E65" s="2399"/>
      <c r="F65" s="2399"/>
      <c r="G65" s="2399"/>
      <c r="H65" s="2399"/>
      <c r="I65" s="3999"/>
      <c r="J65" s="2399"/>
      <c r="K65" s="2477"/>
      <c r="M65" s="523"/>
      <c r="O65" s="3996"/>
      <c r="Q65" s="3996"/>
      <c r="AG65" s="3995"/>
      <c r="AH65" s="3995"/>
    </row>
    <row r="66" spans="1:34" s="437" customFormat="1">
      <c r="A66" s="5"/>
      <c r="B66" s="2601"/>
      <c r="C66" s="4001" t="s">
        <v>3316</v>
      </c>
      <c r="D66" s="2399"/>
      <c r="E66" s="2399"/>
      <c r="F66" s="2399"/>
      <c r="G66" s="2399"/>
      <c r="H66" s="2399"/>
      <c r="I66" s="3999"/>
      <c r="J66" s="2399"/>
      <c r="K66" s="2477"/>
      <c r="M66" s="523"/>
      <c r="O66" s="3996"/>
      <c r="Q66" s="3996"/>
      <c r="AG66" s="3995"/>
      <c r="AH66" s="3995"/>
    </row>
    <row r="67" spans="1:34" s="437" customFormat="1" ht="6.75" customHeight="1">
      <c r="A67" s="5"/>
      <c r="B67" s="2601"/>
      <c r="C67" s="3145"/>
      <c r="D67" s="2399"/>
      <c r="E67" s="2399"/>
      <c r="F67" s="2399"/>
      <c r="G67" s="2399"/>
      <c r="H67" s="2399"/>
      <c r="I67" s="3999"/>
      <c r="J67" s="2399"/>
      <c r="K67" s="2477"/>
      <c r="M67" s="523"/>
      <c r="O67" s="3996"/>
      <c r="Q67" s="3996"/>
      <c r="AG67" s="3995"/>
      <c r="AH67" s="3995"/>
    </row>
    <row r="68" spans="1:34" s="437" customFormat="1">
      <c r="A68" s="5"/>
      <c r="B68" s="2601"/>
      <c r="C68" s="4001" t="s">
        <v>3325</v>
      </c>
      <c r="D68" s="2399"/>
      <c r="E68" s="2399"/>
      <c r="F68" s="2399"/>
      <c r="G68" s="2399"/>
      <c r="H68" s="2399"/>
      <c r="I68" s="3999"/>
      <c r="J68" s="2399"/>
      <c r="K68" s="2477"/>
      <c r="M68" s="523"/>
      <c r="O68" s="3996"/>
      <c r="Q68" s="3996"/>
      <c r="AG68" s="3995"/>
      <c r="AH68" s="3995"/>
    </row>
    <row r="69" spans="1:34" s="437" customFormat="1">
      <c r="A69" s="5"/>
      <c r="B69" s="2601"/>
      <c r="C69" s="4001" t="s">
        <v>3320</v>
      </c>
      <c r="D69" s="2399"/>
      <c r="E69" s="2399"/>
      <c r="F69" s="2399"/>
      <c r="G69" s="2399"/>
      <c r="H69" s="2399"/>
      <c r="I69" s="3999"/>
      <c r="J69" s="2399"/>
      <c r="K69" s="2477"/>
      <c r="M69" s="523"/>
      <c r="O69" s="3996"/>
      <c r="Q69" s="3996"/>
      <c r="AG69" s="3995"/>
      <c r="AH69" s="3995"/>
    </row>
    <row r="70" spans="1:34" s="437" customFormat="1" ht="13.5" thickBot="1">
      <c r="A70" s="5"/>
      <c r="B70" s="2602"/>
      <c r="C70" s="2603"/>
      <c r="D70" s="2603"/>
      <c r="E70" s="2603"/>
      <c r="F70" s="2603"/>
      <c r="G70" s="2603"/>
      <c r="H70" s="2603"/>
      <c r="I70" s="2603"/>
      <c r="J70" s="2603"/>
      <c r="K70" s="2604"/>
      <c r="M70" s="523"/>
      <c r="N70" s="3995"/>
      <c r="AG70" s="3995"/>
      <c r="AH70" s="3995"/>
    </row>
  </sheetData>
  <sheetProtection password="F07E" sheet="1" objects="1" scenarios="1"/>
  <mergeCells count="2">
    <mergeCell ref="B2:K6"/>
    <mergeCell ref="D49:J52"/>
  </mergeCells>
  <conditionalFormatting sqref="J17">
    <cfRule type="expression" dxfId="1414" priority="9">
      <formula>IF(NoColor,1,0)</formula>
    </cfRule>
  </conditionalFormatting>
  <conditionalFormatting sqref="J23">
    <cfRule type="expression" dxfId="1413" priority="4">
      <formula>IF(NoColor,1,0)</formula>
    </cfRule>
  </conditionalFormatting>
  <conditionalFormatting sqref="J33">
    <cfRule type="expression" dxfId="1412" priority="3">
      <formula>IF(NoColor,1,0)</formula>
    </cfRule>
  </conditionalFormatting>
  <conditionalFormatting sqref="J38">
    <cfRule type="expression" dxfId="1411" priority="2">
      <formula>IF(NoColor,1,0)</formula>
    </cfRule>
  </conditionalFormatting>
  <conditionalFormatting sqref="J47">
    <cfRule type="expression" dxfId="1410" priority="1">
      <formula>IF(NoColor,1,0)</formula>
    </cfRule>
  </conditionalFormatting>
  <pageMargins left="0.7" right="0.45" top="0.5" bottom="0.5" header="0.3" footer="0.3"/>
  <pageSetup scale="83" orientation="portrait" horizontalDpi="4294967293" vertic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J108"/>
  <sheetViews>
    <sheetView zoomScaleNormal="100" zoomScaleSheetLayoutView="100" workbookViewId="0">
      <selection activeCell="P24" sqref="P24"/>
    </sheetView>
  </sheetViews>
  <sheetFormatPr defaultRowHeight="12.75"/>
  <cols>
    <col min="1" max="1" width="1.85546875" customWidth="1"/>
    <col min="2" max="2" width="15.140625" customWidth="1"/>
    <col min="3" max="3" width="3.85546875" customWidth="1"/>
    <col min="4" max="4" width="2.5703125" style="865" customWidth="1"/>
    <col min="5" max="5" width="3.85546875" customWidth="1"/>
    <col min="6" max="6" width="11" style="865" customWidth="1"/>
    <col min="7" max="7" width="2.7109375" style="865" customWidth="1"/>
    <col min="8" max="8" width="13.42578125" style="865" customWidth="1"/>
    <col min="9" max="9" width="3.7109375" customWidth="1"/>
    <col min="10" max="10" width="16.42578125" customWidth="1"/>
    <col min="11" max="11" width="4.28515625" customWidth="1"/>
    <col min="12" max="12" width="15.5703125" customWidth="1"/>
    <col min="13" max="13" width="3.5703125" style="347" customWidth="1"/>
    <col min="14" max="14" width="17.140625" customWidth="1"/>
    <col min="15" max="15" width="2.28515625" customWidth="1"/>
    <col min="16" max="16" width="11.42578125" style="1436" customWidth="1"/>
    <col min="17" max="19" width="3" customWidth="1"/>
    <col min="20" max="20" width="3.42578125" customWidth="1"/>
    <col min="21" max="21" width="4.5703125" style="2815" customWidth="1"/>
    <col min="22" max="22" width="3.5703125" style="64" customWidth="1"/>
    <col min="23" max="23" width="5.42578125" style="64" customWidth="1"/>
    <col min="24" max="24" width="8.7109375" style="64" customWidth="1"/>
    <col min="25" max="29" width="10.42578125" style="64" customWidth="1"/>
    <col min="30" max="30" width="13.42578125" style="64" customWidth="1"/>
    <col min="31" max="31" width="3.28515625" style="64" customWidth="1"/>
    <col min="32" max="32" width="3.5703125" style="64" customWidth="1"/>
    <col min="33" max="33" width="11.42578125" style="64" customWidth="1"/>
    <col min="34" max="34" width="3.5703125" style="64" customWidth="1"/>
  </cols>
  <sheetData>
    <row r="1" spans="1:34" ht="13.5" thickBot="1">
      <c r="A1" s="857"/>
      <c r="B1" s="857"/>
      <c r="C1" s="857"/>
      <c r="D1" s="857"/>
      <c r="E1" s="857"/>
      <c r="F1" s="857"/>
      <c r="G1" s="857"/>
      <c r="H1" s="857"/>
      <c r="I1" s="857"/>
      <c r="J1" s="857"/>
      <c r="K1" s="857"/>
      <c r="L1" s="857"/>
      <c r="M1" s="857"/>
      <c r="N1" s="857"/>
      <c r="O1" s="857"/>
    </row>
    <row r="2" spans="1:34" ht="9.75" customHeight="1">
      <c r="A2" s="857"/>
      <c r="B2" s="3835"/>
      <c r="C2" s="2816"/>
      <c r="D2" s="3832"/>
      <c r="E2" s="3027"/>
      <c r="F2" s="3832"/>
      <c r="G2" s="3832"/>
      <c r="H2" s="3832"/>
      <c r="I2" s="3027"/>
      <c r="J2" s="3027"/>
      <c r="K2" s="3028"/>
      <c r="L2" s="857"/>
      <c r="M2" s="857"/>
      <c r="N2" s="857"/>
      <c r="O2" s="857"/>
    </row>
    <row r="3" spans="1:34" ht="15.75" customHeight="1">
      <c r="A3" s="857"/>
      <c r="B3" s="3836" t="s">
        <v>3246</v>
      </c>
      <c r="C3" s="3820"/>
      <c r="D3" s="3833"/>
      <c r="E3" s="3032"/>
      <c r="F3" s="3833"/>
      <c r="G3" s="3833"/>
      <c r="H3" s="3833"/>
      <c r="I3" s="3032"/>
      <c r="J3" s="3032"/>
      <c r="K3" s="3033"/>
      <c r="L3" s="857"/>
      <c r="M3" s="857"/>
      <c r="N3" s="857"/>
      <c r="O3" s="857"/>
    </row>
    <row r="4" spans="1:34" ht="13.5" thickBot="1">
      <c r="A4" s="857"/>
      <c r="B4" s="3834" t="s">
        <v>3307</v>
      </c>
      <c r="C4" s="3820"/>
      <c r="D4" s="3833"/>
      <c r="E4" s="3032"/>
      <c r="F4" s="3833"/>
      <c r="G4" s="3833"/>
      <c r="H4" s="3833"/>
      <c r="I4" s="3032"/>
      <c r="J4" s="3032"/>
      <c r="K4" s="3033"/>
      <c r="L4" s="857"/>
      <c r="M4" s="857"/>
      <c r="N4" s="857"/>
      <c r="O4" s="857"/>
    </row>
    <row r="5" spans="1:34">
      <c r="A5" s="857"/>
      <c r="B5" s="3834" t="str">
        <f>"If you paid additional state and local income taxes during "&amp;TaxYear&amp;", see worksheet at the right."</f>
        <v>If you paid additional state and local income taxes during 2016, see worksheet at the right.</v>
      </c>
      <c r="C5" s="2817"/>
      <c r="D5" s="3833"/>
      <c r="E5" s="3032"/>
      <c r="F5" s="3833"/>
      <c r="G5" s="3833"/>
      <c r="H5" s="3833"/>
      <c r="I5" s="3032"/>
      <c r="J5" s="3032"/>
      <c r="K5" s="3033"/>
      <c r="L5" s="857"/>
      <c r="M5" s="857"/>
      <c r="N5" s="857"/>
      <c r="O5" s="857"/>
      <c r="U5" s="2819"/>
      <c r="V5" s="4179" t="s">
        <v>3396</v>
      </c>
      <c r="W5" s="2595"/>
      <c r="X5" s="2595"/>
      <c r="Y5" s="2595"/>
      <c r="Z5" s="2595"/>
      <c r="AA5" s="2595"/>
      <c r="AB5" s="2595"/>
      <c r="AC5" s="2595"/>
      <c r="AD5" s="2595"/>
      <c r="AE5" s="2595"/>
      <c r="AF5" s="2595"/>
      <c r="AG5" s="2595"/>
      <c r="AH5" s="2596"/>
    </row>
    <row r="6" spans="1:34" ht="15.75">
      <c r="A6" s="857"/>
      <c r="B6" s="3834" t="s">
        <v>3245</v>
      </c>
      <c r="C6" s="2817"/>
      <c r="D6" s="3833"/>
      <c r="E6" s="3032"/>
      <c r="F6" s="3833"/>
      <c r="G6" s="3833"/>
      <c r="H6" s="3833"/>
      <c r="I6" s="3032"/>
      <c r="J6" s="3032"/>
      <c r="K6" s="3033"/>
      <c r="L6" s="857"/>
      <c r="M6" s="857"/>
      <c r="N6" s="857"/>
      <c r="O6" s="857"/>
      <c r="U6" s="2820" t="s">
        <v>3393</v>
      </c>
      <c r="V6" s="2399"/>
      <c r="W6" s="2399"/>
      <c r="X6" s="2399"/>
      <c r="Y6" s="2399"/>
      <c r="Z6" s="2399"/>
      <c r="AA6" s="2399"/>
      <c r="AB6" s="2399"/>
      <c r="AC6" s="2399"/>
      <c r="AD6" s="4176" t="s">
        <v>290</v>
      </c>
      <c r="AE6" s="2399"/>
      <c r="AF6" s="2821"/>
      <c r="AG6" s="2399"/>
      <c r="AH6" s="2477"/>
    </row>
    <row r="7" spans="1:34" ht="6.75" customHeight="1" thickBot="1">
      <c r="A7" s="857"/>
      <c r="B7" s="3353"/>
      <c r="C7" s="2603"/>
      <c r="D7" s="3818"/>
      <c r="E7" s="3044"/>
      <c r="F7" s="3818"/>
      <c r="G7" s="3818"/>
      <c r="H7" s="3818"/>
      <c r="I7" s="3044"/>
      <c r="J7" s="3044"/>
      <c r="K7" s="3045"/>
      <c r="L7" s="857"/>
      <c r="M7" s="857"/>
      <c r="N7" s="857"/>
      <c r="O7" s="857"/>
      <c r="U7" s="2818"/>
      <c r="V7" s="2603"/>
      <c r="W7" s="2603"/>
      <c r="X7" s="2603"/>
      <c r="Y7" s="2603"/>
      <c r="Z7" s="2603"/>
      <c r="AA7" s="2603"/>
      <c r="AB7" s="2603"/>
      <c r="AC7" s="2603"/>
      <c r="AD7" s="2603"/>
      <c r="AE7" s="2603"/>
      <c r="AF7" s="2603"/>
      <c r="AG7" s="2603"/>
      <c r="AH7" s="2604"/>
    </row>
    <row r="8" spans="1:34" ht="10.5" customHeight="1">
      <c r="A8" s="857"/>
      <c r="B8" s="857"/>
      <c r="C8" s="857"/>
      <c r="D8" s="945"/>
      <c r="E8" s="857"/>
      <c r="F8" s="945"/>
      <c r="G8" s="945"/>
      <c r="H8" s="945"/>
      <c r="I8" s="857"/>
      <c r="J8" s="857"/>
      <c r="K8" s="857"/>
      <c r="L8" s="857"/>
      <c r="M8" s="943"/>
      <c r="N8" s="857"/>
      <c r="O8" s="857"/>
      <c r="U8" s="2827"/>
      <c r="V8" s="2825"/>
      <c r="W8" s="2825"/>
      <c r="X8" s="2825"/>
      <c r="Y8" s="2825"/>
      <c r="Z8" s="2825"/>
      <c r="AA8" s="2825"/>
      <c r="AB8" s="2825"/>
      <c r="AC8" s="2825"/>
      <c r="AD8" s="2833"/>
      <c r="AE8" s="2833"/>
      <c r="AF8" s="2825"/>
      <c r="AG8" s="2825"/>
      <c r="AH8" s="2488"/>
    </row>
    <row r="9" spans="1:34" ht="15" customHeight="1">
      <c r="A9" s="857"/>
      <c r="B9" s="1434" t="s">
        <v>610</v>
      </c>
      <c r="C9" s="186"/>
      <c r="D9" s="866"/>
      <c r="E9" s="35"/>
      <c r="F9" s="35"/>
      <c r="G9" s="35"/>
      <c r="H9" s="35"/>
      <c r="I9" s="35"/>
      <c r="J9" s="35"/>
      <c r="K9" s="35"/>
      <c r="L9" s="170"/>
      <c r="M9" s="5005" t="s">
        <v>249</v>
      </c>
      <c r="N9" s="4721"/>
      <c r="O9" s="943"/>
      <c r="P9" s="1455" t="b">
        <f>IF(OR(ItemizeAnyway&lt;&gt;"",AND(Tot_Item_Deduct&lt;&gt;0,Tot_Item_Deduct&gt;Standard)),TRUE,FALSE)</f>
        <v>0</v>
      </c>
      <c r="Q9" s="347"/>
      <c r="U9" s="2827" t="s">
        <v>476</v>
      </c>
      <c r="V9" s="2814" t="str">
        <f>"Enter State and local income taxes paid in "&amp;TaxYear&amp;" for a prior year, such as taxes paid with your "&amp;TaxYear-1&amp;" state or"</f>
        <v>Enter State and local income taxes paid in 2016 for a prior year, such as taxes paid with your 2015 state or</v>
      </c>
      <c r="W9" s="2825"/>
      <c r="X9" s="2825"/>
      <c r="Y9" s="2825"/>
      <c r="Z9" s="2825"/>
      <c r="AA9" s="2825"/>
      <c r="AB9" s="2825"/>
      <c r="AC9" s="2825"/>
      <c r="AD9" s="2833"/>
      <c r="AE9" s="2833"/>
      <c r="AF9" s="2825"/>
      <c r="AG9" s="2825"/>
      <c r="AH9" s="2488"/>
    </row>
    <row r="10" spans="1:34" ht="15" customHeight="1">
      <c r="A10" s="857"/>
      <c r="B10" s="187" t="s">
        <v>292</v>
      </c>
      <c r="C10" s="137"/>
      <c r="D10" s="188"/>
      <c r="E10" s="190"/>
      <c r="F10" s="190"/>
      <c r="G10" s="190"/>
      <c r="H10" s="190"/>
      <c r="I10" s="1433" t="s">
        <v>609</v>
      </c>
      <c r="J10" s="190"/>
      <c r="K10" s="190"/>
      <c r="L10" s="191"/>
      <c r="M10" s="873"/>
      <c r="N10" s="736">
        <f>TaxYear</f>
        <v>2016</v>
      </c>
      <c r="O10" s="943"/>
      <c r="P10" s="1437"/>
      <c r="Q10" s="347"/>
      <c r="U10" s="2827"/>
      <c r="V10" s="2814" t="s">
        <v>3394</v>
      </c>
      <c r="W10" s="2825"/>
      <c r="X10" s="2825"/>
      <c r="Y10" s="2825"/>
      <c r="Z10" s="2825"/>
      <c r="AA10" s="2825"/>
      <c r="AB10" s="2825"/>
      <c r="AC10" s="2825"/>
      <c r="AD10" s="2833"/>
      <c r="AE10" s="2833"/>
      <c r="AF10" s="2825"/>
      <c r="AG10" s="4180"/>
      <c r="AH10" s="2488"/>
    </row>
    <row r="11" spans="1:34" ht="9.75" customHeight="1">
      <c r="A11" s="857"/>
      <c r="B11" s="192" t="s">
        <v>293</v>
      </c>
      <c r="C11" s="193"/>
      <c r="D11" s="5031" t="s">
        <v>1588</v>
      </c>
      <c r="E11" s="4724"/>
      <c r="F11" s="4724"/>
      <c r="G11" s="4724"/>
      <c r="H11" s="4724"/>
      <c r="I11" s="4724"/>
      <c r="J11" s="4724"/>
      <c r="K11" s="4724"/>
      <c r="L11" s="4725"/>
      <c r="M11" s="1151"/>
      <c r="N11" s="194" t="s">
        <v>294</v>
      </c>
      <c r="O11" s="943"/>
      <c r="P11" s="1437"/>
      <c r="Q11" s="347"/>
      <c r="U11" s="2827"/>
      <c r="V11" s="2825"/>
      <c r="W11" s="2825"/>
      <c r="X11" s="2825"/>
      <c r="Y11" s="2825"/>
      <c r="Z11" s="2825"/>
      <c r="AA11" s="2825"/>
      <c r="AB11" s="2825"/>
      <c r="AC11" s="2825"/>
      <c r="AD11" s="2833"/>
      <c r="AE11" s="2833"/>
      <c r="AF11" s="2825"/>
      <c r="AG11" s="2825"/>
      <c r="AH11" s="2488"/>
    </row>
    <row r="12" spans="1:34" ht="13.5" customHeight="1">
      <c r="A12" s="857"/>
      <c r="B12" s="1435" t="s">
        <v>364</v>
      </c>
      <c r="C12" s="346"/>
      <c r="D12" s="2396"/>
      <c r="E12" s="438"/>
      <c r="F12" s="438"/>
      <c r="G12" s="438"/>
      <c r="H12" s="2396"/>
      <c r="I12" s="2397" t="s">
        <v>1404</v>
      </c>
      <c r="J12" s="195"/>
      <c r="K12" s="195"/>
      <c r="L12" s="196"/>
      <c r="M12" s="1152"/>
      <c r="N12" s="197" t="s">
        <v>146</v>
      </c>
      <c r="O12" s="943"/>
      <c r="P12" s="1438" t="s">
        <v>149</v>
      </c>
      <c r="Q12" s="347"/>
      <c r="U12" s="2489" t="s">
        <v>0</v>
      </c>
      <c r="V12" s="2814" t="str">
        <f>"State and local estimated tax payments made during "&amp;TaxYear&amp;", including any part of a prior year refund that you chose to have"</f>
        <v>State and local estimated tax payments made during 2016, including any part of a prior year refund that you chose to have</v>
      </c>
      <c r="W12" s="2825"/>
      <c r="X12" s="2825"/>
      <c r="Y12" s="2825"/>
      <c r="Z12" s="2825"/>
      <c r="AA12" s="2825"/>
      <c r="AB12" s="2825"/>
      <c r="AC12" s="2825"/>
      <c r="AD12" s="2833"/>
      <c r="AE12" s="2833"/>
      <c r="AF12" s="2825"/>
      <c r="AG12" s="2825"/>
      <c r="AH12" s="2488"/>
    </row>
    <row r="13" spans="1:34" ht="11.25" customHeight="1">
      <c r="A13" s="857"/>
      <c r="B13" s="32" t="s">
        <v>147</v>
      </c>
      <c r="C13" s="185"/>
      <c r="D13" s="198"/>
      <c r="E13" s="198"/>
      <c r="F13" s="198"/>
      <c r="G13" s="198"/>
      <c r="H13" s="198"/>
      <c r="I13" s="189"/>
      <c r="J13" s="189"/>
      <c r="K13" s="190"/>
      <c r="L13" s="191"/>
      <c r="M13" s="5030" t="s">
        <v>148</v>
      </c>
      <c r="N13" s="4968"/>
      <c r="O13" s="943"/>
      <c r="P13" s="1438" t="s">
        <v>150</v>
      </c>
      <c r="Q13" s="347"/>
      <c r="U13" s="2827"/>
      <c r="V13" s="2814" t="str">
        <f>"credited to your "&amp;TaxYear&amp;" state or local income taxes."</f>
        <v>credited to your 2016 state or local income taxes.</v>
      </c>
      <c r="W13" s="2825"/>
      <c r="X13" s="2825"/>
      <c r="Y13" s="2825"/>
      <c r="Z13" s="2825"/>
      <c r="AA13" s="2825"/>
      <c r="AB13" s="2825"/>
      <c r="AC13" s="2825"/>
      <c r="AD13" s="2833"/>
      <c r="AE13" s="2833"/>
      <c r="AF13" s="2825"/>
      <c r="AG13" s="4180"/>
      <c r="AH13" s="2488"/>
    </row>
    <row r="14" spans="1:34" ht="14.25" customHeight="1">
      <c r="A14" s="857"/>
      <c r="B14" s="5015" t="str">
        <f>IF(AND(Name_Last_Yours&lt;&gt;"",Name_Last_Sp&lt;&gt;""),CONCATENATE(Name_1st_Yours," ",Name_Last_Yours," &amp; ",Name_1st_Sp," ",Name_Last_Sp),IF(Name_Last_Yours&lt;&gt;"",CONCATENATE(Name_1st_Yours," ",Name_Last_Yours),""))</f>
        <v/>
      </c>
      <c r="C14" s="5016"/>
      <c r="D14" s="5016"/>
      <c r="E14" s="5016"/>
      <c r="F14" s="5016"/>
      <c r="G14" s="5016"/>
      <c r="H14" s="5016"/>
      <c r="I14" s="5016"/>
      <c r="J14" s="5016"/>
      <c r="K14" s="5016"/>
      <c r="L14" s="5017"/>
      <c r="M14" s="5013">
        <f>SS_Yours</f>
        <v>0</v>
      </c>
      <c r="N14" s="5014"/>
      <c r="O14" s="943"/>
      <c r="P14" s="1438" t="s">
        <v>152</v>
      </c>
      <c r="Q14" s="347"/>
      <c r="U14" s="2827"/>
      <c r="V14" s="2825"/>
      <c r="W14" s="2825"/>
      <c r="X14" s="2825"/>
      <c r="Y14" s="2825"/>
      <c r="Z14" s="2825"/>
      <c r="AA14" s="2825"/>
      <c r="AB14" s="2825"/>
      <c r="AC14" s="2825"/>
      <c r="AD14" s="2833"/>
      <c r="AE14" s="2833"/>
      <c r="AF14" s="2825"/>
      <c r="AG14" s="2825"/>
      <c r="AH14" s="2488"/>
    </row>
    <row r="15" spans="1:34" ht="15">
      <c r="A15" s="857"/>
      <c r="B15" s="441" t="s">
        <v>200</v>
      </c>
      <c r="C15" s="34"/>
      <c r="D15" s="867" t="s">
        <v>420</v>
      </c>
      <c r="E15" s="315"/>
      <c r="F15" s="867"/>
      <c r="G15" s="867"/>
      <c r="H15" s="867"/>
      <c r="I15" s="189"/>
      <c r="J15" s="189"/>
      <c r="K15" s="430"/>
      <c r="L15" s="191"/>
      <c r="M15" s="1153"/>
      <c r="N15" s="200"/>
      <c r="O15" s="943"/>
      <c r="P15" s="1439"/>
      <c r="Q15" s="347"/>
      <c r="U15" s="4178" t="s">
        <v>1</v>
      </c>
      <c r="V15" s="2814" t="s">
        <v>3395</v>
      </c>
      <c r="W15" s="2825"/>
      <c r="X15" s="2825"/>
      <c r="Y15" s="2825"/>
      <c r="Z15" s="2825"/>
      <c r="AA15" s="2825"/>
      <c r="AB15" s="2825"/>
      <c r="AC15" s="2825"/>
      <c r="AD15" s="2833"/>
      <c r="AE15" s="2833"/>
      <c r="AF15" s="2825"/>
      <c r="AG15" s="4180"/>
      <c r="AH15" s="2488"/>
    </row>
    <row r="16" spans="1:34" ht="15">
      <c r="A16" s="857"/>
      <c r="B16" s="441" t="s">
        <v>421</v>
      </c>
      <c r="C16" s="34">
        <v>1</v>
      </c>
      <c r="D16" s="868" t="s">
        <v>866</v>
      </c>
      <c r="E16" s="319"/>
      <c r="F16" s="868"/>
      <c r="G16" s="868"/>
      <c r="H16" s="868"/>
      <c r="I16" s="185"/>
      <c r="J16" s="185"/>
      <c r="K16" s="439">
        <v>1</v>
      </c>
      <c r="L16" s="2401"/>
      <c r="M16" s="1153"/>
      <c r="N16" s="29"/>
      <c r="O16" s="943"/>
      <c r="P16" s="1439"/>
      <c r="Q16" s="347"/>
      <c r="U16" s="2827"/>
      <c r="V16" s="2814"/>
      <c r="W16" s="2825"/>
      <c r="X16" s="2825"/>
      <c r="Y16" s="2825"/>
      <c r="Z16" s="2825"/>
      <c r="AA16" s="2825"/>
      <c r="AB16" s="2825"/>
      <c r="AC16" s="2825"/>
      <c r="AD16" s="2833"/>
      <c r="AE16" s="2833"/>
      <c r="AF16" s="2833"/>
      <c r="AG16" s="2833"/>
      <c r="AH16" s="2488"/>
    </row>
    <row r="17" spans="1:34" ht="14.25" customHeight="1">
      <c r="A17" s="857"/>
      <c r="B17" s="441" t="s">
        <v>207</v>
      </c>
      <c r="C17" s="34">
        <v>2</v>
      </c>
      <c r="D17" s="868" t="str">
        <f>"Enter amount from Form 1040, line "&amp;'1040'!D73</f>
        <v>Enter amount from Form 1040, line 38</v>
      </c>
      <c r="E17" s="350"/>
      <c r="F17" s="350"/>
      <c r="G17" s="350"/>
      <c r="H17" s="350"/>
      <c r="I17" s="202">
        <v>2</v>
      </c>
      <c r="J17" s="2715">
        <f>Adj_Gross_Inc</f>
        <v>0</v>
      </c>
      <c r="K17" s="431"/>
      <c r="L17" s="30"/>
      <c r="M17" s="1153"/>
      <c r="N17" s="2714" t="b">
        <f>IF(OR(you_over_64&lt;&gt;"",sp_over_64&lt;&gt;""),TRUE,FALSE)</f>
        <v>0</v>
      </c>
      <c r="O17" s="943"/>
      <c r="P17" s="1439"/>
      <c r="Q17" s="347"/>
      <c r="R17" s="2659"/>
      <c r="S17" s="2659"/>
      <c r="U17" s="4178" t="s">
        <v>642</v>
      </c>
      <c r="V17" s="2814" t="s">
        <v>3397</v>
      </c>
      <c r="W17" s="2825"/>
      <c r="X17" s="2825"/>
      <c r="Y17" s="2825"/>
      <c r="Z17" s="2825"/>
      <c r="AA17" s="2825"/>
      <c r="AB17" s="2825"/>
      <c r="AC17" s="2825"/>
      <c r="AD17" s="2833"/>
      <c r="AE17" s="2833"/>
      <c r="AF17" s="2825"/>
      <c r="AG17" s="2825"/>
      <c r="AH17" s="2488"/>
    </row>
    <row r="18" spans="1:34" ht="15">
      <c r="A18" s="857"/>
      <c r="B18" s="441" t="s">
        <v>68</v>
      </c>
      <c r="C18" s="34">
        <v>3</v>
      </c>
      <c r="D18" s="2657" t="str">
        <f>"Multiply line 2 above by "&amp;TEXT(N18,"0.0%")&amp;" ("&amp;TEXT(N18,"0.00")&amp;"). But if either you or your spouse was"</f>
        <v>Multiply line 2 above by 10.0% (0.10). But if either you or your spouse was</v>
      </c>
      <c r="E18" s="319"/>
      <c r="F18" s="868"/>
      <c r="G18" s="868"/>
      <c r="H18" s="868"/>
      <c r="I18" s="185"/>
      <c r="J18" s="835"/>
      <c r="K18" s="2658"/>
      <c r="L18" s="30"/>
      <c r="M18" s="1153"/>
      <c r="N18" s="2424">
        <v>0.1</v>
      </c>
      <c r="O18" s="943"/>
      <c r="P18" s="1439"/>
      <c r="Q18" s="347"/>
      <c r="R18" s="2591"/>
      <c r="S18" s="2659"/>
      <c r="U18" s="2827"/>
      <c r="V18" s="2814" t="s">
        <v>3398</v>
      </c>
      <c r="W18" s="2825"/>
      <c r="X18" s="2825"/>
      <c r="Y18" s="2825"/>
      <c r="Z18" s="2825"/>
      <c r="AA18" s="2825"/>
      <c r="AB18" s="2825"/>
      <c r="AC18" s="2825"/>
      <c r="AD18" s="2833"/>
      <c r="AE18" s="2833"/>
      <c r="AF18" s="2825"/>
      <c r="AG18" s="2838">
        <f>ROUND(SUM(AG10,AG13,AG15),0)</f>
        <v>0</v>
      </c>
      <c r="AH18" s="2488"/>
    </row>
    <row r="19" spans="1:34" ht="15.75" thickBot="1">
      <c r="A19" s="857"/>
      <c r="B19" s="441"/>
      <c r="C19" s="34"/>
      <c r="D19" s="868" t="str">
        <f>"born before "&amp;'1040'!N74&amp;" multiply line 2 by "&amp;TEXT(N19,"0.0%")&amp;" ("&amp;TEXT(N19,"0.000")&amp;") instead"</f>
        <v>born before January 2, 1952 multiply line 2 by 7.5% (0.075) instead</v>
      </c>
      <c r="E19" s="319"/>
      <c r="F19" s="868"/>
      <c r="G19" s="868"/>
      <c r="H19" s="868"/>
      <c r="I19" s="185"/>
      <c r="J19" s="835"/>
      <c r="K19" s="2813">
        <v>3</v>
      </c>
      <c r="L19" s="2838" t="str">
        <f>IF(AND(J17&lt;&gt;0,J17&lt;&gt;""),IF(N17,J17*N19,J17*N18),"")</f>
        <v/>
      </c>
      <c r="M19" s="1154"/>
      <c r="N19" s="2424">
        <v>7.4999999999999997E-2</v>
      </c>
      <c r="O19" s="943"/>
      <c r="P19" s="1439"/>
      <c r="Q19" s="2640"/>
      <c r="U19" s="2836"/>
      <c r="V19" s="2828"/>
      <c r="W19" s="2828"/>
      <c r="X19" s="2828"/>
      <c r="Y19" s="2828"/>
      <c r="Z19" s="2828"/>
      <c r="AA19" s="2828"/>
      <c r="AB19" s="2828"/>
      <c r="AC19" s="2828"/>
      <c r="AD19" s="4177"/>
      <c r="AE19" s="4177"/>
      <c r="AF19" s="2828"/>
      <c r="AG19" s="2828"/>
      <c r="AH19" s="2837"/>
    </row>
    <row r="20" spans="1:34" ht="13.5" thickBot="1">
      <c r="A20" s="857"/>
      <c r="B20" s="26"/>
      <c r="C20" s="26">
        <v>4</v>
      </c>
      <c r="D20" s="869" t="s">
        <v>137</v>
      </c>
      <c r="E20" s="323"/>
      <c r="F20" s="869"/>
      <c r="G20" s="869"/>
      <c r="H20" s="869"/>
      <c r="I20" s="27"/>
      <c r="J20" s="27"/>
      <c r="K20" s="27"/>
      <c r="L20" s="204"/>
      <c r="M20" s="439">
        <v>4</v>
      </c>
      <c r="N20" s="2715" t="str">
        <f>IF(P20&lt;&gt;"",P20,IF(OR(J17=0,J17=""),"",IF(L19&lt;0, L16,IF(L19&gt;L16,0,ROUND(L16-L19,0)))))</f>
        <v/>
      </c>
      <c r="O20" s="943"/>
      <c r="P20" s="1440"/>
      <c r="Q20" s="347"/>
    </row>
    <row r="21" spans="1:34" ht="15.75" thickBot="1">
      <c r="A21" s="857"/>
      <c r="B21" s="441" t="s">
        <v>25</v>
      </c>
      <c r="C21" s="34">
        <v>5</v>
      </c>
      <c r="D21" s="868" t="s">
        <v>240</v>
      </c>
      <c r="E21" s="319"/>
      <c r="F21" s="868"/>
      <c r="G21" s="868"/>
      <c r="H21" s="868"/>
      <c r="I21" s="185"/>
      <c r="J21" s="1237"/>
      <c r="K21" s="431"/>
      <c r="L21" s="1276"/>
      <c r="M21" s="1153"/>
      <c r="N21" s="5028">
        <f>SUM(StateTaxW2,LocalTaxW2,StateTaxIRA,LocalTaxIRA,StateTaxPA,LocalTaxPA)</f>
        <v>0</v>
      </c>
      <c r="O21" s="943"/>
      <c r="P21" s="1526" t="s">
        <v>992</v>
      </c>
      <c r="Q21" s="347"/>
      <c r="U21" s="2819"/>
      <c r="V21" s="2595"/>
      <c r="W21" s="2595"/>
      <c r="X21" s="2595"/>
      <c r="Y21" s="2595"/>
      <c r="Z21" s="2595"/>
      <c r="AA21" s="2595"/>
      <c r="AB21" s="2595"/>
      <c r="AC21" s="2595"/>
      <c r="AD21" s="2595"/>
      <c r="AE21" s="2595"/>
      <c r="AF21" s="2595"/>
      <c r="AG21" s="2595"/>
      <c r="AH21" s="2596"/>
    </row>
    <row r="22" spans="1:34" ht="12.75" customHeight="1" thickBot="1">
      <c r="A22" s="857"/>
      <c r="B22" s="874" t="s">
        <v>425</v>
      </c>
      <c r="C22" s="34"/>
      <c r="D22" s="867" t="s">
        <v>61</v>
      </c>
      <c r="E22" s="2678" t="str">
        <f>IF(E24&lt;&gt;"","",IF(OR(N21&lt;&gt;0,P22&lt;&gt;"",AG18&gt;0),"X",""))</f>
        <v/>
      </c>
      <c r="F22" s="868" t="s">
        <v>705</v>
      </c>
      <c r="G22" s="868"/>
      <c r="H22" s="868"/>
      <c r="I22" s="185"/>
      <c r="J22" s="685" t="str">
        <f>IF(AND(E22&lt;&gt;"",E24&lt;&gt;""),"Check only ONE box.","")</f>
        <v/>
      </c>
      <c r="K22" s="5006">
        <v>5</v>
      </c>
      <c r="L22" s="5008" t="str">
        <f>IF(AND(E22="X",P22&lt;&gt;""),P22,IF(E22="X",SUM(N21,AG18),IF(E24="X",P24,"")))</f>
        <v/>
      </c>
      <c r="M22" s="1153"/>
      <c r="N22" s="5029"/>
      <c r="O22" s="943"/>
      <c r="P22" s="1440"/>
      <c r="Q22" s="347"/>
      <c r="U22" s="2820" t="s">
        <v>3134</v>
      </c>
      <c r="V22" s="2399"/>
      <c r="W22" s="2399"/>
      <c r="X22" s="2399"/>
      <c r="Y22" s="2399"/>
      <c r="Z22" s="2399"/>
      <c r="AA22" s="2399"/>
      <c r="AB22" s="2399"/>
      <c r="AC22" s="2399"/>
      <c r="AD22" s="2399"/>
      <c r="AE22" s="2399"/>
      <c r="AF22" s="2821" t="s">
        <v>290</v>
      </c>
      <c r="AG22" s="2399"/>
      <c r="AH22" s="2477"/>
    </row>
    <row r="23" spans="1:34" ht="5.25" customHeight="1" thickBot="1">
      <c r="A23" s="857"/>
      <c r="B23" s="874"/>
      <c r="C23" s="34"/>
      <c r="D23" s="867"/>
      <c r="E23" s="225"/>
      <c r="F23" s="867"/>
      <c r="G23" s="867"/>
      <c r="H23" s="867"/>
      <c r="I23" s="185"/>
      <c r="J23" s="835" t="s">
        <v>1475</v>
      </c>
      <c r="K23" s="5007"/>
      <c r="L23" s="5009"/>
      <c r="M23" s="1153"/>
      <c r="N23" s="5029"/>
      <c r="O23" s="943"/>
      <c r="P23" s="1439"/>
      <c r="Q23" s="347"/>
      <c r="U23" s="2818"/>
      <c r="V23" s="2603"/>
      <c r="W23" s="2603"/>
      <c r="X23" s="2603"/>
      <c r="Y23" s="2603"/>
      <c r="Z23" s="2603"/>
      <c r="AA23" s="2603"/>
      <c r="AB23" s="2603"/>
      <c r="AC23" s="2603"/>
      <c r="AD23" s="2603"/>
      <c r="AE23" s="2603"/>
      <c r="AF23" s="2603"/>
      <c r="AG23" s="2603"/>
      <c r="AH23" s="2604"/>
    </row>
    <row r="24" spans="1:34" ht="12.75" customHeight="1" thickBot="1">
      <c r="A24" s="857"/>
      <c r="B24" s="201"/>
      <c r="C24" s="34"/>
      <c r="D24" s="867" t="s">
        <v>84</v>
      </c>
      <c r="E24" s="2475"/>
      <c r="F24" s="868" t="s">
        <v>1474</v>
      </c>
      <c r="G24" s="868"/>
      <c r="H24" s="868"/>
      <c r="I24" s="185"/>
      <c r="J24" s="185"/>
      <c r="K24" s="443"/>
      <c r="L24" s="1276"/>
      <c r="M24" s="1153"/>
      <c r="N24" s="31"/>
      <c r="O24" s="943"/>
      <c r="P24" s="1440"/>
      <c r="Q24" s="347"/>
      <c r="U24" s="3830" t="s">
        <v>3244</v>
      </c>
      <c r="V24" s="3691"/>
      <c r="W24" s="3829"/>
      <c r="X24" s="3829"/>
      <c r="Y24" s="3831" t="s">
        <v>3243</v>
      </c>
      <c r="Z24" s="2823"/>
      <c r="AA24" s="2823"/>
      <c r="AB24" s="2823"/>
      <c r="AC24" s="2823"/>
      <c r="AD24" s="2823"/>
      <c r="AE24" s="2823"/>
      <c r="AF24" s="2823"/>
      <c r="AG24" s="2823"/>
      <c r="AH24" s="3696"/>
    </row>
    <row r="25" spans="1:34" ht="12.75" customHeight="1">
      <c r="A25" s="857"/>
      <c r="B25" s="201"/>
      <c r="C25" s="34">
        <v>6</v>
      </c>
      <c r="D25" s="868" t="s">
        <v>1065</v>
      </c>
      <c r="E25" s="319"/>
      <c r="F25" s="868"/>
      <c r="G25" s="868"/>
      <c r="H25" s="868"/>
      <c r="I25" s="185"/>
      <c r="J25" s="835" t="s">
        <v>1066</v>
      </c>
      <c r="K25" s="439">
        <v>6</v>
      </c>
      <c r="L25" s="2401"/>
      <c r="M25" s="1153"/>
      <c r="N25" s="31"/>
      <c r="O25" s="943"/>
      <c r="P25" s="2474" t="s">
        <v>1535</v>
      </c>
      <c r="Q25" s="347"/>
      <c r="U25" s="3693"/>
      <c r="V25" s="3691"/>
      <c r="W25" s="2823"/>
      <c r="X25" s="2823"/>
      <c r="Y25" s="3692"/>
      <c r="Z25" s="2823"/>
      <c r="AA25" s="2823"/>
      <c r="AB25" s="2823"/>
      <c r="AC25" s="2823"/>
      <c r="AD25" s="2823"/>
      <c r="AE25" s="2823"/>
      <c r="AF25" s="2823"/>
      <c r="AG25" s="2823"/>
      <c r="AH25" s="2483"/>
    </row>
    <row r="26" spans="1:34" ht="13.5" customHeight="1">
      <c r="A26" s="857"/>
      <c r="B26" s="201"/>
      <c r="C26" s="34">
        <v>7</v>
      </c>
      <c r="D26" s="868" t="s">
        <v>1063</v>
      </c>
      <c r="E26" s="319"/>
      <c r="F26" s="868"/>
      <c r="G26" s="868"/>
      <c r="H26" s="868"/>
      <c r="I26" s="185"/>
      <c r="J26" s="185"/>
      <c r="K26" s="439">
        <f>C26</f>
        <v>7</v>
      </c>
      <c r="L26" s="2401"/>
      <c r="M26" s="1153"/>
      <c r="N26" s="31"/>
      <c r="O26" s="943"/>
      <c r="P26" s="1439"/>
      <c r="Q26" s="347"/>
      <c r="U26" s="2824" t="s">
        <v>476</v>
      </c>
      <c r="V26" s="2814" t="str">
        <f>"Enter the total premiums you paid in "&amp;TaxYear&amp;" for qualified mortgage insurance for a contract issued after December 31, 2006."</f>
        <v>Enter the total premiums you paid in 2016 for qualified mortgage insurance for a contract issued after December 31, 2006.</v>
      </c>
      <c r="W26" s="2825"/>
      <c r="X26" s="2825"/>
      <c r="Y26" s="2825"/>
      <c r="Z26" s="2825"/>
      <c r="AA26" s="2825"/>
      <c r="AB26" s="2825"/>
      <c r="AC26" s="2825"/>
      <c r="AD26" s="2825"/>
      <c r="AE26" s="2825"/>
      <c r="AF26" s="2826" t="s">
        <v>476</v>
      </c>
      <c r="AG26" s="3694"/>
      <c r="AH26" s="2488"/>
    </row>
    <row r="27" spans="1:34" ht="14.25">
      <c r="A27" s="857"/>
      <c r="B27" s="201"/>
      <c r="C27" s="34">
        <v>8</v>
      </c>
      <c r="D27" s="868" t="s">
        <v>422</v>
      </c>
      <c r="E27" s="319"/>
      <c r="F27" s="868"/>
      <c r="G27" s="868"/>
      <c r="H27" s="868"/>
      <c r="I27" s="5018"/>
      <c r="J27" s="5019"/>
      <c r="K27" s="431"/>
      <c r="L27" s="349"/>
      <c r="M27" s="1153"/>
      <c r="N27" s="31"/>
      <c r="O27" s="943"/>
      <c r="P27" s="1439"/>
      <c r="Q27" s="347"/>
      <c r="U27" s="2827"/>
      <c r="V27" s="2825"/>
      <c r="W27" s="2825"/>
      <c r="X27" s="2825"/>
      <c r="Y27" s="2825"/>
      <c r="Z27" s="2825"/>
      <c r="AA27" s="2825"/>
      <c r="AB27" s="2825"/>
      <c r="AC27" s="2825"/>
      <c r="AD27" s="2825"/>
      <c r="AE27" s="2825"/>
      <c r="AF27" s="2825"/>
      <c r="AG27" s="2825"/>
      <c r="AH27" s="2488"/>
    </row>
    <row r="28" spans="1:34" ht="13.5" thickBot="1">
      <c r="A28" s="857"/>
      <c r="B28" s="201"/>
      <c r="C28" s="34"/>
      <c r="D28" s="5020"/>
      <c r="E28" s="5020"/>
      <c r="F28" s="5020"/>
      <c r="G28" s="5020"/>
      <c r="H28" s="5020"/>
      <c r="I28" s="5020"/>
      <c r="J28" s="5021"/>
      <c r="K28" s="439">
        <v>8</v>
      </c>
      <c r="L28" s="2401"/>
      <c r="M28" s="1153"/>
      <c r="N28" s="31"/>
      <c r="O28" s="943"/>
      <c r="P28" s="1439"/>
      <c r="Q28" s="347"/>
      <c r="U28" s="2824" t="s">
        <v>0</v>
      </c>
      <c r="V28" s="2814" t="s">
        <v>1615</v>
      </c>
      <c r="W28" s="2825"/>
      <c r="X28" s="2825"/>
      <c r="Y28" s="2825"/>
      <c r="Z28" s="2825"/>
      <c r="AA28" s="2825"/>
      <c r="AB28" s="2825"/>
      <c r="AC28" s="2826" t="s">
        <v>0</v>
      </c>
      <c r="AD28" s="2838" t="str">
        <f>IF(AG26&lt;&gt;"",Adj_Gross_Inc,"")</f>
        <v/>
      </c>
      <c r="AE28" s="2825"/>
      <c r="AF28" s="2825"/>
      <c r="AG28" s="2833">
        <v>100000</v>
      </c>
      <c r="AH28" s="2488"/>
    </row>
    <row r="29" spans="1:34" ht="13.5" thickBot="1">
      <c r="A29" s="857"/>
      <c r="B29" s="26"/>
      <c r="C29" s="26">
        <v>9</v>
      </c>
      <c r="D29" s="869" t="str">
        <f>"Add lines "&amp;C21&amp;" through "&amp;C27</f>
        <v>Add lines 5 through 8</v>
      </c>
      <c r="E29" s="323"/>
      <c r="F29" s="869"/>
      <c r="G29" s="869"/>
      <c r="H29" s="869"/>
      <c r="I29" s="27"/>
      <c r="J29" s="27"/>
      <c r="K29" s="27"/>
      <c r="L29" s="1335" t="s">
        <v>918</v>
      </c>
      <c r="M29" s="440">
        <v>9</v>
      </c>
      <c r="N29" s="2715">
        <f>IF(P29&lt;&gt;"",P29,ROUND(SUM(L21:L28),0))</f>
        <v>0</v>
      </c>
      <c r="O29" s="943"/>
      <c r="P29" s="1440"/>
      <c r="Q29" s="347"/>
      <c r="U29" s="2827"/>
      <c r="V29" s="2825"/>
      <c r="W29" s="2825"/>
      <c r="X29" s="2825"/>
      <c r="Y29" s="2825"/>
      <c r="Z29" s="2825"/>
      <c r="AA29" s="2825"/>
      <c r="AB29" s="2825"/>
      <c r="AC29" s="2825"/>
      <c r="AD29" s="2825"/>
      <c r="AE29" s="2825"/>
      <c r="AF29" s="2825"/>
      <c r="AG29" s="2833">
        <v>50000</v>
      </c>
      <c r="AH29" s="2488"/>
    </row>
    <row r="30" spans="1:34" ht="15">
      <c r="A30" s="857"/>
      <c r="B30" s="441" t="s">
        <v>624</v>
      </c>
      <c r="C30" s="34">
        <v>10</v>
      </c>
      <c r="D30" s="868" t="s">
        <v>91</v>
      </c>
      <c r="E30" s="319"/>
      <c r="F30" s="868"/>
      <c r="G30" s="868"/>
      <c r="H30" s="868"/>
      <c r="I30" s="185"/>
      <c r="J30" s="185"/>
      <c r="K30" s="439">
        <v>10</v>
      </c>
      <c r="L30" s="2401"/>
      <c r="M30" s="1155"/>
      <c r="N30" s="31"/>
      <c r="O30" s="943"/>
      <c r="P30" s="1439"/>
      <c r="Q30" s="347"/>
      <c r="U30" s="2824" t="s">
        <v>1</v>
      </c>
      <c r="V30" s="2814" t="str">
        <f>"Enter "&amp;TEXT(AG28,"$0,000")&amp;" ("&amp;TEXT(AG29,"$0,000")&amp;" if married filing separately)"</f>
        <v>Enter $100,000 ($50,000 if married filing separately)</v>
      </c>
      <c r="W30" s="2825"/>
      <c r="X30" s="2825"/>
      <c r="Y30" s="2825"/>
      <c r="Z30" s="2825"/>
      <c r="AA30" s="2825"/>
      <c r="AB30" s="2825"/>
      <c r="AC30" s="2826" t="s">
        <v>1</v>
      </c>
      <c r="AD30" s="3695" t="str">
        <f>IF(AG26="","",IF(NumFileStatusBoxes=0,"Filing status?",IF(File_Marr_Sep&lt;&gt;"",AG29,AG28)))</f>
        <v/>
      </c>
      <c r="AE30" s="2825"/>
      <c r="AF30" s="2825"/>
      <c r="AG30" s="2825"/>
      <c r="AH30" s="2488"/>
    </row>
    <row r="31" spans="1:34" ht="15">
      <c r="A31" s="857"/>
      <c r="B31" s="441" t="s">
        <v>704</v>
      </c>
      <c r="C31" s="34">
        <v>11</v>
      </c>
      <c r="D31" s="868" t="s">
        <v>22</v>
      </c>
      <c r="E31" s="319"/>
      <c r="F31" s="868"/>
      <c r="G31" s="868"/>
      <c r="H31" s="868"/>
      <c r="I31" s="185"/>
      <c r="J31" s="185"/>
      <c r="K31" s="433"/>
      <c r="L31" s="31"/>
      <c r="M31" s="1155"/>
      <c r="N31" s="31"/>
      <c r="O31" s="943"/>
      <c r="P31" s="1439"/>
      <c r="Q31" s="347"/>
      <c r="U31" s="2827"/>
      <c r="V31" s="2825"/>
      <c r="W31" s="2825"/>
      <c r="X31" s="2825"/>
      <c r="Y31" s="2825"/>
      <c r="Z31" s="2825"/>
      <c r="AA31" s="2825"/>
      <c r="AB31" s="2825"/>
      <c r="AC31" s="2825"/>
      <c r="AD31" s="2833"/>
      <c r="AE31" s="2833"/>
      <c r="AF31" s="2825"/>
      <c r="AG31" s="2825"/>
      <c r="AH31" s="2488"/>
    </row>
    <row r="32" spans="1:34">
      <c r="A32" s="857"/>
      <c r="B32" s="201"/>
      <c r="C32" s="34"/>
      <c r="D32" s="868" t="s">
        <v>867</v>
      </c>
      <c r="E32" s="319"/>
      <c r="F32" s="868"/>
      <c r="G32" s="868"/>
      <c r="H32" s="868"/>
      <c r="I32" s="185"/>
      <c r="J32" s="185"/>
      <c r="K32" s="433"/>
      <c r="L32" s="31"/>
      <c r="M32" s="1155"/>
      <c r="N32" s="31"/>
      <c r="O32" s="943"/>
      <c r="P32" s="1439"/>
      <c r="Q32" s="347"/>
      <c r="U32" s="2824" t="s">
        <v>642</v>
      </c>
      <c r="V32" s="2814" t="s">
        <v>3135</v>
      </c>
      <c r="W32" s="2825"/>
      <c r="X32" s="2825"/>
      <c r="Y32" s="2825"/>
      <c r="Z32" s="2825"/>
      <c r="AA32" s="2825"/>
      <c r="AB32" s="2825"/>
      <c r="AC32" s="2825"/>
      <c r="AD32" s="2833"/>
      <c r="AE32" s="2833"/>
      <c r="AF32" s="2825"/>
      <c r="AG32" s="2825"/>
      <c r="AH32" s="2488"/>
    </row>
    <row r="33" spans="1:34" ht="15" thickBot="1">
      <c r="A33" s="857"/>
      <c r="B33" s="199" t="s">
        <v>46</v>
      </c>
      <c r="C33" s="34"/>
      <c r="D33" s="868" t="s">
        <v>23</v>
      </c>
      <c r="E33" s="319"/>
      <c r="F33" s="868"/>
      <c r="G33" s="868"/>
      <c r="H33" s="868"/>
      <c r="I33" s="185"/>
      <c r="J33" s="185"/>
      <c r="K33" s="433"/>
      <c r="L33" s="31"/>
      <c r="M33" s="1155"/>
      <c r="N33" s="31"/>
      <c r="O33" s="943"/>
      <c r="P33" s="1439"/>
      <c r="Q33" s="347"/>
      <c r="U33" s="2827"/>
      <c r="V33" s="2825"/>
      <c r="W33" s="2825"/>
      <c r="X33" s="2825"/>
      <c r="Y33" s="2825"/>
      <c r="Z33" s="2825"/>
      <c r="AA33" s="2825"/>
      <c r="AB33" s="2825"/>
      <c r="AC33" s="2825"/>
      <c r="AD33" s="2833"/>
      <c r="AE33" s="2833"/>
      <c r="AF33" s="2825"/>
      <c r="AG33" s="2825"/>
      <c r="AH33" s="2488"/>
    </row>
    <row r="34" spans="1:34" ht="13.5" thickBot="1">
      <c r="A34" s="857"/>
      <c r="B34" s="201" t="s">
        <v>868</v>
      </c>
      <c r="C34" s="34"/>
      <c r="D34" s="5025"/>
      <c r="E34" s="5026"/>
      <c r="F34" s="5026"/>
      <c r="G34" s="5026"/>
      <c r="H34" s="5026"/>
      <c r="I34" s="5026"/>
      <c r="J34" s="5027"/>
      <c r="K34" s="433"/>
      <c r="L34" s="31"/>
      <c r="M34" s="1155"/>
      <c r="N34" s="31"/>
      <c r="O34" s="943"/>
      <c r="P34" s="1439"/>
      <c r="Q34" s="347"/>
      <c r="U34" s="2827"/>
      <c r="V34" s="3097" t="str">
        <f>IF(OR(AG26="",$AD$28&gt;$AD$30),"","X")</f>
        <v/>
      </c>
      <c r="W34" s="2830" t="s">
        <v>666</v>
      </c>
      <c r="X34" s="2814" t="s">
        <v>3136</v>
      </c>
      <c r="Y34" s="2825"/>
      <c r="Z34" s="2825"/>
      <c r="AA34" s="2825"/>
      <c r="AB34" s="2825"/>
      <c r="AC34" s="2825"/>
      <c r="AD34" s="2833"/>
      <c r="AE34" s="2833"/>
      <c r="AF34" s="2825"/>
      <c r="AG34" s="2825"/>
      <c r="AH34" s="2488"/>
    </row>
    <row r="35" spans="1:34" ht="13.5" thickBot="1">
      <c r="A35" s="857"/>
      <c r="B35" s="201" t="s">
        <v>869</v>
      </c>
      <c r="C35" s="34"/>
      <c r="D35" s="5022"/>
      <c r="E35" s="5023"/>
      <c r="F35" s="5023"/>
      <c r="G35" s="5023"/>
      <c r="H35" s="5023"/>
      <c r="I35" s="5023"/>
      <c r="J35" s="5024"/>
      <c r="K35" s="439">
        <v>11</v>
      </c>
      <c r="L35" s="2401"/>
      <c r="M35" s="1155"/>
      <c r="N35" s="31"/>
      <c r="O35" s="943"/>
      <c r="P35" s="1439"/>
      <c r="Q35" s="347"/>
      <c r="U35" s="2827"/>
      <c r="V35" s="2825"/>
      <c r="W35" s="2825"/>
      <c r="X35" s="2814" t="s">
        <v>3242</v>
      </c>
      <c r="Y35" s="2825"/>
      <c r="Z35" s="2825"/>
      <c r="AA35" s="2825"/>
      <c r="AB35" s="2825"/>
      <c r="AC35" s="2825"/>
      <c r="AD35" s="3699" t="e">
        <f>SUM($AD$28,-$AD$30)</f>
        <v>#VALUE!</v>
      </c>
      <c r="AE35" s="2833"/>
      <c r="AF35" s="2825"/>
      <c r="AG35" s="2825"/>
      <c r="AH35" s="2488"/>
    </row>
    <row r="36" spans="1:34" ht="13.5" thickBot="1">
      <c r="A36" s="857"/>
      <c r="B36" s="201" t="s">
        <v>870</v>
      </c>
      <c r="C36" s="34">
        <v>12</v>
      </c>
      <c r="D36" s="868" t="s">
        <v>873</v>
      </c>
      <c r="E36" s="319"/>
      <c r="F36" s="868"/>
      <c r="G36" s="868"/>
      <c r="H36" s="868"/>
      <c r="I36" s="185"/>
      <c r="J36" s="185"/>
      <c r="K36" s="433"/>
      <c r="L36" s="31"/>
      <c r="M36" s="1155"/>
      <c r="N36" s="31"/>
      <c r="O36" s="943"/>
      <c r="P36" s="1439"/>
      <c r="Q36" s="347"/>
      <c r="U36" s="2827"/>
      <c r="V36" s="3097" t="str">
        <f>IF(AG26="","",IF($AD$28&gt;$AD$30,"X",""))</f>
        <v/>
      </c>
      <c r="W36" s="2830" t="s">
        <v>668</v>
      </c>
      <c r="X36" s="2814" t="s">
        <v>3137</v>
      </c>
      <c r="Y36" s="2825"/>
      <c r="Z36" s="2825"/>
      <c r="AA36" s="2825"/>
      <c r="AB36" s="2825"/>
      <c r="AC36" s="2825"/>
      <c r="AD36" s="3699" t="e">
        <f>ROUNDUP($AD$35,-3)</f>
        <v>#VALUE!</v>
      </c>
      <c r="AE36" s="2833"/>
      <c r="AF36" s="2825"/>
      <c r="AG36" s="2825"/>
      <c r="AH36" s="2488"/>
    </row>
    <row r="37" spans="1:34" ht="13.5" thickBot="1">
      <c r="A37" s="857"/>
      <c r="B37" s="201" t="s">
        <v>871</v>
      </c>
      <c r="C37" s="34"/>
      <c r="D37" s="868" t="s">
        <v>414</v>
      </c>
      <c r="E37" s="319"/>
      <c r="F37" s="868"/>
      <c r="G37" s="868"/>
      <c r="H37" s="868"/>
      <c r="I37" s="185"/>
      <c r="J37" s="185"/>
      <c r="K37" s="439">
        <v>12</v>
      </c>
      <c r="L37" s="2401"/>
      <c r="M37" s="1155"/>
      <c r="N37" s="31"/>
      <c r="O37" s="943"/>
      <c r="P37" s="1439"/>
      <c r="Q37" s="347"/>
      <c r="U37" s="2827"/>
      <c r="V37" s="2825"/>
      <c r="W37" s="2825"/>
      <c r="X37" s="2814" t="s">
        <v>3138</v>
      </c>
      <c r="Y37" s="2825"/>
      <c r="Z37" s="2825"/>
      <c r="AA37" s="2825"/>
      <c r="AB37" s="2825"/>
      <c r="AC37" s="2825"/>
      <c r="AD37" s="3699" t="e">
        <f>ROUNDUP(2*$AD$35,-3)/2</f>
        <v>#VALUE!</v>
      </c>
      <c r="AE37" s="2833"/>
      <c r="AF37" s="2825"/>
      <c r="AG37" s="2825"/>
      <c r="AH37" s="2488"/>
    </row>
    <row r="38" spans="1:34" ht="13.5" thickBot="1">
      <c r="A38" s="857"/>
      <c r="B38" s="201" t="s">
        <v>872</v>
      </c>
      <c r="C38" s="34">
        <v>13</v>
      </c>
      <c r="D38" s="870" t="s">
        <v>1476</v>
      </c>
      <c r="E38" s="225"/>
      <c r="F38" s="870"/>
      <c r="G38" s="870"/>
      <c r="H38" s="870"/>
      <c r="I38" s="185"/>
      <c r="J38" s="185"/>
      <c r="K38" s="439">
        <f>C38</f>
        <v>13</v>
      </c>
      <c r="L38" s="2715" t="str">
        <f>IF(P38&lt;&gt;"",P38,IF(AG26="","",IF(V34="X",AG26,AG43)))</f>
        <v/>
      </c>
      <c r="M38" s="1155"/>
      <c r="N38" s="31"/>
      <c r="O38" s="944"/>
      <c r="P38" s="1440"/>
      <c r="Q38" s="348"/>
      <c r="U38" s="2827"/>
      <c r="V38" s="2825"/>
      <c r="W38" s="2825"/>
      <c r="X38" s="2814" t="s">
        <v>3139</v>
      </c>
      <c r="Y38" s="2825"/>
      <c r="Z38" s="2825"/>
      <c r="AA38" s="2825"/>
      <c r="AB38" s="2825"/>
      <c r="AC38" s="2825"/>
      <c r="AD38" s="2833"/>
      <c r="AE38" s="2833"/>
      <c r="AF38" s="2825"/>
      <c r="AG38" s="3698" t="e">
        <f>IF(AD39/(AG28/10)&gt;1,1,AD39/(AG28/10))</f>
        <v>#VALUE!</v>
      </c>
      <c r="AH38" s="2488"/>
    </row>
    <row r="39" spans="1:34" ht="13.5" thickBot="1">
      <c r="A39" s="857"/>
      <c r="B39" s="32"/>
      <c r="C39" s="34">
        <v>14</v>
      </c>
      <c r="D39" s="868" t="s">
        <v>874</v>
      </c>
      <c r="E39" s="225"/>
      <c r="F39" s="870"/>
      <c r="G39" s="870"/>
      <c r="H39" s="870"/>
      <c r="I39" s="185"/>
      <c r="J39" s="185"/>
      <c r="K39" s="439">
        <f>C39</f>
        <v>14</v>
      </c>
      <c r="L39" s="2401"/>
      <c r="M39" s="1155"/>
      <c r="N39" s="31"/>
      <c r="O39" s="944"/>
      <c r="P39" s="1439"/>
      <c r="Q39" s="348"/>
      <c r="U39" s="2827"/>
      <c r="V39" s="2825"/>
      <c r="W39" s="2825"/>
      <c r="X39" s="2814" t="s">
        <v>3140</v>
      </c>
      <c r="Y39" s="2825"/>
      <c r="Z39" s="2825"/>
      <c r="AA39" s="2825"/>
      <c r="AB39" s="2825"/>
      <c r="AC39" s="2826" t="s">
        <v>642</v>
      </c>
      <c r="AD39" s="3695" t="str">
        <f>IF(OR(AG26="",NumFileStatusBoxes=0,$V$34="X"),"",IF(File_Marr_Sep&lt;&gt;"",AD37,AD36))</f>
        <v/>
      </c>
      <c r="AE39" s="2825"/>
      <c r="AF39" s="2825"/>
      <c r="AG39" s="3698" t="e">
        <f>IF(AD39/(AG29/10)&gt;1,1,AD39/(AG29/10))</f>
        <v>#VALUE!</v>
      </c>
      <c r="AH39" s="2488"/>
    </row>
    <row r="40" spans="1:34" ht="13.5" thickBot="1">
      <c r="A40" s="857"/>
      <c r="B40" s="26"/>
      <c r="C40" s="26">
        <v>15</v>
      </c>
      <c r="D40" s="869" t="str">
        <f>"Add lines "&amp;C30&amp;" through "&amp;K39</f>
        <v>Add lines 10 through 14</v>
      </c>
      <c r="E40" s="323"/>
      <c r="F40" s="869"/>
      <c r="G40" s="869"/>
      <c r="H40" s="869"/>
      <c r="I40" s="27"/>
      <c r="J40" s="27"/>
      <c r="K40" s="27"/>
      <c r="L40" s="1335" t="s">
        <v>919</v>
      </c>
      <c r="M40" s="439">
        <f>C40</f>
        <v>15</v>
      </c>
      <c r="N40" s="2715">
        <f>IF(P40&lt;&gt;"",P40,ROUND(SUM(L30:L39),0))</f>
        <v>0</v>
      </c>
      <c r="O40" s="944"/>
      <c r="P40" s="1440"/>
      <c r="Q40" s="723"/>
      <c r="U40" s="2827"/>
      <c r="V40" s="2825"/>
      <c r="W40" s="2825"/>
      <c r="X40" s="2814"/>
      <c r="Y40" s="2825"/>
      <c r="Z40" s="2825"/>
      <c r="AA40" s="2825"/>
      <c r="AB40" s="2825"/>
      <c r="AC40" s="2825"/>
      <c r="AD40" s="2825"/>
      <c r="AE40" s="2825"/>
      <c r="AF40" s="2825"/>
      <c r="AG40" s="2825"/>
      <c r="AH40" s="2488"/>
    </row>
    <row r="41" spans="1:34" ht="13.5" customHeight="1">
      <c r="A41" s="857"/>
      <c r="B41" s="441" t="s">
        <v>538</v>
      </c>
      <c r="C41" s="34">
        <v>16</v>
      </c>
      <c r="D41" s="868" t="s">
        <v>875</v>
      </c>
      <c r="E41" s="319"/>
      <c r="F41" s="868"/>
      <c r="G41" s="868"/>
      <c r="H41" s="868"/>
      <c r="I41" s="185"/>
      <c r="J41" s="185"/>
      <c r="K41" s="433"/>
      <c r="L41" s="31"/>
      <c r="M41" s="1155"/>
      <c r="N41" s="3717" t="str">
        <f>IF(AND(OR($Y$48,$Z$48,$AA$48),$O$45=""),"Your charitable","")</f>
        <v/>
      </c>
      <c r="O41" s="943"/>
      <c r="P41" s="1439"/>
      <c r="Q41" s="406"/>
      <c r="U41" s="2824" t="s">
        <v>53</v>
      </c>
      <c r="V41" s="2814" t="s">
        <v>3141</v>
      </c>
      <c r="W41" s="2825"/>
      <c r="X41" s="2825"/>
      <c r="Y41" s="2825"/>
      <c r="Z41" s="2825"/>
      <c r="AA41" s="2825"/>
      <c r="AB41" s="2825"/>
      <c r="AC41" s="2825"/>
      <c r="AD41" s="2825"/>
      <c r="AE41" s="2825"/>
      <c r="AF41" s="2826" t="s">
        <v>53</v>
      </c>
      <c r="AG41" s="3697" t="str">
        <f>IF(OR(AG26="",NumFileStatusBoxes=0,$V$34="X"),"",IF(File_Marr_Sep&lt;&gt;"",AG39,AG38))</f>
        <v/>
      </c>
      <c r="AH41" s="2488"/>
    </row>
    <row r="42" spans="1:34" ht="14.25" customHeight="1">
      <c r="A42" s="857"/>
      <c r="B42" s="441" t="s">
        <v>539</v>
      </c>
      <c r="C42" s="34"/>
      <c r="D42" s="351" t="s">
        <v>876</v>
      </c>
      <c r="E42" s="351"/>
      <c r="F42" s="351"/>
      <c r="G42" s="351"/>
      <c r="H42" s="351"/>
      <c r="I42" s="185"/>
      <c r="J42" s="185"/>
      <c r="K42" s="439">
        <f>C41</f>
        <v>16</v>
      </c>
      <c r="L42" s="2401"/>
      <c r="M42" s="1155"/>
      <c r="N42" s="3717" t="str">
        <f>IF(AND(OR($Y$48,$Z$48,$AA$48),$O$45=""),"contribution","")</f>
        <v/>
      </c>
      <c r="O42" s="943"/>
      <c r="P42" s="1439"/>
      <c r="Q42" s="406"/>
      <c r="U42" s="2824" t="s">
        <v>122</v>
      </c>
      <c r="V42" s="2814" t="s">
        <v>3142</v>
      </c>
      <c r="W42" s="2825"/>
      <c r="X42" s="2825"/>
      <c r="Y42" s="2825"/>
      <c r="Z42" s="2825"/>
      <c r="AA42" s="2825"/>
      <c r="AB42" s="2825"/>
      <c r="AC42" s="2825"/>
      <c r="AD42" s="2825"/>
      <c r="AE42" s="2825"/>
      <c r="AF42" s="2826" t="s">
        <v>122</v>
      </c>
      <c r="AG42" s="2838" t="str">
        <f>IF(OR(AG26="",NumFileStatusBoxes=0,$V$34="X"),"",ROUND(AG26*AG41,0))</f>
        <v/>
      </c>
      <c r="AH42" s="2488"/>
    </row>
    <row r="43" spans="1:34" ht="11.25" customHeight="1">
      <c r="A43" s="857"/>
      <c r="B43" s="201" t="s">
        <v>540</v>
      </c>
      <c r="C43" s="34">
        <v>17</v>
      </c>
      <c r="D43" s="818" t="s">
        <v>881</v>
      </c>
      <c r="E43" s="818"/>
      <c r="F43" s="818"/>
      <c r="G43" s="818"/>
      <c r="H43" s="818"/>
      <c r="I43" s="185"/>
      <c r="J43" s="185"/>
      <c r="K43" s="444"/>
      <c r="L43" s="31"/>
      <c r="M43" s="1155"/>
      <c r="N43" s="3717" t="str">
        <f>IF(AND(OR($Y$48,$Z$48,$AA$48),$O$45=""),"may be limited.","")</f>
        <v/>
      </c>
      <c r="O43" s="943"/>
      <c r="P43" s="1439"/>
      <c r="Q43" s="406"/>
      <c r="U43" s="2824" t="s">
        <v>123</v>
      </c>
      <c r="V43" s="2814" t="s">
        <v>3143</v>
      </c>
      <c r="W43" s="2825"/>
      <c r="X43" s="2825"/>
      <c r="Y43" s="2825"/>
      <c r="Z43" s="2825"/>
      <c r="AA43" s="2825"/>
      <c r="AB43" s="2825"/>
      <c r="AC43" s="2825"/>
      <c r="AD43" s="2825"/>
      <c r="AE43" s="2825"/>
      <c r="AF43" s="2826" t="s">
        <v>123</v>
      </c>
      <c r="AG43" s="2838" t="str">
        <f>IF(OR(AG26="",NumFileStatusBoxes=0,$V$34="X"),"",ROUND(SUM(AG26,-AG42),0))</f>
        <v/>
      </c>
      <c r="AH43" s="2488"/>
    </row>
    <row r="44" spans="1:34" ht="12.75" customHeight="1" thickBot="1">
      <c r="A44" s="857"/>
      <c r="B44" s="201" t="s">
        <v>541</v>
      </c>
      <c r="C44" s="34"/>
      <c r="D44" s="819" t="s">
        <v>882</v>
      </c>
      <c r="E44" s="819"/>
      <c r="F44" s="819"/>
      <c r="G44" s="819"/>
      <c r="H44" s="819"/>
      <c r="I44" s="185"/>
      <c r="J44" s="185"/>
      <c r="K44" s="440">
        <f>C43</f>
        <v>17</v>
      </c>
      <c r="L44" s="2401"/>
      <c r="M44" s="1155"/>
      <c r="N44" s="3717" t="str">
        <f>IF(AND(OR($Y$48,$Z$48,$AA$48),$O$45=""),"Refer to IRS","")</f>
        <v/>
      </c>
      <c r="O44" s="943"/>
      <c r="P44" s="1439"/>
      <c r="Q44" s="406"/>
      <c r="U44" s="2836"/>
      <c r="V44" s="2828"/>
      <c r="W44" s="2828"/>
      <c r="X44" s="2828"/>
      <c r="Y44" s="2828"/>
      <c r="Z44" s="2828"/>
      <c r="AA44" s="2828"/>
      <c r="AB44" s="2828"/>
      <c r="AC44" s="2828"/>
      <c r="AD44" s="2828"/>
      <c r="AE44" s="2828"/>
      <c r="AF44" s="2828"/>
      <c r="AG44" s="2828"/>
      <c r="AH44" s="2837"/>
    </row>
    <row r="45" spans="1:34" ht="13.5" thickBot="1">
      <c r="A45" s="857"/>
      <c r="B45" s="32" t="s">
        <v>542</v>
      </c>
      <c r="C45" s="34">
        <v>18</v>
      </c>
      <c r="D45" s="868" t="s">
        <v>188</v>
      </c>
      <c r="E45" s="319"/>
      <c r="F45" s="868"/>
      <c r="G45" s="868"/>
      <c r="H45" s="868"/>
      <c r="I45" s="185"/>
      <c r="J45" s="185"/>
      <c r="K45" s="439">
        <f>C45</f>
        <v>18</v>
      </c>
      <c r="L45" s="2401"/>
      <c r="M45" s="1155"/>
      <c r="N45" s="3717" t="str">
        <f>IF(AND(OR($Y$48,$Z$48,$AA$48),$O$45=""),"Publication 526.","")</f>
        <v/>
      </c>
      <c r="O45" s="3718"/>
      <c r="P45" s="3719" t="str">
        <f>IF(AND(OR($AA$48,$Y$48,$Z$48)),"Hide note.","")</f>
        <v/>
      </c>
      <c r="Q45" s="406"/>
    </row>
    <row r="46" spans="1:34" ht="15" customHeight="1" thickBot="1">
      <c r="A46" s="857"/>
      <c r="B46" s="203" t="s">
        <v>886</v>
      </c>
      <c r="C46" s="26">
        <v>19</v>
      </c>
      <c r="D46" s="869" t="str">
        <f>"Add lines "&amp;C41&amp;" through "&amp;C45</f>
        <v>Add lines 16 through 18</v>
      </c>
      <c r="E46" s="323"/>
      <c r="F46" s="869"/>
      <c r="G46" s="869"/>
      <c r="H46" s="869"/>
      <c r="I46" s="26"/>
      <c r="J46" s="26"/>
      <c r="K46" s="26"/>
      <c r="L46" s="1335" t="s">
        <v>1113</v>
      </c>
      <c r="M46" s="439">
        <f>C46</f>
        <v>19</v>
      </c>
      <c r="N46" s="2715">
        <f>IF(P46&lt;&gt;"",P46,ROUND(SUM(L42,L44,L45),0))</f>
        <v>0</v>
      </c>
      <c r="O46" s="943"/>
      <c r="P46" s="1440"/>
      <c r="Q46" s="347"/>
      <c r="U46" s="2819"/>
      <c r="V46" s="2595"/>
      <c r="W46" s="2595"/>
      <c r="X46" s="2595"/>
      <c r="Y46" s="2595"/>
      <c r="Z46" s="2595"/>
      <c r="AA46" s="2595"/>
      <c r="AB46" s="2595"/>
      <c r="AC46" s="2595"/>
      <c r="AD46" s="2595"/>
      <c r="AE46" s="2595"/>
      <c r="AF46" s="2595"/>
      <c r="AG46" s="2595"/>
      <c r="AH46" s="2596"/>
    </row>
    <row r="47" spans="1:34" ht="16.5" thickBot="1">
      <c r="A47" s="857"/>
      <c r="B47" s="441" t="s">
        <v>497</v>
      </c>
      <c r="C47" s="5010" t="str">
        <f>IF(OR(N48="",O48&lt;&gt;""),"",IF(AND(N48&lt;&gt;0,N48&lt;(0.1*Adj_Gross_Inc)),"Loss is &lt;10% of Form 1040, Line 37.  See Sch. A instructions.   (Check box at right to hide this.)",""))</f>
        <v/>
      </c>
      <c r="D47" s="5011"/>
      <c r="E47" s="5011"/>
      <c r="F47" s="5011"/>
      <c r="G47" s="5011"/>
      <c r="H47" s="5011"/>
      <c r="I47" s="5011"/>
      <c r="J47" s="5011"/>
      <c r="K47" s="5011"/>
      <c r="L47" s="5012"/>
      <c r="M47" s="1155"/>
      <c r="N47" s="31"/>
      <c r="O47" s="943"/>
      <c r="P47" s="1439"/>
      <c r="Q47" s="347"/>
      <c r="U47" s="2820" t="s">
        <v>3147</v>
      </c>
      <c r="V47" s="2399"/>
      <c r="W47" s="2399"/>
      <c r="X47" s="2399"/>
      <c r="Y47" s="2399"/>
      <c r="Z47" s="2399"/>
      <c r="AA47" s="3145" t="s">
        <v>3149</v>
      </c>
      <c r="AB47" s="3145" t="s">
        <v>3150</v>
      </c>
      <c r="AC47" s="2399"/>
      <c r="AD47" s="2399"/>
      <c r="AE47" s="2399"/>
      <c r="AF47" s="2399"/>
      <c r="AG47" s="2399"/>
      <c r="AH47" s="2477"/>
    </row>
    <row r="48" spans="1:34" ht="15.75" thickBot="1">
      <c r="A48" s="857"/>
      <c r="B48" s="290" t="s">
        <v>415</v>
      </c>
      <c r="C48" s="26">
        <v>20</v>
      </c>
      <c r="D48" s="869" t="s">
        <v>877</v>
      </c>
      <c r="E48" s="323"/>
      <c r="F48" s="869"/>
      <c r="G48" s="869"/>
      <c r="H48" s="869"/>
      <c r="I48" s="26"/>
      <c r="J48" s="26"/>
      <c r="K48" s="26"/>
      <c r="L48" s="204"/>
      <c r="M48" s="439">
        <f>C48</f>
        <v>20</v>
      </c>
      <c r="N48" s="2401"/>
      <c r="O48" s="1409"/>
      <c r="P48" s="1439"/>
      <c r="Q48" s="347"/>
      <c r="U48" s="3809"/>
      <c r="V48" s="3722"/>
      <c r="W48" s="3722"/>
      <c r="X48" s="3721" t="str">
        <f>IF(File_Marr_Sep&lt;&gt;"",X53,IF(File_Single&lt;&gt;"",X54,IF(File_Head&lt;&gt;"",X55,IF(OR(File_Marr_Joint&lt;&gt;"",File_Qual_Widow&lt;&gt;""),X56,""))))</f>
        <v/>
      </c>
      <c r="Y48" s="3722" t="b">
        <f>IF(AND(N46&gt;0,Adj_Gross_Inc&gt;X48),TRUE,FALSE)</f>
        <v>0</v>
      </c>
      <c r="Z48" s="3722" t="b">
        <f>IF(N46&gt;AB48*Adj_Gross_Inc,TRUE,FALSE)</f>
        <v>0</v>
      </c>
      <c r="AA48" s="3722" t="b">
        <f>IF(N46&gt;AC48*Adj_Gross_Inc,TRUE,FALSE)</f>
        <v>0</v>
      </c>
      <c r="AB48" s="3722">
        <v>0.5</v>
      </c>
      <c r="AC48" s="3722">
        <v>0.2</v>
      </c>
      <c r="AD48" s="3722"/>
      <c r="AE48" s="3722"/>
      <c r="AF48" s="3722"/>
      <c r="AG48" s="3722"/>
      <c r="AH48" s="3810"/>
    </row>
    <row r="49" spans="1:36" ht="15">
      <c r="A49" s="857"/>
      <c r="B49" s="441" t="s">
        <v>304</v>
      </c>
      <c r="C49" s="34">
        <v>21</v>
      </c>
      <c r="D49" s="868" t="s">
        <v>880</v>
      </c>
      <c r="E49" s="319"/>
      <c r="F49" s="868"/>
      <c r="G49" s="868"/>
      <c r="H49" s="868"/>
      <c r="I49" s="185"/>
      <c r="J49" s="185"/>
      <c r="K49" s="432"/>
      <c r="L49" s="31"/>
      <c r="M49" s="1155"/>
      <c r="N49" s="31"/>
      <c r="O49" s="943"/>
      <c r="P49" s="1439"/>
      <c r="Q49" s="347"/>
      <c r="U49" s="4006"/>
      <c r="V49" s="2823"/>
      <c r="W49" s="2823"/>
      <c r="X49" s="2823"/>
      <c r="Y49" s="2823"/>
      <c r="Z49" s="2823"/>
      <c r="AA49" s="2823"/>
      <c r="AB49" s="2823"/>
      <c r="AC49" s="2823"/>
      <c r="AD49" s="2823"/>
      <c r="AE49" s="2823"/>
      <c r="AF49" s="2823"/>
      <c r="AG49" s="2823"/>
      <c r="AH49" s="2483"/>
    </row>
    <row r="50" spans="1:36" ht="15">
      <c r="A50" s="857"/>
      <c r="B50" s="441" t="s">
        <v>258</v>
      </c>
      <c r="C50" s="34"/>
      <c r="D50" s="868" t="s">
        <v>879</v>
      </c>
      <c r="E50" s="319"/>
      <c r="F50" s="868"/>
      <c r="G50" s="868"/>
      <c r="H50" s="868"/>
      <c r="I50" s="185"/>
      <c r="J50" s="185"/>
      <c r="K50" s="432"/>
      <c r="L50" s="31"/>
      <c r="M50" s="1155"/>
      <c r="N50" s="31"/>
      <c r="O50" s="943"/>
      <c r="P50" s="1439"/>
      <c r="Q50" s="347"/>
      <c r="U50" s="3720" t="s">
        <v>476</v>
      </c>
      <c r="V50" s="3715" t="str">
        <f>"For "&amp;TaxYear&amp;", the total of your charitable contributions deduction and certain other itemized deductions may be limited if"</f>
        <v>For 2016, the total of your charitable contributions deduction and certain other itemized deductions may be limited if</v>
      </c>
      <c r="W50" s="2825"/>
      <c r="X50" s="2825"/>
      <c r="Y50" s="2825"/>
      <c r="Z50" s="2825"/>
      <c r="AA50" s="2825"/>
      <c r="AB50" s="2825"/>
      <c r="AC50" s="2825"/>
      <c r="AD50" s="2825"/>
      <c r="AE50" s="2825"/>
      <c r="AF50" s="2825"/>
      <c r="AG50" s="2825"/>
      <c r="AH50" s="2488"/>
      <c r="AJ50" s="1478"/>
    </row>
    <row r="51" spans="1:36" ht="15">
      <c r="A51" s="857"/>
      <c r="B51" s="441" t="s">
        <v>698</v>
      </c>
      <c r="C51" s="34"/>
      <c r="D51" s="868" t="s">
        <v>878</v>
      </c>
      <c r="E51" s="319"/>
      <c r="F51" s="1470"/>
      <c r="G51" s="5041"/>
      <c r="H51" s="5042"/>
      <c r="I51" s="5042"/>
      <c r="J51" s="5043"/>
      <c r="K51" s="439">
        <f>C49</f>
        <v>21</v>
      </c>
      <c r="L51" s="2401"/>
      <c r="M51" s="1155"/>
      <c r="N51" s="31"/>
      <c r="O51" s="943"/>
      <c r="P51" s="1439"/>
      <c r="Q51" s="347"/>
      <c r="U51" s="2827"/>
      <c r="V51" s="3715" t="s">
        <v>3148</v>
      </c>
      <c r="W51" s="2825"/>
      <c r="X51" s="2825"/>
      <c r="Y51" s="2825"/>
      <c r="Z51" s="2825"/>
      <c r="AA51" s="2825"/>
      <c r="AB51" s="3715" t="s">
        <v>3155</v>
      </c>
      <c r="AC51" s="2825"/>
      <c r="AD51" s="2825"/>
      <c r="AE51" s="2825"/>
      <c r="AF51" s="2825"/>
      <c r="AG51" s="2825"/>
      <c r="AH51" s="2488"/>
    </row>
    <row r="52" spans="1:36" ht="15">
      <c r="A52" s="857"/>
      <c r="B52" s="441" t="s">
        <v>699</v>
      </c>
      <c r="C52" s="34">
        <v>22</v>
      </c>
      <c r="D52" s="868" t="s">
        <v>90</v>
      </c>
      <c r="E52" s="319"/>
      <c r="F52" s="868"/>
      <c r="G52" s="868"/>
      <c r="H52" s="868"/>
      <c r="I52" s="185"/>
      <c r="J52" s="185"/>
      <c r="K52" s="439">
        <f>C52</f>
        <v>22</v>
      </c>
      <c r="L52" s="2401"/>
      <c r="M52" s="1155"/>
      <c r="N52" s="31"/>
      <c r="O52" s="943"/>
      <c r="P52" s="1439"/>
      <c r="Q52" s="347"/>
      <c r="U52" s="2827"/>
      <c r="V52" s="3712"/>
      <c r="W52" s="2825"/>
      <c r="X52" s="2825"/>
      <c r="Y52" s="2825"/>
      <c r="Z52" s="2825"/>
      <c r="AA52" s="2825"/>
      <c r="AB52" s="2825"/>
      <c r="AC52" s="2825"/>
      <c r="AD52" s="2825"/>
      <c r="AE52" s="2825"/>
      <c r="AF52" s="2825"/>
      <c r="AG52" s="2825"/>
      <c r="AH52" s="2488"/>
    </row>
    <row r="53" spans="1:36" ht="15">
      <c r="A53" s="857"/>
      <c r="B53" s="201" t="s">
        <v>703</v>
      </c>
      <c r="C53" s="34">
        <v>23</v>
      </c>
      <c r="D53" s="868" t="s">
        <v>883</v>
      </c>
      <c r="E53" s="319"/>
      <c r="F53" s="868"/>
      <c r="G53" s="868"/>
      <c r="H53" s="868"/>
      <c r="I53" s="185"/>
      <c r="J53" s="185"/>
      <c r="K53" s="432"/>
      <c r="L53" s="31"/>
      <c r="M53" s="1155"/>
      <c r="N53" s="31"/>
      <c r="O53" s="943"/>
      <c r="P53" s="1439"/>
      <c r="Q53" s="347"/>
      <c r="U53" s="2827"/>
      <c r="V53" s="3712"/>
      <c r="W53" s="3714" t="str">
        <f>"•"</f>
        <v>•</v>
      </c>
      <c r="X53" s="3713">
        <v>155650</v>
      </c>
      <c r="Y53" s="3715" t="s">
        <v>3151</v>
      </c>
      <c r="Z53" s="2825"/>
      <c r="AA53" s="2825"/>
      <c r="AB53" s="3090"/>
      <c r="AC53" s="2825"/>
      <c r="AD53" s="2825"/>
      <c r="AE53" s="2825"/>
      <c r="AF53" s="2825"/>
      <c r="AG53" s="2825"/>
      <c r="AH53" s="2488"/>
    </row>
    <row r="54" spans="1:36" ht="15">
      <c r="A54" s="857"/>
      <c r="B54" s="201" t="s">
        <v>611</v>
      </c>
      <c r="C54" s="34"/>
      <c r="D54" s="868" t="s">
        <v>884</v>
      </c>
      <c r="E54" s="319"/>
      <c r="F54" s="868"/>
      <c r="G54" s="5041"/>
      <c r="H54" s="5042"/>
      <c r="I54" s="5042"/>
      <c r="J54" s="5043"/>
      <c r="K54" s="432"/>
      <c r="L54" s="31"/>
      <c r="M54" s="1155"/>
      <c r="N54" s="31"/>
      <c r="O54" s="943"/>
      <c r="P54" s="1439"/>
      <c r="Q54" s="347"/>
      <c r="U54" s="2827"/>
      <c r="V54" s="3712"/>
      <c r="W54" s="3714" t="str">
        <f>"•"</f>
        <v>•</v>
      </c>
      <c r="X54" s="3713">
        <v>259400</v>
      </c>
      <c r="Y54" s="3715" t="s">
        <v>3152</v>
      </c>
      <c r="Z54" s="3090"/>
      <c r="AA54" s="2825"/>
      <c r="AB54" s="3090"/>
      <c r="AC54" s="2825"/>
      <c r="AD54" s="2825"/>
      <c r="AE54" s="2825"/>
      <c r="AF54" s="2825"/>
      <c r="AG54" s="2825"/>
      <c r="AH54" s="2488"/>
    </row>
    <row r="55" spans="1:36" ht="15">
      <c r="A55" s="857"/>
      <c r="B55" s="201"/>
      <c r="C55" s="34"/>
      <c r="D55" s="5039"/>
      <c r="E55" s="5039"/>
      <c r="F55" s="5039"/>
      <c r="G55" s="5039"/>
      <c r="H55" s="5039"/>
      <c r="I55" s="5039"/>
      <c r="J55" s="5040"/>
      <c r="K55" s="439">
        <f>C53</f>
        <v>23</v>
      </c>
      <c r="L55" s="2401"/>
      <c r="M55" s="1155"/>
      <c r="N55" s="31"/>
      <c r="O55" s="943"/>
      <c r="P55" s="1439"/>
      <c r="Q55" s="347"/>
      <c r="U55" s="2827"/>
      <c r="V55" s="3712"/>
      <c r="W55" s="3714" t="str">
        <f>"•"</f>
        <v>•</v>
      </c>
      <c r="X55" s="3713">
        <v>285350</v>
      </c>
      <c r="Y55" s="3715" t="s">
        <v>3153</v>
      </c>
      <c r="Z55" s="2825"/>
      <c r="AA55" s="3090"/>
      <c r="AB55" s="3090"/>
      <c r="AC55" s="2825"/>
      <c r="AD55" s="2825"/>
      <c r="AE55" s="2825"/>
      <c r="AF55" s="2825"/>
      <c r="AG55" s="2825"/>
      <c r="AH55" s="2488"/>
    </row>
    <row r="56" spans="1:36" ht="15">
      <c r="A56" s="857"/>
      <c r="B56" s="201"/>
      <c r="C56" s="34">
        <v>24</v>
      </c>
      <c r="D56" s="1336" t="str">
        <f>"Add lines "&amp;C49&amp;" through "&amp;C53</f>
        <v>Add lines 21 through 23</v>
      </c>
      <c r="E56" s="319"/>
      <c r="F56" s="868"/>
      <c r="G56" s="868"/>
      <c r="H56" s="868"/>
      <c r="I56" s="185"/>
      <c r="J56" s="686" t="s">
        <v>193</v>
      </c>
      <c r="K56" s="439">
        <f>C56</f>
        <v>24</v>
      </c>
      <c r="L56" s="2715">
        <f>ROUND((L51+L52+L55),0)</f>
        <v>0</v>
      </c>
      <c r="M56" s="1155"/>
      <c r="N56" s="31"/>
      <c r="O56" s="943"/>
      <c r="P56" s="1439"/>
      <c r="Q56" s="347"/>
      <c r="U56" s="2827"/>
      <c r="V56" s="3712"/>
      <c r="W56" s="3714" t="str">
        <f>"•"</f>
        <v>•</v>
      </c>
      <c r="X56" s="3713">
        <v>311300</v>
      </c>
      <c r="Y56" s="3715" t="s">
        <v>3154</v>
      </c>
      <c r="Z56" s="2825"/>
      <c r="AA56" s="2825"/>
      <c r="AB56" s="3090"/>
      <c r="AC56" s="2825"/>
      <c r="AD56" s="2825"/>
      <c r="AE56" s="2825"/>
      <c r="AF56" s="2825"/>
      <c r="AG56" s="2825"/>
      <c r="AH56" s="2488"/>
    </row>
    <row r="57" spans="1:36">
      <c r="A57" s="857"/>
      <c r="B57" s="201"/>
      <c r="C57" s="34">
        <v>25</v>
      </c>
      <c r="D57" s="868" t="str">
        <f>"Enter amount from Form 1040, line "&amp;'1040'!D73</f>
        <v>Enter amount from Form 1040, line 38</v>
      </c>
      <c r="E57" s="319"/>
      <c r="F57" s="868"/>
      <c r="G57" s="868"/>
      <c r="H57" s="868"/>
      <c r="I57" s="439">
        <f>C57</f>
        <v>25</v>
      </c>
      <c r="J57" s="2715">
        <f>Adj_Gross_Inc</f>
        <v>0</v>
      </c>
      <c r="K57" s="432"/>
      <c r="L57" s="31"/>
      <c r="M57" s="1155"/>
      <c r="N57" s="31"/>
      <c r="O57" s="943"/>
      <c r="P57" s="1439"/>
      <c r="Q57" s="347"/>
      <c r="U57" s="2827"/>
      <c r="V57" s="3712"/>
      <c r="W57" s="2825"/>
      <c r="X57" s="2825"/>
      <c r="Y57" s="2825"/>
      <c r="Z57" s="2825"/>
      <c r="AA57" s="2825"/>
      <c r="AB57" s="2825"/>
      <c r="AC57" s="2825"/>
      <c r="AD57" s="2825"/>
      <c r="AE57" s="2825"/>
      <c r="AF57" s="2825"/>
      <c r="AG57" s="2825"/>
      <c r="AH57" s="2488"/>
    </row>
    <row r="58" spans="1:36" ht="15.75" thickBot="1">
      <c r="A58" s="857"/>
      <c r="B58" s="201"/>
      <c r="C58" s="34">
        <v>26</v>
      </c>
      <c r="D58" s="868" t="str">
        <f>"Multiply line "&amp;C57&amp;" above by "&amp;TEXT(N58,"0%")&amp;" ("&amp;TEXT(N58,"0.00")&amp;")"</f>
        <v>Multiply line 25 above by 2% (0.02)</v>
      </c>
      <c r="E58" s="319"/>
      <c r="F58" s="868"/>
      <c r="G58" s="868"/>
      <c r="H58" s="868"/>
      <c r="I58" s="185"/>
      <c r="J58" s="1327" t="s">
        <v>434</v>
      </c>
      <c r="K58" s="439">
        <f>C58</f>
        <v>26</v>
      </c>
      <c r="L58" s="2715" t="str">
        <f>IF(AND(J57&lt;&gt;0,J57&lt;&gt;""),(J57*N58),"")</f>
        <v/>
      </c>
      <c r="M58" s="1153"/>
      <c r="N58" s="1325">
        <v>0.02</v>
      </c>
      <c r="O58" s="943"/>
      <c r="P58" s="1439"/>
      <c r="Q58" s="347"/>
      <c r="U58" s="3720" t="s">
        <v>0</v>
      </c>
      <c r="V58" s="3715" t="str">
        <f>"If your total contributions for the year are "&amp;TEXT(AC48,"0%")&amp;" or less of your adjusted gross income, the limits discussed in this section"</f>
        <v>If your total contributions for the year are 20% or less of your adjusted gross income, the limits discussed in this section</v>
      </c>
      <c r="W58" s="3714"/>
      <c r="X58" s="3713"/>
      <c r="Y58" s="3715"/>
      <c r="Z58" s="2825"/>
      <c r="AA58" s="2825"/>
      <c r="AB58" s="2825"/>
      <c r="AC58" s="2825"/>
      <c r="AD58" s="2825"/>
      <c r="AE58" s="2825"/>
      <c r="AF58" s="2825"/>
      <c r="AG58" s="2825"/>
      <c r="AH58" s="2488"/>
    </row>
    <row r="59" spans="1:36" ht="15.75" thickBot="1">
      <c r="A59" s="857"/>
      <c r="B59" s="203"/>
      <c r="C59" s="26">
        <v>27</v>
      </c>
      <c r="D59" s="869" t="s">
        <v>119</v>
      </c>
      <c r="E59" s="323"/>
      <c r="F59" s="869"/>
      <c r="G59" s="869"/>
      <c r="H59" s="869"/>
      <c r="I59" s="26"/>
      <c r="J59" s="26"/>
      <c r="K59" s="26"/>
      <c r="L59" s="1326"/>
      <c r="M59" s="439">
        <f>C59</f>
        <v>27</v>
      </c>
      <c r="N59" s="2715">
        <f>IF(P59&lt;&gt;"",P59,IF(OR(L58&lt;0,$L$58&gt;$L$56),0,ROUND(($L$56-$L$58),0)))</f>
        <v>0</v>
      </c>
      <c r="O59" s="943"/>
      <c r="P59" s="1440"/>
      <c r="Q59" s="347"/>
      <c r="U59" s="3720"/>
      <c r="V59" s="3715" t="s">
        <v>3177</v>
      </c>
      <c r="W59" s="3714"/>
      <c r="X59" s="3713"/>
      <c r="Y59" s="3715"/>
      <c r="Z59" s="2825"/>
      <c r="AA59" s="2825"/>
      <c r="AB59" s="2825"/>
      <c r="AC59" s="2825"/>
      <c r="AD59" s="2825"/>
      <c r="AE59" s="2825"/>
      <c r="AF59" s="2825"/>
      <c r="AG59" s="2825"/>
      <c r="AH59" s="2488"/>
    </row>
    <row r="60" spans="1:36" ht="17.25">
      <c r="A60" s="857"/>
      <c r="B60" s="441" t="s">
        <v>645</v>
      </c>
      <c r="C60" s="34">
        <v>28</v>
      </c>
      <c r="D60" s="868" t="s">
        <v>885</v>
      </c>
      <c r="E60" s="319"/>
      <c r="F60" s="868"/>
      <c r="G60" s="868"/>
      <c r="H60" s="868"/>
      <c r="I60" s="32"/>
      <c r="J60" s="32"/>
      <c r="K60" s="33"/>
      <c r="L60" s="442" t="s">
        <v>303</v>
      </c>
      <c r="M60" s="1155"/>
      <c r="N60" s="2558"/>
      <c r="O60" s="943"/>
      <c r="P60" s="1439"/>
      <c r="Q60" s="347"/>
      <c r="U60" s="2827"/>
      <c r="V60" s="3712"/>
      <c r="W60" s="2825"/>
      <c r="X60" s="2825"/>
      <c r="Y60" s="2825"/>
      <c r="Z60" s="2825"/>
      <c r="AA60" s="2825"/>
      <c r="AB60" s="2825"/>
      <c r="AC60" s="2825"/>
      <c r="AD60" s="2825"/>
      <c r="AE60" s="2825"/>
      <c r="AF60" s="2825"/>
      <c r="AG60" s="2825"/>
      <c r="AH60" s="2488"/>
    </row>
    <row r="61" spans="1:36" ht="15">
      <c r="A61" s="857"/>
      <c r="B61" s="441" t="s">
        <v>698</v>
      </c>
      <c r="C61" s="34"/>
      <c r="D61" s="5035"/>
      <c r="E61" s="5026"/>
      <c r="F61" s="5026"/>
      <c r="G61" s="5026"/>
      <c r="H61" s="5026"/>
      <c r="I61" s="5026"/>
      <c r="J61" s="5026"/>
      <c r="K61" s="5026"/>
      <c r="L61" s="5027"/>
      <c r="M61" s="1155"/>
      <c r="N61" s="31"/>
      <c r="O61" s="943"/>
      <c r="P61" s="1439"/>
      <c r="Q61" s="347"/>
      <c r="U61" s="3808" t="s">
        <v>1</v>
      </c>
      <c r="V61" s="3715" t="str">
        <f>"The amount you can deduct for charitable contributions can't be more than "&amp;TEXT(AB48,"0%")&amp;" of your adjusted gross income."</f>
        <v>The amount you can deduct for charitable contributions can't be more than 50% of your adjusted gross income.</v>
      </c>
      <c r="W61" s="2825"/>
      <c r="X61" s="2825"/>
      <c r="Y61" s="2825"/>
      <c r="Z61" s="2825"/>
      <c r="AA61" s="2825"/>
      <c r="AB61" s="2825"/>
      <c r="AC61" s="2825"/>
      <c r="AD61" s="2825"/>
      <c r="AE61" s="2825"/>
      <c r="AF61" s="2825"/>
      <c r="AG61" s="2825"/>
      <c r="AH61" s="2488"/>
    </row>
    <row r="62" spans="1:36" ht="15">
      <c r="A62" s="857"/>
      <c r="B62" s="290" t="s">
        <v>699</v>
      </c>
      <c r="C62" s="26"/>
      <c r="D62" s="5036"/>
      <c r="E62" s="5037"/>
      <c r="F62" s="5037"/>
      <c r="G62" s="5037"/>
      <c r="H62" s="5037"/>
      <c r="I62" s="5037"/>
      <c r="J62" s="5037"/>
      <c r="K62" s="5037"/>
      <c r="L62" s="5038"/>
      <c r="M62" s="439">
        <f>C60</f>
        <v>28</v>
      </c>
      <c r="N62" s="2401"/>
      <c r="O62" s="943"/>
      <c r="P62" s="1439"/>
      <c r="Q62" s="347"/>
      <c r="U62" s="2827"/>
      <c r="V62" s="4015" t="s">
        <v>3334</v>
      </c>
      <c r="W62" s="2825"/>
      <c r="X62" s="2825"/>
      <c r="Y62" s="2825"/>
      <c r="Z62" s="2825"/>
      <c r="AA62" s="2825"/>
      <c r="AB62" s="2825"/>
      <c r="AC62" s="2825"/>
      <c r="AD62" s="2825"/>
      <c r="AE62" s="2825"/>
      <c r="AF62" s="2825"/>
      <c r="AG62" s="2825"/>
      <c r="AH62" s="2488"/>
    </row>
    <row r="63" spans="1:36" ht="15.75" thickBot="1">
      <c r="A63" s="857"/>
      <c r="B63" s="441" t="s">
        <v>335</v>
      </c>
      <c r="C63" s="34">
        <v>29</v>
      </c>
      <c r="D63" s="868" t="str">
        <f>"Is Form 1040, line 38, over "&amp;TEXT('1040'!AK78,"$0,000")&amp;"?"</f>
        <v>Is Form 1040, line 38, over $155,650?</v>
      </c>
      <c r="E63" s="319"/>
      <c r="F63" s="868"/>
      <c r="G63" s="868"/>
      <c r="H63" s="868"/>
      <c r="I63" s="185"/>
      <c r="J63" s="185"/>
      <c r="K63" s="34"/>
      <c r="L63" s="206"/>
      <c r="M63" s="1155"/>
      <c r="N63" s="31"/>
      <c r="O63" s="943"/>
      <c r="P63" s="1439"/>
      <c r="Q63" s="347"/>
      <c r="U63" s="2827"/>
      <c r="V63" s="4015" t="s">
        <v>3420</v>
      </c>
      <c r="W63" s="2825"/>
      <c r="X63" s="2825"/>
      <c r="Y63" s="2825"/>
      <c r="Z63" s="2825"/>
      <c r="AA63" s="2825"/>
      <c r="AB63" s="2825"/>
      <c r="AC63" s="2825"/>
      <c r="AD63" s="2825"/>
      <c r="AE63" s="2825"/>
      <c r="AF63" s="2825"/>
      <c r="AG63" s="2825"/>
      <c r="AH63" s="2488"/>
    </row>
    <row r="64" spans="1:36" ht="12" customHeight="1" thickBot="1">
      <c r="A64" s="857"/>
      <c r="B64" s="441" t="s">
        <v>738</v>
      </c>
      <c r="C64" s="34"/>
      <c r="D64" s="2713" t="str">
        <f>IF(Adj_Gross_Inc&gt;'1040'!AK78,"","X")</f>
        <v>X</v>
      </c>
      <c r="E64" s="818" t="s">
        <v>1629</v>
      </c>
      <c r="F64" s="868"/>
      <c r="G64" s="868"/>
      <c r="H64" s="868"/>
      <c r="I64" s="185"/>
      <c r="J64" s="185"/>
      <c r="K64" s="34"/>
      <c r="L64" s="206"/>
      <c r="M64" s="1155"/>
      <c r="N64" s="31"/>
      <c r="O64" s="943"/>
      <c r="P64" s="1439"/>
      <c r="Q64" s="2688"/>
      <c r="U64" s="2827"/>
      <c r="V64" s="4015" t="s">
        <v>3421</v>
      </c>
      <c r="W64" s="2825"/>
      <c r="X64" s="2825"/>
      <c r="Y64" s="2825"/>
      <c r="Z64" s="2825"/>
      <c r="AA64" s="2825"/>
      <c r="AB64" s="2825"/>
      <c r="AC64" s="2825"/>
      <c r="AD64" s="2825"/>
      <c r="AE64" s="2825"/>
      <c r="AF64" s="2825"/>
      <c r="AG64" s="2825"/>
      <c r="AH64" s="2488"/>
      <c r="AJ64" s="1478"/>
    </row>
    <row r="65" spans="1:34" ht="12" customHeight="1" thickBot="1">
      <c r="A65" s="857"/>
      <c r="B65" s="441" t="s">
        <v>699</v>
      </c>
      <c r="C65" s="34"/>
      <c r="D65" s="868"/>
      <c r="E65" s="319" t="s">
        <v>1628</v>
      </c>
      <c r="F65" s="868"/>
      <c r="G65" s="868"/>
      <c r="H65" s="868"/>
      <c r="I65" s="185"/>
      <c r="J65" s="185"/>
      <c r="K65" s="34"/>
      <c r="L65" s="2403"/>
      <c r="M65" s="1155"/>
      <c r="N65" s="31"/>
      <c r="O65" s="943"/>
      <c r="P65" s="1439"/>
      <c r="Q65" s="2688"/>
      <c r="U65" s="2836"/>
      <c r="V65" s="3716"/>
      <c r="W65" s="2828"/>
      <c r="X65" s="2828"/>
      <c r="Y65" s="2828"/>
      <c r="Z65" s="2828"/>
      <c r="AA65" s="2828"/>
      <c r="AB65" s="2828"/>
      <c r="AC65" s="2828"/>
      <c r="AD65" s="2828"/>
      <c r="AE65" s="2828"/>
      <c r="AF65" s="2828"/>
      <c r="AG65" s="2828"/>
      <c r="AH65" s="2837"/>
    </row>
    <row r="66" spans="1:34" ht="12" customHeight="1" thickBot="1">
      <c r="A66" s="857"/>
      <c r="B66" s="441"/>
      <c r="C66" s="34"/>
      <c r="D66" s="2713" t="str">
        <f>IF(Adj_Gross_Inc&gt;'1040'!AK78,"X","")</f>
        <v/>
      </c>
      <c r="E66" s="818" t="s">
        <v>1630</v>
      </c>
      <c r="F66" s="868"/>
      <c r="G66" s="868"/>
      <c r="H66" s="868"/>
      <c r="I66" s="185"/>
      <c r="J66" s="185"/>
      <c r="K66" s="34"/>
      <c r="L66" s="2403" t="s">
        <v>1002</v>
      </c>
      <c r="M66" s="439">
        <f>C63</f>
        <v>29</v>
      </c>
      <c r="N66" s="2715">
        <f>IF(P66&lt;&gt;"",P66,IF(D64&lt;&gt;"",SUM(N20,N29,N40,N46,N48,N59,N60,N62),IF(D66&lt;&gt;"",AG107,0)))</f>
        <v>0</v>
      </c>
      <c r="O66" s="943"/>
      <c r="P66" s="1440"/>
      <c r="Q66" s="2688"/>
      <c r="U66"/>
      <c r="V66"/>
      <c r="W66"/>
      <c r="X66"/>
      <c r="Y66"/>
      <c r="Z66"/>
      <c r="AA66"/>
      <c r="AB66"/>
      <c r="AC66"/>
      <c r="AD66"/>
      <c r="AE66"/>
      <c r="AF66"/>
      <c r="AG66"/>
      <c r="AH66"/>
    </row>
    <row r="67" spans="1:34" ht="12" customHeight="1">
      <c r="A67" s="857"/>
      <c r="B67" s="441"/>
      <c r="C67" s="34"/>
      <c r="D67" s="868"/>
      <c r="E67" s="319" t="s">
        <v>1631</v>
      </c>
      <c r="F67" s="868"/>
      <c r="G67" s="868"/>
      <c r="H67" s="868"/>
      <c r="I67" s="185"/>
      <c r="J67" s="185"/>
      <c r="K67" s="34"/>
      <c r="L67" s="206"/>
      <c r="M67" s="1155"/>
      <c r="N67" s="1404"/>
      <c r="O67" s="943"/>
      <c r="P67" s="1439"/>
      <c r="Q67" s="2688"/>
      <c r="U67" s="2819"/>
      <c r="V67" s="2595"/>
      <c r="W67" s="2595"/>
      <c r="X67" s="2595"/>
      <c r="Y67" s="2595"/>
      <c r="Z67" s="2595"/>
      <c r="AA67" s="2595"/>
      <c r="AB67" s="2595"/>
      <c r="AC67" s="2595"/>
      <c r="AD67" s="2595"/>
      <c r="AE67" s="2595"/>
      <c r="AF67" s="2595"/>
      <c r="AG67" s="2595"/>
      <c r="AH67" s="2596"/>
    </row>
    <row r="68" spans="1:34" ht="12.75" customHeight="1" thickBot="1">
      <c r="A68" s="857"/>
      <c r="B68" s="441"/>
      <c r="C68" s="187">
        <v>30</v>
      </c>
      <c r="D68" s="818" t="s">
        <v>692</v>
      </c>
      <c r="E68" s="185"/>
      <c r="F68" s="517"/>
      <c r="G68" s="517"/>
      <c r="H68" s="517"/>
      <c r="I68" s="185"/>
      <c r="J68" s="185"/>
      <c r="K68" s="185"/>
      <c r="L68" s="879"/>
      <c r="M68" s="1155"/>
      <c r="N68" s="1404"/>
      <c r="O68" s="943"/>
      <c r="P68" s="1439"/>
      <c r="Q68" s="347"/>
      <c r="U68" s="3811" t="s">
        <v>1638</v>
      </c>
      <c r="V68" s="2399"/>
      <c r="W68" s="2399"/>
      <c r="X68" s="2399"/>
      <c r="Y68" s="2399"/>
      <c r="Z68" s="2399"/>
      <c r="AA68" s="2399"/>
      <c r="AB68" s="2399"/>
      <c r="AC68" s="2399"/>
      <c r="AD68" s="2399"/>
      <c r="AE68" s="2399"/>
      <c r="AF68" s="3812" t="s">
        <v>290</v>
      </c>
      <c r="AG68" s="2399"/>
      <c r="AH68" s="2477"/>
    </row>
    <row r="69" spans="1:34" ht="12.75" customHeight="1" thickBot="1">
      <c r="A69" s="857"/>
      <c r="B69" s="1157"/>
      <c r="C69" s="1157"/>
      <c r="D69" s="1471" t="s">
        <v>2</v>
      </c>
      <c r="E69" s="217"/>
      <c r="F69" s="871"/>
      <c r="G69" s="871"/>
      <c r="H69" s="871"/>
      <c r="I69" s="217"/>
      <c r="J69" s="217"/>
      <c r="K69" s="217"/>
      <c r="L69" s="1594" t="s">
        <v>978</v>
      </c>
      <c r="M69" s="2402"/>
      <c r="N69" s="434"/>
      <c r="O69" s="943"/>
      <c r="P69" s="1439"/>
      <c r="Q69" s="347"/>
      <c r="U69" s="2818"/>
      <c r="V69" s="2603"/>
      <c r="W69" s="2603"/>
      <c r="X69" s="2603"/>
      <c r="Y69" s="2603"/>
      <c r="Z69" s="2603"/>
      <c r="AA69" s="2603"/>
      <c r="AB69" s="2603"/>
      <c r="AC69" s="2603"/>
      <c r="AD69" s="2603"/>
      <c r="AE69" s="2603"/>
      <c r="AF69" s="2603"/>
      <c r="AG69" s="2603"/>
      <c r="AH69" s="2604"/>
    </row>
    <row r="70" spans="1:34" ht="13.5" customHeight="1">
      <c r="A70" s="857"/>
      <c r="B70" s="1595" t="s">
        <v>520</v>
      </c>
      <c r="C70" s="1587"/>
      <c r="D70" s="1588"/>
      <c r="E70" s="1587"/>
      <c r="F70" s="1588"/>
      <c r="G70" s="1588"/>
      <c r="H70" s="1588"/>
      <c r="I70" s="1587"/>
      <c r="J70" s="1589"/>
      <c r="K70" s="1593" t="s">
        <v>1064</v>
      </c>
      <c r="L70" s="1590"/>
      <c r="M70" s="1591"/>
      <c r="N70" s="1592" t="str">
        <f>"Schedule A (Form 1040) "&amp;TaxYear</f>
        <v>Schedule A (Form 1040) 2016</v>
      </c>
      <c r="O70" s="943"/>
      <c r="P70" s="1439"/>
      <c r="Q70" s="347"/>
      <c r="U70" s="2822"/>
      <c r="V70" s="2823"/>
      <c r="W70" s="2823"/>
      <c r="X70" s="2823"/>
      <c r="Y70" s="2823"/>
      <c r="Z70" s="2823"/>
      <c r="AA70" s="2823"/>
      <c r="AB70" s="2823"/>
      <c r="AC70" s="2823"/>
      <c r="AD70" s="2823"/>
      <c r="AE70" s="2823"/>
      <c r="AF70" s="2823"/>
      <c r="AG70" s="2823"/>
      <c r="AH70" s="2483"/>
    </row>
    <row r="71" spans="1:34">
      <c r="A71" s="4134"/>
      <c r="B71" s="4135"/>
      <c r="C71" s="4135"/>
      <c r="D71" s="4135"/>
      <c r="E71" s="4135"/>
      <c r="F71" s="4135"/>
      <c r="G71" s="4135"/>
      <c r="H71" s="4135"/>
      <c r="I71" s="4136"/>
      <c r="J71" s="4136"/>
      <c r="K71" s="4137"/>
      <c r="L71" s="4138"/>
      <c r="M71" s="4139"/>
      <c r="N71" s="4140"/>
      <c r="O71" s="4140"/>
      <c r="P71" s="1439"/>
      <c r="T71" s="1148"/>
      <c r="U71" s="2824" t="s">
        <v>476</v>
      </c>
      <c r="V71" s="2814" t="s">
        <v>1637</v>
      </c>
      <c r="W71" s="2825"/>
      <c r="X71" s="2825"/>
      <c r="Y71" s="2825"/>
      <c r="Z71" s="2825"/>
      <c r="AA71" s="2825"/>
      <c r="AB71" s="2825"/>
      <c r="AC71" s="2825"/>
      <c r="AD71" s="2825"/>
      <c r="AE71" s="2825"/>
      <c r="AF71" s="2826" t="s">
        <v>476</v>
      </c>
      <c r="AG71" s="2838">
        <f>SUM(N20,N29,N40,N46,N48,N59,N62)</f>
        <v>0</v>
      </c>
      <c r="AH71" s="2488"/>
    </row>
    <row r="72" spans="1:34" ht="13.5" thickBot="1">
      <c r="B72" s="1"/>
      <c r="C72" s="1"/>
      <c r="D72" s="872"/>
      <c r="E72" s="4"/>
      <c r="F72" s="872"/>
      <c r="G72" s="872"/>
      <c r="H72" s="872"/>
      <c r="I72" s="23"/>
      <c r="J72" s="23"/>
      <c r="K72" s="1"/>
      <c r="L72" s="2"/>
      <c r="M72" s="1156"/>
      <c r="N72" s="25"/>
      <c r="O72" s="25"/>
      <c r="P72" s="1441"/>
      <c r="U72" s="2827"/>
      <c r="V72" s="2825"/>
      <c r="W72" s="2825"/>
      <c r="X72" s="2825"/>
      <c r="Y72" s="2825"/>
      <c r="Z72" s="2825"/>
      <c r="AA72" s="2825"/>
      <c r="AB72" s="2825"/>
      <c r="AC72" s="2825"/>
      <c r="AD72" s="2825"/>
      <c r="AE72" s="2825"/>
      <c r="AF72" s="2825"/>
      <c r="AG72" s="2825"/>
      <c r="AH72" s="2488"/>
    </row>
    <row r="73" spans="1:34" ht="14.25" thickTop="1" thickBot="1">
      <c r="B73" s="1"/>
      <c r="C73" s="5032" t="s">
        <v>621</v>
      </c>
      <c r="D73" s="5033"/>
      <c r="E73" s="5033"/>
      <c r="F73" s="5033"/>
      <c r="G73" s="5033"/>
      <c r="H73" s="5033"/>
      <c r="I73" s="5033"/>
      <c r="J73" s="5034"/>
      <c r="K73" s="1"/>
      <c r="L73" s="2"/>
      <c r="M73" s="1156"/>
      <c r="N73" s="24"/>
      <c r="O73" s="347"/>
      <c r="P73" s="1442" t="s">
        <v>1255</v>
      </c>
      <c r="U73" s="2824" t="s">
        <v>0</v>
      </c>
      <c r="V73" s="2814" t="s">
        <v>1636</v>
      </c>
      <c r="W73" s="2825"/>
      <c r="X73" s="2825"/>
      <c r="Y73" s="2825"/>
      <c r="Z73" s="2825"/>
      <c r="AA73" s="2825"/>
      <c r="AB73" s="2825"/>
      <c r="AC73" s="2825"/>
      <c r="AD73" s="2825"/>
      <c r="AE73" s="2825"/>
      <c r="AF73" s="2826" t="s">
        <v>0</v>
      </c>
      <c r="AG73" s="2838">
        <f>SUM(N20,L39,N48,Gambling_Loss)</f>
        <v>0</v>
      </c>
      <c r="AH73" s="2488"/>
    </row>
    <row r="74" spans="1:34" ht="14.25" thickTop="1" thickBot="1">
      <c r="B74" s="1"/>
      <c r="C74" s="1"/>
      <c r="D74" s="872"/>
      <c r="E74" s="4"/>
      <c r="F74" s="872"/>
      <c r="G74" s="872"/>
      <c r="H74" s="872"/>
      <c r="I74" s="23"/>
      <c r="J74" s="23"/>
      <c r="K74" s="1"/>
      <c r="L74" s="2"/>
      <c r="M74" s="1156"/>
      <c r="N74" s="24"/>
      <c r="O74" s="347"/>
      <c r="P74" s="1443"/>
      <c r="U74" s="2827"/>
      <c r="V74" s="2814" t="s">
        <v>1635</v>
      </c>
      <c r="W74" s="2825"/>
      <c r="X74" s="2825"/>
      <c r="Y74" s="2825"/>
      <c r="Z74" s="2825"/>
      <c r="AA74" s="2825"/>
      <c r="AB74" s="2825"/>
      <c r="AC74" s="2825"/>
      <c r="AD74" s="2825"/>
      <c r="AE74" s="2825"/>
      <c r="AF74" s="2825"/>
      <c r="AG74" s="2825"/>
      <c r="AH74" s="2488"/>
    </row>
    <row r="75" spans="1:34" ht="14.25" thickTop="1" thickBot="1">
      <c r="B75" s="1"/>
      <c r="C75" s="5032" t="s">
        <v>622</v>
      </c>
      <c r="D75" s="5033"/>
      <c r="E75" s="5033"/>
      <c r="F75" s="5033"/>
      <c r="G75" s="5033"/>
      <c r="H75" s="5033"/>
      <c r="I75" s="5033"/>
      <c r="J75" s="5034"/>
      <c r="K75" s="1"/>
      <c r="L75" s="2"/>
      <c r="M75" s="1156"/>
      <c r="N75" s="24"/>
      <c r="O75" s="347"/>
      <c r="P75" s="1437"/>
      <c r="U75" s="2827"/>
      <c r="V75" s="2828"/>
      <c r="W75" s="2828"/>
      <c r="X75" s="2828"/>
      <c r="Y75" s="2828"/>
      <c r="Z75" s="2828"/>
      <c r="AA75" s="2828"/>
      <c r="AB75" s="2828"/>
      <c r="AC75" s="2828"/>
      <c r="AD75" s="2828"/>
      <c r="AE75" s="2828"/>
      <c r="AF75" s="2825"/>
      <c r="AG75" s="2825"/>
      <c r="AH75" s="2488"/>
    </row>
    <row r="76" spans="1:34" ht="13.5" thickTop="1">
      <c r="P76" s="1437"/>
      <c r="U76" s="2827"/>
      <c r="V76" s="2825"/>
      <c r="W76" s="2825"/>
      <c r="X76" s="2825"/>
      <c r="Y76" s="2825"/>
      <c r="Z76" s="2825"/>
      <c r="AA76" s="2825"/>
      <c r="AB76" s="2825"/>
      <c r="AC76" s="2825"/>
      <c r="AD76" s="2825"/>
      <c r="AE76" s="2825"/>
      <c r="AF76" s="2825"/>
      <c r="AG76" s="2825"/>
      <c r="AH76" s="2488"/>
    </row>
    <row r="77" spans="1:34">
      <c r="U77" s="2827"/>
      <c r="V77" s="2825"/>
      <c r="W77" s="2825"/>
      <c r="X77" s="3841" t="s">
        <v>3248</v>
      </c>
      <c r="Y77" s="2825"/>
      <c r="Z77" s="2825"/>
      <c r="AA77" s="2825"/>
      <c r="AB77" s="2825"/>
      <c r="AC77" s="2825"/>
      <c r="AD77" s="2825"/>
      <c r="AE77" s="2825"/>
      <c r="AF77" s="2825"/>
      <c r="AG77" s="2825"/>
      <c r="AH77" s="2488"/>
    </row>
    <row r="78" spans="1:34" ht="12.75" customHeight="1">
      <c r="F78" s="1136"/>
      <c r="G78" s="1136"/>
      <c r="H78" s="1136"/>
      <c r="U78" s="2827"/>
      <c r="V78" s="2825"/>
      <c r="W78" s="2825"/>
      <c r="X78" s="3841" t="s">
        <v>3247</v>
      </c>
      <c r="Y78" s="2825"/>
      <c r="Z78" s="2825"/>
      <c r="AA78" s="2825"/>
      <c r="AB78" s="2825"/>
      <c r="AC78" s="2825"/>
      <c r="AD78" s="2825"/>
      <c r="AE78" s="2825"/>
      <c r="AF78" s="2825"/>
      <c r="AG78" s="2825"/>
      <c r="AH78" s="2488"/>
    </row>
    <row r="79" spans="1:34" ht="12.75" customHeight="1" thickBot="1">
      <c r="B79" s="1"/>
      <c r="C79" s="1"/>
      <c r="D79" s="872"/>
      <c r="E79" s="4"/>
      <c r="F79" s="872"/>
      <c r="G79" s="872"/>
      <c r="H79" s="872"/>
      <c r="I79" s="23"/>
      <c r="J79" s="23"/>
      <c r="K79" s="1"/>
      <c r="L79" s="2"/>
      <c r="M79" s="1156"/>
      <c r="N79" s="25"/>
      <c r="O79" s="25"/>
      <c r="P79" s="1441"/>
      <c r="U79" s="2827"/>
      <c r="V79" s="2828"/>
      <c r="W79" s="2828"/>
      <c r="X79" s="2828"/>
      <c r="Y79" s="2828"/>
      <c r="Z79" s="2828"/>
      <c r="AA79" s="2828"/>
      <c r="AB79" s="2828"/>
      <c r="AC79" s="2828"/>
      <c r="AD79" s="2828"/>
      <c r="AE79" s="2828"/>
      <c r="AF79" s="2825"/>
      <c r="AG79" s="2825"/>
      <c r="AH79" s="2488"/>
    </row>
    <row r="80" spans="1:34" ht="12.75" customHeight="1">
      <c r="U80" s="2827"/>
      <c r="V80" s="2825"/>
      <c r="W80" s="2825"/>
      <c r="X80" s="2825"/>
      <c r="Y80" s="2825"/>
      <c r="Z80" s="2825"/>
      <c r="AA80" s="2825"/>
      <c r="AB80" s="2825"/>
      <c r="AC80" s="2825"/>
      <c r="AD80" s="2825"/>
      <c r="AE80" s="2825"/>
      <c r="AF80" s="2825"/>
      <c r="AG80" s="2825"/>
      <c r="AH80" s="2488"/>
    </row>
    <row r="81" spans="21:34" ht="12.75" customHeight="1">
      <c r="U81" s="2824" t="s">
        <v>1</v>
      </c>
      <c r="V81" s="2814" t="s">
        <v>1634</v>
      </c>
      <c r="W81" s="2825"/>
      <c r="X81" s="2825"/>
      <c r="Y81" s="2825"/>
      <c r="Z81" s="2825"/>
      <c r="AA81" s="2825"/>
      <c r="AB81" s="2825"/>
      <c r="AC81" s="2825"/>
      <c r="AD81" s="2825"/>
      <c r="AE81" s="2825"/>
      <c r="AF81" s="2825"/>
      <c r="AG81" s="2825"/>
      <c r="AH81" s="2488"/>
    </row>
    <row r="82" spans="21:34" ht="18" customHeight="1" thickBot="1">
      <c r="U82" s="2829"/>
      <c r="V82" s="2825"/>
      <c r="W82" s="2825"/>
      <c r="X82" s="2825"/>
      <c r="Y82" s="2825"/>
      <c r="Z82" s="2825"/>
      <c r="AA82" s="2825"/>
      <c r="AB82" s="2825"/>
      <c r="AC82" s="2825"/>
      <c r="AD82" s="2825"/>
      <c r="AE82" s="2825"/>
      <c r="AF82" s="2825"/>
      <c r="AG82" s="2825"/>
      <c r="AH82" s="2488"/>
    </row>
    <row r="83" spans="21:34" ht="12.75" customHeight="1" thickBot="1">
      <c r="U83" s="2827"/>
      <c r="V83" s="3097" t="str">
        <f>IF(AG73&lt;AG71,"","X")</f>
        <v>X</v>
      </c>
      <c r="W83" s="2830" t="s">
        <v>666</v>
      </c>
      <c r="X83" s="2831" t="s">
        <v>1617</v>
      </c>
      <c r="Y83" s="2814" t="s">
        <v>3249</v>
      </c>
      <c r="Z83" s="2825"/>
      <c r="AA83" s="2825"/>
      <c r="AB83" s="2825"/>
      <c r="AC83" s="2825"/>
      <c r="AD83" s="2825"/>
      <c r="AE83" s="2825"/>
      <c r="AF83" s="2825"/>
      <c r="AG83" s="2825"/>
      <c r="AH83" s="2488"/>
    </row>
    <row r="84" spans="21:34" ht="12.75" customHeight="1">
      <c r="U84" s="2827"/>
      <c r="V84" s="2825"/>
      <c r="W84" s="2832"/>
      <c r="X84" s="2832" t="s">
        <v>3250</v>
      </c>
      <c r="Y84" s="2825"/>
      <c r="Z84" s="2825"/>
      <c r="AA84" s="2825"/>
      <c r="AB84" s="2825"/>
      <c r="AC84" s="2825"/>
      <c r="AD84" s="2825"/>
      <c r="AE84" s="2825"/>
      <c r="AF84" s="2825"/>
      <c r="AG84" s="2825"/>
      <c r="AH84" s="2488"/>
    </row>
    <row r="85" spans="21:34" ht="12.75" customHeight="1" thickBot="1">
      <c r="U85" s="2827"/>
      <c r="V85" s="2825"/>
      <c r="W85" s="2825"/>
      <c r="X85" s="2825"/>
      <c r="Y85" s="2825"/>
      <c r="Z85" s="2825"/>
      <c r="AA85" s="2825"/>
      <c r="AB85" s="2825"/>
      <c r="AC85" s="2825"/>
      <c r="AD85" s="2825"/>
      <c r="AE85" s="2825"/>
      <c r="AF85" s="2825"/>
      <c r="AG85" s="2825"/>
      <c r="AH85" s="2488"/>
    </row>
    <row r="86" spans="21:34" ht="12.75" customHeight="1" thickBot="1">
      <c r="U86" s="2827"/>
      <c r="V86" s="3097" t="str">
        <f>IF(AG73&lt;AG71,"X","")</f>
        <v/>
      </c>
      <c r="W86" s="2814" t="s">
        <v>1633</v>
      </c>
      <c r="X86" s="2825"/>
      <c r="Y86" s="2825"/>
      <c r="Z86" s="2825"/>
      <c r="AA86" s="2825"/>
      <c r="AB86" s="2825"/>
      <c r="AC86" s="2825"/>
      <c r="AD86" s="2825"/>
      <c r="AE86" s="2825"/>
      <c r="AF86" s="2826" t="s">
        <v>1</v>
      </c>
      <c r="AG86" s="2838" t="str">
        <f>IF(V86&lt;&gt;"",SUM(AG71,-AG73),"")</f>
        <v/>
      </c>
      <c r="AH86" s="2488"/>
    </row>
    <row r="87" spans="21:34" ht="12.75" customHeight="1">
      <c r="U87" s="2827"/>
      <c r="V87" s="2825"/>
      <c r="W87" s="2825"/>
      <c r="X87" s="2825"/>
      <c r="Y87" s="2825"/>
      <c r="Z87" s="2825"/>
      <c r="AA87" s="2825"/>
      <c r="AB87" s="2825"/>
      <c r="AC87" s="2825"/>
      <c r="AD87" s="2825"/>
      <c r="AE87" s="2825"/>
      <c r="AF87" s="2825"/>
      <c r="AG87" s="2825"/>
      <c r="AH87" s="2488"/>
    </row>
    <row r="88" spans="21:34" ht="12.75" customHeight="1">
      <c r="U88" s="2824" t="s">
        <v>642</v>
      </c>
      <c r="V88" s="2814" t="str">
        <f>"Multiply line 3 by "&amp;TEXT(Z88,"0%")&amp;" ("&amp;TEXT(Z88,"0.00")&amp;")"</f>
        <v>Multiply line 3 by 80% (0.80)</v>
      </c>
      <c r="W88" s="2825"/>
      <c r="X88" s="2825"/>
      <c r="Y88" s="2825"/>
      <c r="Z88" s="2833">
        <v>0.8</v>
      </c>
      <c r="AA88" s="2825"/>
      <c r="AB88" s="2825"/>
      <c r="AC88" s="2826" t="s">
        <v>642</v>
      </c>
      <c r="AD88" s="2838" t="str">
        <f>IF(V86&lt;&gt;"",ROUND(AG86*Z88,0),"")</f>
        <v/>
      </c>
      <c r="AE88" s="2825"/>
      <c r="AF88" s="2825"/>
      <c r="AG88" s="2825"/>
      <c r="AH88" s="2488"/>
    </row>
    <row r="89" spans="21:34" ht="12.75" customHeight="1">
      <c r="U89" s="2827"/>
      <c r="V89" s="2825"/>
      <c r="W89" s="2825"/>
      <c r="X89" s="2825"/>
      <c r="Y89" s="2825"/>
      <c r="Z89" s="2825"/>
      <c r="AA89" s="2825"/>
      <c r="AB89" s="2825"/>
      <c r="AC89" s="2825"/>
      <c r="AD89" s="2825"/>
      <c r="AE89" s="2825"/>
      <c r="AF89" s="2825"/>
      <c r="AG89" s="2825"/>
      <c r="AH89" s="2488"/>
    </row>
    <row r="90" spans="21:34" ht="12.75" customHeight="1">
      <c r="U90" s="2824" t="s">
        <v>53</v>
      </c>
      <c r="V90" s="2814" t="s">
        <v>1615</v>
      </c>
      <c r="W90" s="2825"/>
      <c r="X90" s="2825"/>
      <c r="Y90" s="2825"/>
      <c r="Z90" s="2825"/>
      <c r="AA90" s="2825"/>
      <c r="AB90" s="2825"/>
      <c r="AC90" s="2826" t="s">
        <v>53</v>
      </c>
      <c r="AD90" s="2838" t="str">
        <f>IF(V86&lt;&gt;"",Adj_Gross_Inc,"")</f>
        <v/>
      </c>
      <c r="AE90" s="2825"/>
      <c r="AF90" s="2825"/>
      <c r="AG90" s="2825"/>
      <c r="AH90" s="2488"/>
    </row>
    <row r="91" spans="21:34" ht="12.75" customHeight="1">
      <c r="U91" s="2827"/>
      <c r="V91" s="2825"/>
      <c r="W91" s="2825"/>
      <c r="X91" s="2825"/>
      <c r="Y91" s="2825"/>
      <c r="Z91" s="2825"/>
      <c r="AA91" s="2825"/>
      <c r="AB91" s="2825"/>
      <c r="AC91" s="2825"/>
      <c r="AD91" s="2825"/>
      <c r="AE91" s="2825"/>
      <c r="AF91" s="2825"/>
      <c r="AG91" s="3096">
        <f>'Line 42'!U18</f>
        <v>311300</v>
      </c>
      <c r="AH91" s="2488"/>
    </row>
    <row r="92" spans="21:34" ht="12.75" customHeight="1">
      <c r="U92" s="2824" t="s">
        <v>122</v>
      </c>
      <c r="V92" s="2814" t="str">
        <f>"Enter "&amp;TEXT(AG91,"$0,000")&amp;" if married filing jointly or qualifying widow(er); "&amp;TEXT(AG92,"$0,000")&amp;" if head of household;"</f>
        <v>Enter $311,300 if married filing jointly or qualifying widow(er); $285,350 if head of household;</v>
      </c>
      <c r="W92" s="2825"/>
      <c r="X92" s="2825"/>
      <c r="Y92" s="2825"/>
      <c r="Z92" s="2825"/>
      <c r="AA92" s="2825"/>
      <c r="AB92" s="2825"/>
      <c r="AC92" s="2825"/>
      <c r="AD92" s="2825"/>
      <c r="AE92" s="2825"/>
      <c r="AF92" s="2825"/>
      <c r="AG92" s="3096">
        <f>'Line 42'!U20</f>
        <v>285350</v>
      </c>
      <c r="AH92" s="2488"/>
    </row>
    <row r="93" spans="21:34" ht="12.75" customHeight="1">
      <c r="U93" s="2827"/>
      <c r="V93" s="2814" t="str">
        <f>TEXT(AG93,"$0,000")&amp;" if single; or "&amp;TEXT(AG94,"$0,000")&amp;" if married filing separately"</f>
        <v>$259,400 if single; or $155,650 if married filing separately</v>
      </c>
      <c r="W93" s="2825"/>
      <c r="X93" s="2825"/>
      <c r="Y93" s="2825"/>
      <c r="Z93" s="2825"/>
      <c r="AA93" s="2825"/>
      <c r="AB93" s="2825"/>
      <c r="AC93" s="2826" t="s">
        <v>122</v>
      </c>
      <c r="AD93" s="2838" t="str">
        <f>IF(V86&lt;&gt;"",IF(OR(File_Qual_Widow&lt;&gt;"",File_Marr_Joint&lt;&gt;""),AG91,IF(File_Head&lt;&gt;"",AG92,IF(File_Single&lt;&gt;"",AG93,IF(File_Marr_Sep&lt;&gt;"",AG94,"Filing status?")))),"")</f>
        <v/>
      </c>
      <c r="AE93" s="2825"/>
      <c r="AF93" s="2825"/>
      <c r="AG93" s="3096">
        <f>'Line 42'!U17</f>
        <v>259400</v>
      </c>
      <c r="AH93" s="2488"/>
    </row>
    <row r="94" spans="21:34" ht="12.75" customHeight="1">
      <c r="U94" s="2827"/>
      <c r="V94" s="2825"/>
      <c r="W94" s="2825"/>
      <c r="X94" s="2825"/>
      <c r="Y94" s="2825"/>
      <c r="Z94" s="2825"/>
      <c r="AA94" s="2825"/>
      <c r="AB94" s="2825"/>
      <c r="AC94" s="2825"/>
      <c r="AD94" s="2825"/>
      <c r="AE94" s="2825"/>
      <c r="AF94" s="2825"/>
      <c r="AG94" s="3096">
        <f>'Line 42'!U19</f>
        <v>155650</v>
      </c>
      <c r="AH94" s="2488"/>
    </row>
    <row r="95" spans="21:34" ht="12.75" customHeight="1">
      <c r="U95" s="2824" t="s">
        <v>123</v>
      </c>
      <c r="V95" s="2814" t="s">
        <v>370</v>
      </c>
      <c r="W95" s="2825"/>
      <c r="X95" s="2825"/>
      <c r="Y95" s="2825"/>
      <c r="Z95" s="2825"/>
      <c r="AA95" s="2825"/>
      <c r="AB95" s="2825"/>
      <c r="AC95" s="2825"/>
      <c r="AD95" s="2825"/>
      <c r="AE95" s="2825"/>
      <c r="AF95" s="2825"/>
      <c r="AG95" s="2825"/>
      <c r="AH95" s="2488"/>
    </row>
    <row r="96" spans="21:34" ht="17.25" customHeight="1" thickBot="1">
      <c r="U96" s="2827"/>
      <c r="V96" s="2825"/>
      <c r="W96" s="2825"/>
      <c r="X96" s="2825"/>
      <c r="Y96" s="2825"/>
      <c r="Z96" s="2825"/>
      <c r="AA96" s="2825"/>
      <c r="AB96" s="2825"/>
      <c r="AC96" s="2825"/>
      <c r="AD96" s="2825"/>
      <c r="AE96" s="2825"/>
      <c r="AF96" s="2825"/>
      <c r="AG96" s="2825"/>
      <c r="AH96" s="2488"/>
    </row>
    <row r="97" spans="21:34" ht="12.75" customHeight="1" thickBot="1">
      <c r="U97" s="2827"/>
      <c r="V97" s="3097" t="str">
        <f>IF(V86&lt;&gt;"",IF(AD93&lt;AD90,"","X"),"")</f>
        <v/>
      </c>
      <c r="W97" s="2830" t="s">
        <v>666</v>
      </c>
      <c r="X97" s="2831" t="s">
        <v>1617</v>
      </c>
      <c r="Y97" s="2814" t="s">
        <v>3251</v>
      </c>
      <c r="Z97" s="2825"/>
      <c r="AA97" s="2825"/>
      <c r="AB97" s="2825"/>
      <c r="AC97" s="2825"/>
      <c r="AD97" s="2825"/>
      <c r="AE97" s="2825"/>
      <c r="AF97" s="2825"/>
      <c r="AG97" s="2825"/>
      <c r="AH97" s="2488"/>
    </row>
    <row r="98" spans="21:34">
      <c r="U98" s="2827"/>
      <c r="V98" s="2825"/>
      <c r="W98" s="3712"/>
      <c r="X98" s="3712" t="s">
        <v>3252</v>
      </c>
      <c r="Y98" s="2825"/>
      <c r="Z98" s="2825"/>
      <c r="AA98" s="2825"/>
      <c r="AB98" s="2825"/>
      <c r="AC98" s="2825"/>
      <c r="AD98" s="2825"/>
      <c r="AE98" s="2825"/>
      <c r="AF98" s="2825"/>
      <c r="AG98" s="2825"/>
      <c r="AH98" s="2488"/>
    </row>
    <row r="99" spans="21:34" ht="13.5" thickBot="1">
      <c r="U99" s="2827"/>
      <c r="V99" s="2825"/>
      <c r="W99" s="2825"/>
      <c r="X99" s="2825"/>
      <c r="Y99" s="2825"/>
      <c r="Z99" s="2825"/>
      <c r="AA99" s="2825"/>
      <c r="AB99" s="2825"/>
      <c r="AC99" s="2825"/>
      <c r="AD99" s="2825"/>
      <c r="AE99" s="2825"/>
      <c r="AF99" s="2825"/>
      <c r="AG99" s="2825"/>
      <c r="AH99" s="2488"/>
    </row>
    <row r="100" spans="21:34" ht="13.5" thickBot="1">
      <c r="U100" s="2827"/>
      <c r="V100" s="3097" t="str">
        <f>IF(AD93&lt;AD90,"X","")</f>
        <v/>
      </c>
      <c r="W100" s="2814" t="s">
        <v>1632</v>
      </c>
      <c r="X100" s="2825"/>
      <c r="Y100" s="2825"/>
      <c r="Z100" s="2825"/>
      <c r="AA100" s="2825"/>
      <c r="AB100" s="2825"/>
      <c r="AC100" s="2826" t="s">
        <v>123</v>
      </c>
      <c r="AD100" s="2838" t="str">
        <f>IF(V100&lt;&gt;"",SUM(AD90,-AD93),"")</f>
        <v/>
      </c>
      <c r="AE100" s="2825"/>
      <c r="AF100" s="2825"/>
      <c r="AG100" s="2825"/>
      <c r="AH100" s="2488"/>
    </row>
    <row r="101" spans="21:34">
      <c r="U101" s="2827"/>
      <c r="V101" s="2825"/>
      <c r="W101" s="2825"/>
      <c r="X101" s="2825"/>
      <c r="Y101" s="2825"/>
      <c r="Z101" s="2825"/>
      <c r="AA101" s="2825"/>
      <c r="AB101" s="2825"/>
      <c r="AC101" s="2825"/>
      <c r="AD101" s="2825"/>
      <c r="AE101" s="2825"/>
      <c r="AF101" s="2825"/>
      <c r="AG101" s="2825"/>
      <c r="AH101" s="2488"/>
    </row>
    <row r="102" spans="21:34">
      <c r="U102" s="2824" t="s">
        <v>338</v>
      </c>
      <c r="V102" s="2814" t="str">
        <f>"Multiply line 7 by "&amp;TEXT(Z102,"0%")&amp;" ("&amp;TEXT(Z102,"0.00")&amp;")"</f>
        <v>Multiply line 7 by 3% (0.03)</v>
      </c>
      <c r="W102" s="2825"/>
      <c r="X102" s="2825"/>
      <c r="Y102" s="2825"/>
      <c r="Z102" s="2833">
        <v>0.03</v>
      </c>
      <c r="AA102" s="2825"/>
      <c r="AB102" s="2825"/>
      <c r="AC102" s="2826" t="s">
        <v>338</v>
      </c>
      <c r="AD102" s="2838" t="str">
        <f>IF(V100&lt;&gt;"",ROUND(AD100*Z102,0),"")</f>
        <v/>
      </c>
      <c r="AE102" s="2825"/>
      <c r="AF102" s="2825"/>
      <c r="AG102" s="2825"/>
      <c r="AH102" s="2488"/>
    </row>
    <row r="103" spans="21:34">
      <c r="U103" s="2827"/>
      <c r="V103" s="2825"/>
      <c r="W103" s="2825"/>
      <c r="X103" s="2825"/>
      <c r="Y103" s="2825"/>
      <c r="Z103" s="2825"/>
      <c r="AA103" s="2825"/>
      <c r="AB103" s="2825"/>
      <c r="AC103" s="2825"/>
      <c r="AD103" s="2825"/>
      <c r="AE103" s="2825"/>
      <c r="AF103" s="2825"/>
      <c r="AG103" s="2825"/>
      <c r="AH103" s="2488"/>
    </row>
    <row r="104" spans="21:34">
      <c r="U104" s="2824" t="s">
        <v>339</v>
      </c>
      <c r="V104" s="2834" t="s">
        <v>1639</v>
      </c>
      <c r="W104" s="2825"/>
      <c r="X104" s="2825"/>
      <c r="Y104" s="2825"/>
      <c r="Z104" s="2825"/>
      <c r="AA104" s="2825"/>
      <c r="AB104" s="2825"/>
      <c r="AC104" s="2825"/>
      <c r="AD104" s="2825"/>
      <c r="AE104" s="2825"/>
      <c r="AF104" s="2826" t="s">
        <v>339</v>
      </c>
      <c r="AG104" s="2838" t="str">
        <f>IF(V100&lt;&gt;"",MIN(AD88,AD102),"")</f>
        <v/>
      </c>
      <c r="AH104" s="2488"/>
    </row>
    <row r="105" spans="21:34">
      <c r="U105" s="2827"/>
      <c r="V105" s="2825"/>
      <c r="W105" s="2825"/>
      <c r="X105" s="2825"/>
      <c r="Y105" s="2825"/>
      <c r="Z105" s="2825"/>
      <c r="AA105" s="2825"/>
      <c r="AB105" s="2825"/>
      <c r="AC105" s="2825"/>
      <c r="AD105" s="2825"/>
      <c r="AE105" s="2825"/>
      <c r="AF105" s="2825"/>
      <c r="AG105" s="2825"/>
      <c r="AH105" s="2488"/>
    </row>
    <row r="106" spans="21:34">
      <c r="U106" s="2824" t="s">
        <v>477</v>
      </c>
      <c r="V106" s="2814" t="s">
        <v>1640</v>
      </c>
      <c r="W106" s="2825"/>
      <c r="X106" s="2825"/>
      <c r="Y106" s="2825"/>
      <c r="Z106" s="2825"/>
      <c r="AA106" s="2825"/>
      <c r="AB106" s="2825"/>
      <c r="AC106" s="2825"/>
      <c r="AD106" s="2825"/>
      <c r="AE106" s="2825"/>
      <c r="AF106" s="2826" t="s">
        <v>477</v>
      </c>
      <c r="AG106" s="2838" t="str">
        <f>IF(V100&lt;&gt;"",SUM(AG71,-AG104),"")</f>
        <v/>
      </c>
      <c r="AH106" s="2488"/>
    </row>
    <row r="107" spans="21:34">
      <c r="U107" s="2827"/>
      <c r="V107" s="2825"/>
      <c r="W107" s="2825"/>
      <c r="X107" s="2825"/>
      <c r="Y107" s="2825"/>
      <c r="Z107" s="2825"/>
      <c r="AA107" s="2825"/>
      <c r="AB107" s="2825"/>
      <c r="AC107" s="2825"/>
      <c r="AD107" s="2825"/>
      <c r="AE107" s="2825"/>
      <c r="AF107" s="2825"/>
      <c r="AG107" s="2835">
        <f>IF(OR(V83&lt;&gt;"",V97&lt;&gt;""),AG71,IF(V100&lt;&gt;"",SUM(AG71,-AG104),0))</f>
        <v>0</v>
      </c>
      <c r="AH107" s="2488"/>
    </row>
    <row r="108" spans="21:34" ht="13.5" thickBot="1">
      <c r="U108" s="2836"/>
      <c r="V108" s="2828"/>
      <c r="W108" s="2828"/>
      <c r="X108" s="2828"/>
      <c r="Y108" s="2828"/>
      <c r="Z108" s="2828"/>
      <c r="AA108" s="2828"/>
      <c r="AB108" s="2828"/>
      <c r="AC108" s="2828"/>
      <c r="AD108" s="2828"/>
      <c r="AE108" s="2828"/>
      <c r="AF108" s="2828"/>
      <c r="AG108" s="2828"/>
      <c r="AH108" s="2837"/>
    </row>
  </sheetData>
  <sheetProtection password="F07E" sheet="1" objects="1" scenarios="1"/>
  <mergeCells count="20">
    <mergeCell ref="C75:J75"/>
    <mergeCell ref="D61:L61"/>
    <mergeCell ref="D62:L62"/>
    <mergeCell ref="D55:J55"/>
    <mergeCell ref="G51:J51"/>
    <mergeCell ref="G54:J54"/>
    <mergeCell ref="C73:J73"/>
    <mergeCell ref="M9:N9"/>
    <mergeCell ref="K22:K23"/>
    <mergeCell ref="L22:L23"/>
    <mergeCell ref="C47:L47"/>
    <mergeCell ref="M14:N14"/>
    <mergeCell ref="B14:L14"/>
    <mergeCell ref="I27:J27"/>
    <mergeCell ref="D28:J28"/>
    <mergeCell ref="D35:J35"/>
    <mergeCell ref="D34:J34"/>
    <mergeCell ref="N21:N23"/>
    <mergeCell ref="M13:N13"/>
    <mergeCell ref="D11:L11"/>
  </mergeCells>
  <phoneticPr fontId="12" type="noConversion"/>
  <conditionalFormatting sqref="B14:L14">
    <cfRule type="expression" dxfId="1409" priority="137">
      <formula>IF(NoColor,1,0)</formula>
    </cfRule>
  </conditionalFormatting>
  <conditionalFormatting sqref="M14:N14">
    <cfRule type="expression" dxfId="1408" priority="136">
      <formula>IF(NoColor,1,0)</formula>
    </cfRule>
  </conditionalFormatting>
  <conditionalFormatting sqref="L16">
    <cfRule type="expression" dxfId="1407" priority="135">
      <formula>IF(NoColor,1,0)</formula>
    </cfRule>
  </conditionalFormatting>
  <conditionalFormatting sqref="J17">
    <cfRule type="expression" dxfId="1406" priority="134">
      <formula>IF(NoColor,1,0)</formula>
    </cfRule>
  </conditionalFormatting>
  <conditionalFormatting sqref="L51">
    <cfRule type="expression" dxfId="1405" priority="115">
      <formula>IF(NoColor,1,0)</formula>
    </cfRule>
  </conditionalFormatting>
  <conditionalFormatting sqref="L25">
    <cfRule type="expression" dxfId="1404" priority="132">
      <formula>IF(NoColor,1,0)</formula>
    </cfRule>
  </conditionalFormatting>
  <conditionalFormatting sqref="L26">
    <cfRule type="expression" dxfId="1403" priority="131">
      <formula>IF(NoColor,1,0)</formula>
    </cfRule>
  </conditionalFormatting>
  <conditionalFormatting sqref="L22:L23">
    <cfRule type="expression" dxfId="1402" priority="130">
      <formula>IF(NoColor,1,0)</formula>
    </cfRule>
  </conditionalFormatting>
  <conditionalFormatting sqref="E22">
    <cfRule type="expression" dxfId="1401" priority="129">
      <formula>IF(NoColor,1,0)</formula>
    </cfRule>
  </conditionalFormatting>
  <conditionalFormatting sqref="I27:J27">
    <cfRule type="expression" dxfId="1400" priority="128">
      <formula>IF(NoColor,1,0)</formula>
    </cfRule>
  </conditionalFormatting>
  <conditionalFormatting sqref="D28:J28">
    <cfRule type="expression" dxfId="1399" priority="127">
      <formula>IF(NoColor,1,0)</formula>
    </cfRule>
  </conditionalFormatting>
  <conditionalFormatting sqref="L28">
    <cfRule type="expression" dxfId="1398" priority="126">
      <formula>IF(NoColor,1,0)</formula>
    </cfRule>
  </conditionalFormatting>
  <conditionalFormatting sqref="L30">
    <cfRule type="expression" dxfId="1397" priority="125">
      <formula>IF(NoColor,1,0)</formula>
    </cfRule>
  </conditionalFormatting>
  <conditionalFormatting sqref="L35">
    <cfRule type="expression" dxfId="1396" priority="124">
      <formula>IF(NoColor,1,0)</formula>
    </cfRule>
  </conditionalFormatting>
  <conditionalFormatting sqref="L37">
    <cfRule type="expression" dxfId="1395" priority="123">
      <formula>IF(NoColor,1,0)</formula>
    </cfRule>
  </conditionalFormatting>
  <conditionalFormatting sqref="L39">
    <cfRule type="expression" dxfId="1394" priority="122">
      <formula>IF(NoColor,1,0)</formula>
    </cfRule>
  </conditionalFormatting>
  <conditionalFormatting sqref="D34:J35">
    <cfRule type="expression" dxfId="1393" priority="121">
      <formula>IF(NoColor,1,0)</formula>
    </cfRule>
  </conditionalFormatting>
  <conditionalFormatting sqref="L42">
    <cfRule type="expression" dxfId="1392" priority="120">
      <formula>IF(NoColor,1,0)</formula>
    </cfRule>
  </conditionalFormatting>
  <conditionalFormatting sqref="L44">
    <cfRule type="expression" dxfId="1391" priority="119">
      <formula>IF(NoColor,1,0)</formula>
    </cfRule>
  </conditionalFormatting>
  <conditionalFormatting sqref="L45">
    <cfRule type="expression" dxfId="1390" priority="118">
      <formula>IF(NoColor,1,0)</formula>
    </cfRule>
  </conditionalFormatting>
  <conditionalFormatting sqref="N48">
    <cfRule type="expression" dxfId="1389" priority="116">
      <formula>IF(NoColor,1,0)</formula>
    </cfRule>
  </conditionalFormatting>
  <conditionalFormatting sqref="G51:J51">
    <cfRule type="expression" dxfId="1388" priority="114">
      <formula>IF(NoColor,1,0)</formula>
    </cfRule>
  </conditionalFormatting>
  <conditionalFormatting sqref="G54:J54">
    <cfRule type="expression" dxfId="1387" priority="113">
      <formula>IF(NoColor,1,0)</formula>
    </cfRule>
  </conditionalFormatting>
  <conditionalFormatting sqref="D55:J55">
    <cfRule type="expression" dxfId="1386" priority="112">
      <formula>IF(NoColor,1,0)</formula>
    </cfRule>
  </conditionalFormatting>
  <conditionalFormatting sqref="J57">
    <cfRule type="expression" dxfId="1385" priority="111">
      <formula>IF(NoColor,1,0)</formula>
    </cfRule>
  </conditionalFormatting>
  <conditionalFormatting sqref="M69">
    <cfRule type="expression" dxfId="1384" priority="106">
      <formula>IF(NoColor,1,0)</formula>
    </cfRule>
  </conditionalFormatting>
  <conditionalFormatting sqref="D61:L62">
    <cfRule type="expression" dxfId="1383" priority="109">
      <formula>IF(NoColor,1,0)</formula>
    </cfRule>
  </conditionalFormatting>
  <conditionalFormatting sqref="N62">
    <cfRule type="expression" dxfId="1382" priority="108">
      <formula>IF(NoColor,1,0)</formula>
    </cfRule>
  </conditionalFormatting>
  <conditionalFormatting sqref="E24">
    <cfRule type="expression" dxfId="1381" priority="105">
      <formula>IF(NoColor,1,0)</formula>
    </cfRule>
  </conditionalFormatting>
  <conditionalFormatting sqref="L55">
    <cfRule type="expression" dxfId="1380" priority="103">
      <formula>IF(NoColor,1,0)</formula>
    </cfRule>
  </conditionalFormatting>
  <conditionalFormatting sqref="L52">
    <cfRule type="expression" dxfId="1379" priority="102">
      <formula>IF(NoColor,1,0)</formula>
    </cfRule>
  </conditionalFormatting>
  <conditionalFormatting sqref="N60">
    <cfRule type="expression" dxfId="1378" priority="99">
      <formula>IF(NoColor,1,0)</formula>
    </cfRule>
  </conditionalFormatting>
  <conditionalFormatting sqref="L19">
    <cfRule type="expression" dxfId="1377" priority="97">
      <formula>IF(NoColor,1,0)</formula>
    </cfRule>
  </conditionalFormatting>
  <conditionalFormatting sqref="N20">
    <cfRule type="expression" dxfId="1376" priority="95">
      <formula>IF(NoColor,1,0)</formula>
    </cfRule>
  </conditionalFormatting>
  <conditionalFormatting sqref="N29">
    <cfRule type="expression" dxfId="1375" priority="93">
      <formula>IF(NoColor,1,0)</formula>
    </cfRule>
  </conditionalFormatting>
  <conditionalFormatting sqref="N40">
    <cfRule type="expression" dxfId="1374" priority="91">
      <formula>IF(NoColor,1,0)</formula>
    </cfRule>
  </conditionalFormatting>
  <conditionalFormatting sqref="N46">
    <cfRule type="expression" dxfId="1373" priority="89">
      <formula>IF(NoColor,1,0)</formula>
    </cfRule>
  </conditionalFormatting>
  <conditionalFormatting sqref="L56">
    <cfRule type="expression" dxfId="1372" priority="87">
      <formula>IF(NoColor,1,0)</formula>
    </cfRule>
  </conditionalFormatting>
  <conditionalFormatting sqref="L58">
    <cfRule type="expression" dxfId="1371" priority="85">
      <formula>IF(NoColor,1,0)</formula>
    </cfRule>
  </conditionalFormatting>
  <conditionalFormatting sqref="N59">
    <cfRule type="expression" dxfId="1370" priority="83">
      <formula>IF(NoColor,1,0)</formula>
    </cfRule>
  </conditionalFormatting>
  <conditionalFormatting sqref="N66">
    <cfRule type="expression" dxfId="1369" priority="81">
      <formula>IF(NoColor,1,0)</formula>
    </cfRule>
  </conditionalFormatting>
  <conditionalFormatting sqref="X97">
    <cfRule type="expression" dxfId="1368" priority="79">
      <formula>IF($V$97&lt;&gt;"",1,0)</formula>
    </cfRule>
  </conditionalFormatting>
  <conditionalFormatting sqref="X83">
    <cfRule type="expression" dxfId="1367" priority="78">
      <formula>IF($V$83&lt;&gt;"",1,0)</formula>
    </cfRule>
  </conditionalFormatting>
  <conditionalFormatting sqref="AG107">
    <cfRule type="expression" dxfId="1366" priority="56">
      <formula>IF(NoColor,1,0)</formula>
    </cfRule>
    <cfRule type="expression" dxfId="1365" priority="57">
      <formula>IF(NoColor,1,0)</formula>
    </cfRule>
  </conditionalFormatting>
  <conditionalFormatting sqref="AG71">
    <cfRule type="expression" dxfId="1364" priority="55">
      <formula>IF(NoColor,1,0)</formula>
    </cfRule>
  </conditionalFormatting>
  <conditionalFormatting sqref="AG106">
    <cfRule type="expression" dxfId="1363" priority="41">
      <formula>IF(NoColor,1,0)</formula>
    </cfRule>
  </conditionalFormatting>
  <conditionalFormatting sqref="AG73">
    <cfRule type="expression" dxfId="1362" priority="53">
      <formula>IF(NoColor,1,0)</formula>
    </cfRule>
  </conditionalFormatting>
  <conditionalFormatting sqref="V83">
    <cfRule type="expression" dxfId="1361" priority="52">
      <formula>IF(NoColor,1,0)</formula>
    </cfRule>
  </conditionalFormatting>
  <conditionalFormatting sqref="V86">
    <cfRule type="expression" dxfId="1360" priority="51">
      <formula>IF(NoColor,1,0)</formula>
    </cfRule>
  </conditionalFormatting>
  <conditionalFormatting sqref="V97">
    <cfRule type="expression" dxfId="1359" priority="50">
      <formula>IF(NoColor,1,0)</formula>
    </cfRule>
  </conditionalFormatting>
  <conditionalFormatting sqref="V100">
    <cfRule type="expression" dxfId="1358" priority="49">
      <formula>IF(NoColor,1,0)</formula>
    </cfRule>
  </conditionalFormatting>
  <conditionalFormatting sqref="AG86">
    <cfRule type="expression" dxfId="1357" priority="48">
      <formula>IF(NoColor,1,0)</formula>
    </cfRule>
  </conditionalFormatting>
  <conditionalFormatting sqref="AD88">
    <cfRule type="expression" dxfId="1356" priority="47">
      <formula>IF(NoColor,1,0)</formula>
    </cfRule>
  </conditionalFormatting>
  <conditionalFormatting sqref="AD90">
    <cfRule type="expression" dxfId="1355" priority="46">
      <formula>IF(NoColor,1,0)</formula>
    </cfRule>
  </conditionalFormatting>
  <conditionalFormatting sqref="AD93">
    <cfRule type="expression" dxfId="1354" priority="45">
      <formula>IF(NoColor,1,0)</formula>
    </cfRule>
  </conditionalFormatting>
  <conditionalFormatting sqref="AD100">
    <cfRule type="expression" dxfId="1353" priority="44">
      <formula>IF(NoColor,1,0)</formula>
    </cfRule>
  </conditionalFormatting>
  <conditionalFormatting sqref="AD102">
    <cfRule type="expression" dxfId="1352" priority="43">
      <formula>IF(NoColor,1,0)</formula>
    </cfRule>
  </conditionalFormatting>
  <conditionalFormatting sqref="AG104">
    <cfRule type="expression" dxfId="1351" priority="42">
      <formula>IF(NoColor,1,0)</formula>
    </cfRule>
  </conditionalFormatting>
  <conditionalFormatting sqref="AG26">
    <cfRule type="expression" dxfId="1350" priority="40">
      <formula>IF(NoColor,1,0)</formula>
    </cfRule>
  </conditionalFormatting>
  <conditionalFormatting sqref="AD28">
    <cfRule type="expression" dxfId="1349" priority="39">
      <formula>IF(NoColor,1,0)</formula>
    </cfRule>
  </conditionalFormatting>
  <conditionalFormatting sqref="AD30">
    <cfRule type="expression" dxfId="1348" priority="38">
      <formula>IF(NoColor,1,0)</formula>
    </cfRule>
  </conditionalFormatting>
  <conditionalFormatting sqref="V34">
    <cfRule type="expression" dxfId="1347" priority="37">
      <formula>IF(NoColor,1,0)</formula>
    </cfRule>
  </conditionalFormatting>
  <conditionalFormatting sqref="AG43">
    <cfRule type="expression" dxfId="1346" priority="31">
      <formula>IF(NoColor,1,0)</formula>
    </cfRule>
  </conditionalFormatting>
  <conditionalFormatting sqref="AG41">
    <cfRule type="expression" dxfId="1345" priority="35">
      <formula>IF(NoColor,1,0)</formula>
    </cfRule>
  </conditionalFormatting>
  <conditionalFormatting sqref="V36">
    <cfRule type="expression" dxfId="1344" priority="34">
      <formula>IF(NoColor,1,0)</formula>
    </cfRule>
  </conditionalFormatting>
  <conditionalFormatting sqref="AD39">
    <cfRule type="expression" dxfId="1343" priority="33">
      <formula>IF(NoColor,1,0)</formula>
    </cfRule>
  </conditionalFormatting>
  <conditionalFormatting sqref="AG42">
    <cfRule type="expression" dxfId="1342" priority="32">
      <formula>IF(NoColor,1,0)</formula>
    </cfRule>
  </conditionalFormatting>
  <conditionalFormatting sqref="L38">
    <cfRule type="expression" dxfId="1341" priority="30">
      <formula>IF(NoColor,1,0)</formula>
    </cfRule>
  </conditionalFormatting>
  <conditionalFormatting sqref="P45">
    <cfRule type="expression" dxfId="1340" priority="29">
      <formula>IF(OR($Y$48,$Z$48,$AA$48),1,0)</formula>
    </cfRule>
  </conditionalFormatting>
  <conditionalFormatting sqref="O45">
    <cfRule type="expression" dxfId="1339" priority="28">
      <formula>IF(OR($Y$48,$Z$48,$AA$48),1,0)</formula>
    </cfRule>
  </conditionalFormatting>
  <conditionalFormatting sqref="V50">
    <cfRule type="expression" dxfId="1338" priority="27">
      <formula>IF($Y$48,1,0)</formula>
    </cfRule>
  </conditionalFormatting>
  <conditionalFormatting sqref="V51">
    <cfRule type="expression" dxfId="1337" priority="26">
      <formula>IF($Y$48,1,0)</formula>
    </cfRule>
  </conditionalFormatting>
  <conditionalFormatting sqref="U59">
    <cfRule type="expression" dxfId="1336" priority="19">
      <formula>IF($Z$48,1,0)</formula>
    </cfRule>
  </conditionalFormatting>
  <conditionalFormatting sqref="U50">
    <cfRule type="expression" dxfId="1335" priority="21">
      <formula>IF($Y$48,1,0)</formula>
    </cfRule>
  </conditionalFormatting>
  <conditionalFormatting sqref="AB51">
    <cfRule type="expression" dxfId="1334" priority="20">
      <formula>IF($Y$48,1,0)</formula>
    </cfRule>
  </conditionalFormatting>
  <conditionalFormatting sqref="V62">
    <cfRule type="expression" dxfId="1333" priority="12">
      <formula>IF($Z$48,1,0)</formula>
    </cfRule>
  </conditionalFormatting>
  <conditionalFormatting sqref="V58">
    <cfRule type="expression" dxfId="1332" priority="16">
      <formula>IF(AND($Y$48,NOT($AA$48)),1,0)</formula>
    </cfRule>
  </conditionalFormatting>
  <conditionalFormatting sqref="V59">
    <cfRule type="expression" dxfId="1331" priority="15">
      <formula>IF(AND($Y$48,NOT($AA$48)),1,0)</formula>
    </cfRule>
  </conditionalFormatting>
  <conditionalFormatting sqref="U58">
    <cfRule type="expression" dxfId="1330" priority="14">
      <formula>IF(AND($Y$48,NOT($AA$48)),1,0)</formula>
    </cfRule>
  </conditionalFormatting>
  <conditionalFormatting sqref="V63">
    <cfRule type="expression" dxfId="1329" priority="9">
      <formula>IF($Z$48,1,0)</formula>
    </cfRule>
  </conditionalFormatting>
  <conditionalFormatting sqref="V61">
    <cfRule type="expression" dxfId="1328" priority="13">
      <formula>IF($Z$48,1,0)</formula>
    </cfRule>
  </conditionalFormatting>
  <conditionalFormatting sqref="U61">
    <cfRule type="expression" dxfId="1327" priority="11">
      <formula>IF($Z$48,1,0)</formula>
    </cfRule>
  </conditionalFormatting>
  <conditionalFormatting sqref="V64">
    <cfRule type="expression" dxfId="1326" priority="10">
      <formula>IF($Z$48,1,0)</formula>
    </cfRule>
  </conditionalFormatting>
  <conditionalFormatting sqref="AG10">
    <cfRule type="expression" dxfId="1325" priority="6">
      <formula>IF(NoColor,1,0)</formula>
    </cfRule>
  </conditionalFormatting>
  <conditionalFormatting sqref="AG18">
    <cfRule type="expression" dxfId="1324" priority="3">
      <formula>IF(NoColor,1,0)</formula>
    </cfRule>
  </conditionalFormatting>
  <conditionalFormatting sqref="AG13">
    <cfRule type="expression" dxfId="1323" priority="2">
      <formula>IF(NoColor,1,0)</formula>
    </cfRule>
  </conditionalFormatting>
  <conditionalFormatting sqref="AG15">
    <cfRule type="expression" dxfId="1322" priority="1">
      <formula>IF(NoColor,1,0)</formula>
    </cfRule>
  </conditionalFormatting>
  <hyperlinks>
    <hyperlink ref="C73:J73" r:id="rId1" display="Download Form 1040 Schedules A&amp;B"/>
    <hyperlink ref="C75:J75" r:id="rId2" display="Download Form 1040 Schedule A&amp;B Instructions"/>
  </hyperlinks>
  <printOptions horizontalCentered="1" verticalCentered="1"/>
  <pageMargins left="0.37" right="0.25" top="0.19" bottom="0.2" header="0.25" footer="0.21"/>
  <pageSetup scale="90" fitToHeight="0" orientation="portrait" horizontalDpi="120" verticalDpi="144" r:id="rId3"/>
  <headerFooter alignWithMargins="0"/>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W78"/>
  <sheetViews>
    <sheetView zoomScaleNormal="100" workbookViewId="0">
      <selection activeCell="I13" sqref="I13:O13"/>
    </sheetView>
  </sheetViews>
  <sheetFormatPr defaultRowHeight="12.75"/>
  <cols>
    <col min="1" max="1" width="1.85546875" style="64" customWidth="1"/>
    <col min="2" max="2" width="14.28515625" customWidth="1"/>
    <col min="3" max="3" width="2.7109375" customWidth="1"/>
    <col min="4" max="4" width="19.85546875" customWidth="1"/>
    <col min="5" max="5" width="19" customWidth="1"/>
    <col min="6" max="6" width="9.140625" customWidth="1"/>
    <col min="7" max="7" width="20" customWidth="1"/>
    <col min="8" max="8" width="3.140625" customWidth="1"/>
    <col min="9" max="9" width="3.42578125" customWidth="1"/>
    <col min="10" max="14" width="1.5703125" customWidth="1"/>
    <col min="15" max="15" width="2.85546875" customWidth="1"/>
    <col min="16" max="16" width="1.85546875" customWidth="1"/>
    <col min="17" max="17" width="2.5703125" customWidth="1"/>
    <col min="18" max="18" width="3.28515625" style="4388" customWidth="1"/>
    <col min="19" max="20" width="9.140625" customWidth="1"/>
  </cols>
  <sheetData>
    <row r="1" spans="1:23" s="64" customFormat="1" ht="9.75" customHeight="1">
      <c r="A1" s="112"/>
      <c r="B1" s="112"/>
      <c r="C1" s="112"/>
      <c r="D1" s="112"/>
      <c r="E1" s="112"/>
      <c r="F1" s="112"/>
      <c r="G1" s="112"/>
      <c r="H1" s="112"/>
      <c r="I1" s="112"/>
      <c r="J1" s="112"/>
      <c r="K1" s="112"/>
      <c r="L1" s="112"/>
      <c r="M1" s="112"/>
      <c r="N1" s="112"/>
      <c r="O1" s="112"/>
      <c r="P1" s="112"/>
      <c r="R1" s="4389"/>
    </row>
    <row r="2" spans="1:23" s="64" customFormat="1" ht="8.25" customHeight="1">
      <c r="A2" s="112"/>
      <c r="B2" s="45"/>
      <c r="C2" s="343"/>
      <c r="D2" s="45"/>
      <c r="E2" s="45"/>
      <c r="F2" s="45"/>
      <c r="G2" s="45"/>
      <c r="H2" s="45"/>
      <c r="I2" s="41"/>
      <c r="J2" s="45"/>
      <c r="K2" s="45"/>
      <c r="L2" s="45"/>
      <c r="M2" s="45"/>
      <c r="N2" s="45"/>
      <c r="O2" s="45"/>
      <c r="P2" s="112"/>
      <c r="R2" s="4389"/>
    </row>
    <row r="3" spans="1:23" s="64" customFormat="1" ht="12.75" customHeight="1">
      <c r="A3" s="112"/>
      <c r="B3" s="404" t="s">
        <v>396</v>
      </c>
      <c r="C3" s="343"/>
      <c r="D3" s="45"/>
      <c r="E3" s="45"/>
      <c r="F3" s="45"/>
      <c r="G3" s="45"/>
      <c r="H3" s="45"/>
      <c r="I3" s="5052" t="s">
        <v>249</v>
      </c>
      <c r="J3" s="5053"/>
      <c r="K3" s="5053"/>
      <c r="L3" s="5053"/>
      <c r="M3" s="5053"/>
      <c r="N3" s="5053"/>
      <c r="O3" s="5053"/>
      <c r="P3" s="112"/>
      <c r="R3" s="4389"/>
    </row>
    <row r="4" spans="1:23" s="64" customFormat="1" ht="16.5" customHeight="1">
      <c r="A4" s="112"/>
      <c r="B4" s="45" t="s">
        <v>397</v>
      </c>
      <c r="C4" s="343"/>
      <c r="D4" s="45"/>
      <c r="E4" s="1457" t="s">
        <v>398</v>
      </c>
      <c r="F4" s="1457"/>
      <c r="G4" s="45"/>
      <c r="H4" s="45"/>
      <c r="I4" s="5087">
        <f>TaxYear</f>
        <v>2016</v>
      </c>
      <c r="J4" s="5088"/>
      <c r="K4" s="5088"/>
      <c r="L4" s="5088"/>
      <c r="M4" s="5088"/>
      <c r="N4" s="5088"/>
      <c r="O4" s="5088"/>
      <c r="P4" s="112"/>
      <c r="R4" s="4389"/>
    </row>
    <row r="5" spans="1:23" s="64" customFormat="1" ht="12" customHeight="1">
      <c r="A5" s="112"/>
      <c r="B5" s="1444" t="s">
        <v>293</v>
      </c>
      <c r="C5" s="343"/>
      <c r="D5" s="41"/>
      <c r="E5" s="2408" t="s">
        <v>1407</v>
      </c>
      <c r="F5" s="45"/>
      <c r="G5" s="45"/>
      <c r="H5" s="45"/>
      <c r="I5" s="5089"/>
      <c r="J5" s="5090"/>
      <c r="K5" s="5090"/>
      <c r="L5" s="5090"/>
      <c r="M5" s="5090"/>
      <c r="N5" s="5090"/>
      <c r="O5" s="5090"/>
      <c r="P5" s="112"/>
      <c r="R5" s="4389"/>
    </row>
    <row r="6" spans="1:23" s="64" customFormat="1" ht="10.5" customHeight="1">
      <c r="A6" s="112"/>
      <c r="B6" s="1444" t="s">
        <v>364</v>
      </c>
      <c r="C6" s="343"/>
      <c r="D6" s="5091" t="s">
        <v>2050</v>
      </c>
      <c r="E6" s="4724"/>
      <c r="F6" s="4724"/>
      <c r="G6" s="4724"/>
      <c r="H6" s="4946"/>
      <c r="I6" s="1616" t="s">
        <v>1574</v>
      </c>
      <c r="J6" s="449"/>
      <c r="K6" s="449"/>
      <c r="L6" s="449"/>
      <c r="M6" s="449"/>
      <c r="N6" s="449"/>
      <c r="O6" s="45"/>
      <c r="P6" s="112"/>
      <c r="R6" s="4389"/>
    </row>
    <row r="7" spans="1:23" ht="9" customHeight="1" thickBot="1">
      <c r="A7" s="112"/>
      <c r="B7" s="1445"/>
      <c r="C7" s="1281"/>
      <c r="D7" s="2407"/>
      <c r="E7" s="43"/>
      <c r="F7" s="43"/>
      <c r="G7" s="43"/>
      <c r="H7" s="43"/>
      <c r="I7" s="1617" t="s">
        <v>1575</v>
      </c>
      <c r="J7" s="1596"/>
      <c r="K7" s="1596"/>
      <c r="L7" s="1596"/>
      <c r="M7" s="1596"/>
      <c r="N7" s="1596"/>
      <c r="O7" s="43"/>
      <c r="P7" s="857"/>
    </row>
    <row r="8" spans="1:23" ht="11.25" customHeight="1">
      <c r="A8" s="112"/>
      <c r="B8" s="803" t="s">
        <v>98</v>
      </c>
      <c r="C8" s="221"/>
      <c r="D8" s="804"/>
      <c r="E8" s="804"/>
      <c r="F8" s="804"/>
      <c r="G8" s="805"/>
      <c r="H8" s="5092" t="s">
        <v>148</v>
      </c>
      <c r="I8" s="5093"/>
      <c r="J8" s="5093"/>
      <c r="K8" s="5093"/>
      <c r="L8" s="5093"/>
      <c r="M8" s="5093"/>
      <c r="N8" s="5093"/>
      <c r="O8" s="5094"/>
      <c r="P8" s="857"/>
    </row>
    <row r="9" spans="1:23" ht="17.25" customHeight="1">
      <c r="A9" s="112"/>
      <c r="B9" s="2636" t="str">
        <f>Names</f>
        <v/>
      </c>
      <c r="C9" s="2637"/>
      <c r="D9" s="2638"/>
      <c r="E9" s="2638"/>
      <c r="F9" s="2638"/>
      <c r="G9" s="2638"/>
      <c r="H9" s="5095">
        <f>SS_Yours</f>
        <v>0</v>
      </c>
      <c r="I9" s="5096"/>
      <c r="J9" s="5096"/>
      <c r="K9" s="5096"/>
      <c r="L9" s="5096"/>
      <c r="M9" s="5096"/>
      <c r="N9" s="5096"/>
      <c r="O9" s="5097"/>
      <c r="P9" s="857"/>
    </row>
    <row r="10" spans="1:23" ht="13.5" customHeight="1">
      <c r="A10" s="112"/>
      <c r="B10" s="34" t="s">
        <v>92</v>
      </c>
      <c r="C10" s="34">
        <v>1</v>
      </c>
      <c r="D10" s="319" t="s">
        <v>99</v>
      </c>
      <c r="E10" s="201"/>
      <c r="F10" s="201"/>
      <c r="G10" s="201"/>
      <c r="H10" s="443"/>
      <c r="I10" s="5063" t="str">
        <f>IF(AND($R$28,$R$55),"Amount","Enter only")</f>
        <v>Amount</v>
      </c>
      <c r="J10" s="5064"/>
      <c r="K10" s="5064"/>
      <c r="L10" s="5064"/>
      <c r="M10" s="5064"/>
      <c r="N10" s="5064"/>
      <c r="O10" s="5065"/>
      <c r="P10" s="857"/>
      <c r="W10" t="s">
        <v>1255</v>
      </c>
    </row>
    <row r="11" spans="1:23" ht="12" customHeight="1">
      <c r="A11" s="112"/>
      <c r="B11" s="34" t="s">
        <v>624</v>
      </c>
      <c r="C11" s="34"/>
      <c r="D11" s="319" t="s">
        <v>100</v>
      </c>
      <c r="E11" s="201"/>
      <c r="F11" s="201"/>
      <c r="G11" s="201"/>
      <c r="H11" s="444"/>
      <c r="I11" s="5066" t="str">
        <f>IF(AND($R$28,$R$55),"","whole dollar")</f>
        <v/>
      </c>
      <c r="J11" s="5067"/>
      <c r="K11" s="5067"/>
      <c r="L11" s="5067"/>
      <c r="M11" s="5067"/>
      <c r="N11" s="5067"/>
      <c r="O11" s="5068"/>
      <c r="P11" s="857"/>
    </row>
    <row r="12" spans="1:23" ht="12.75" customHeight="1">
      <c r="A12" s="112"/>
      <c r="B12" s="201"/>
      <c r="C12" s="34"/>
      <c r="D12" s="319" t="s">
        <v>105</v>
      </c>
      <c r="E12" s="201"/>
      <c r="F12" s="201"/>
      <c r="G12" s="325"/>
      <c r="H12" s="444"/>
      <c r="I12" s="5069" t="str">
        <f>IF(AND($R$28,$R$55),"","amounts.")</f>
        <v/>
      </c>
      <c r="J12" s="5070"/>
      <c r="K12" s="5070"/>
      <c r="L12" s="5070"/>
      <c r="M12" s="5070"/>
      <c r="N12" s="5070"/>
      <c r="O12" s="5071"/>
      <c r="P12" s="857"/>
    </row>
    <row r="13" spans="1:23" ht="12.75" customHeight="1">
      <c r="A13" s="112"/>
      <c r="B13" s="319" t="s">
        <v>101</v>
      </c>
      <c r="C13" s="34"/>
      <c r="D13" s="5035"/>
      <c r="E13" s="5085"/>
      <c r="F13" s="5085"/>
      <c r="G13" s="5086"/>
      <c r="H13" s="2632"/>
      <c r="I13" s="5047"/>
      <c r="J13" s="5048"/>
      <c r="K13" s="5048"/>
      <c r="L13" s="5048"/>
      <c r="M13" s="5048"/>
      <c r="N13" s="5048"/>
      <c r="O13" s="5049"/>
      <c r="P13" s="857"/>
      <c r="R13" s="2659">
        <f>IF(I13=ROUND(I13,0),0,1)</f>
        <v>0</v>
      </c>
    </row>
    <row r="14" spans="1:23" ht="12.75" customHeight="1">
      <c r="A14" s="112"/>
      <c r="B14" s="319" t="s">
        <v>102</v>
      </c>
      <c r="C14" s="34"/>
      <c r="D14" s="5035"/>
      <c r="E14" s="5085"/>
      <c r="F14" s="5085"/>
      <c r="G14" s="5086"/>
      <c r="H14" s="444"/>
      <c r="I14" s="5047"/>
      <c r="J14" s="5048"/>
      <c r="K14" s="5048"/>
      <c r="L14" s="5048"/>
      <c r="M14" s="5048"/>
      <c r="N14" s="5048"/>
      <c r="O14" s="5049"/>
      <c r="P14" s="857"/>
      <c r="R14" s="2659">
        <f t="shared" ref="R14:R27" si="0">IF(I14=ROUND(I14,0),0,1)</f>
        <v>0</v>
      </c>
    </row>
    <row r="15" spans="1:23" ht="12.75" customHeight="1">
      <c r="A15" s="112"/>
      <c r="B15" s="319" t="s">
        <v>723</v>
      </c>
      <c r="C15" s="34"/>
      <c r="D15" s="5044"/>
      <c r="E15" s="5045"/>
      <c r="F15" s="5045"/>
      <c r="G15" s="5046"/>
      <c r="H15" s="444"/>
      <c r="I15" s="5047"/>
      <c r="J15" s="5048"/>
      <c r="K15" s="5048"/>
      <c r="L15" s="5048"/>
      <c r="M15" s="5048"/>
      <c r="N15" s="5048"/>
      <c r="O15" s="5049"/>
      <c r="P15" s="857"/>
      <c r="R15" s="2659">
        <f t="shared" si="0"/>
        <v>0</v>
      </c>
    </row>
    <row r="16" spans="1:23" ht="12.75" customHeight="1">
      <c r="A16" s="112"/>
      <c r="B16" s="319" t="s">
        <v>103</v>
      </c>
      <c r="C16" s="34"/>
      <c r="D16" s="5044"/>
      <c r="E16" s="5045"/>
      <c r="F16" s="5045"/>
      <c r="G16" s="5046"/>
      <c r="H16" s="444"/>
      <c r="I16" s="5047"/>
      <c r="J16" s="5048"/>
      <c r="K16" s="5048"/>
      <c r="L16" s="5048"/>
      <c r="M16" s="5048"/>
      <c r="N16" s="5048"/>
      <c r="O16" s="5049"/>
      <c r="P16" s="857"/>
      <c r="R16" s="2659">
        <f t="shared" si="0"/>
        <v>0</v>
      </c>
    </row>
    <row r="17" spans="1:18" ht="12.75" customHeight="1">
      <c r="A17" s="112"/>
      <c r="B17" s="319" t="s">
        <v>724</v>
      </c>
      <c r="C17" s="34"/>
      <c r="D17" s="5044"/>
      <c r="E17" s="5045"/>
      <c r="F17" s="5045"/>
      <c r="G17" s="5046"/>
      <c r="H17" s="444"/>
      <c r="I17" s="5047"/>
      <c r="J17" s="5048"/>
      <c r="K17" s="5048"/>
      <c r="L17" s="5048"/>
      <c r="M17" s="5048"/>
      <c r="N17" s="5048"/>
      <c r="O17" s="5049"/>
      <c r="P17" s="857"/>
      <c r="R17" s="2659">
        <f t="shared" si="0"/>
        <v>0</v>
      </c>
    </row>
    <row r="18" spans="1:18" ht="12.75" customHeight="1">
      <c r="A18" s="112"/>
      <c r="B18" s="319" t="s">
        <v>725</v>
      </c>
      <c r="C18" s="34"/>
      <c r="D18" s="5044"/>
      <c r="E18" s="5045"/>
      <c r="F18" s="5045"/>
      <c r="G18" s="5046"/>
      <c r="H18" s="444"/>
      <c r="I18" s="5047"/>
      <c r="J18" s="5048"/>
      <c r="K18" s="5048"/>
      <c r="L18" s="5048"/>
      <c r="M18" s="5048"/>
      <c r="N18" s="5048"/>
      <c r="O18" s="5049"/>
      <c r="P18" s="857"/>
      <c r="R18" s="2659">
        <f t="shared" si="0"/>
        <v>0</v>
      </c>
    </row>
    <row r="19" spans="1:18" ht="12.75" customHeight="1">
      <c r="A19" s="112"/>
      <c r="B19" s="210"/>
      <c r="C19" s="34"/>
      <c r="D19" s="5044"/>
      <c r="E19" s="5045"/>
      <c r="F19" s="5045"/>
      <c r="G19" s="5046"/>
      <c r="H19" s="444"/>
      <c r="I19" s="5047"/>
      <c r="J19" s="5048"/>
      <c r="K19" s="5048"/>
      <c r="L19" s="5048"/>
      <c r="M19" s="5048"/>
      <c r="N19" s="5048"/>
      <c r="O19" s="5049"/>
      <c r="P19" s="857"/>
      <c r="R19" s="2659">
        <f t="shared" si="0"/>
        <v>0</v>
      </c>
    </row>
    <row r="20" spans="1:18" ht="12.75" customHeight="1">
      <c r="A20" s="112"/>
      <c r="B20" s="315" t="s">
        <v>1577</v>
      </c>
      <c r="C20" s="34"/>
      <c r="D20" s="5044"/>
      <c r="E20" s="5045"/>
      <c r="F20" s="5045"/>
      <c r="G20" s="5046"/>
      <c r="H20" s="444"/>
      <c r="I20" s="5047"/>
      <c r="J20" s="5048"/>
      <c r="K20" s="5048"/>
      <c r="L20" s="5048"/>
      <c r="M20" s="5048"/>
      <c r="N20" s="5048"/>
      <c r="O20" s="5049"/>
      <c r="P20" s="857"/>
      <c r="R20" s="2659">
        <f t="shared" si="0"/>
        <v>0</v>
      </c>
    </row>
    <row r="21" spans="1:18" ht="12.75" customHeight="1">
      <c r="A21" s="112"/>
      <c r="B21" s="5050" t="s">
        <v>1408</v>
      </c>
      <c r="C21" s="34"/>
      <c r="D21" s="5044"/>
      <c r="E21" s="5045"/>
      <c r="F21" s="5045"/>
      <c r="G21" s="5046"/>
      <c r="H21" s="444">
        <v>1</v>
      </c>
      <c r="I21" s="5047"/>
      <c r="J21" s="5048"/>
      <c r="K21" s="5048"/>
      <c r="L21" s="5048"/>
      <c r="M21" s="5048"/>
      <c r="N21" s="5048"/>
      <c r="O21" s="5049"/>
      <c r="P21" s="857"/>
      <c r="R21" s="2659">
        <f t="shared" si="0"/>
        <v>0</v>
      </c>
    </row>
    <row r="22" spans="1:18" ht="12.75" customHeight="1">
      <c r="A22" s="112"/>
      <c r="B22" s="5051"/>
      <c r="C22" s="34"/>
      <c r="D22" s="5044"/>
      <c r="E22" s="5045"/>
      <c r="F22" s="5045"/>
      <c r="G22" s="5046"/>
      <c r="H22" s="444"/>
      <c r="I22" s="5047"/>
      <c r="J22" s="5048"/>
      <c r="K22" s="5048"/>
      <c r="L22" s="5048"/>
      <c r="M22" s="5048"/>
      <c r="N22" s="5048"/>
      <c r="O22" s="5049"/>
      <c r="P22" s="857"/>
      <c r="R22" s="2659">
        <f t="shared" si="0"/>
        <v>0</v>
      </c>
    </row>
    <row r="23" spans="1:18" ht="12.75" customHeight="1">
      <c r="A23" s="112"/>
      <c r="B23" s="5051"/>
      <c r="C23" s="34"/>
      <c r="D23" s="5044"/>
      <c r="E23" s="5045"/>
      <c r="F23" s="5045"/>
      <c r="G23" s="5046"/>
      <c r="H23" s="444"/>
      <c r="I23" s="5047"/>
      <c r="J23" s="5048"/>
      <c r="K23" s="5048"/>
      <c r="L23" s="5048"/>
      <c r="M23" s="5048"/>
      <c r="N23" s="5048"/>
      <c r="O23" s="5049"/>
      <c r="P23" s="857"/>
      <c r="R23" s="2659">
        <f t="shared" si="0"/>
        <v>0</v>
      </c>
    </row>
    <row r="24" spans="1:18" ht="12.75" customHeight="1">
      <c r="A24" s="112"/>
      <c r="B24" s="5051"/>
      <c r="C24" s="34"/>
      <c r="D24" s="5044"/>
      <c r="E24" s="5045"/>
      <c r="F24" s="5045"/>
      <c r="G24" s="5046"/>
      <c r="H24" s="444"/>
      <c r="I24" s="5047"/>
      <c r="J24" s="5048"/>
      <c r="K24" s="5048"/>
      <c r="L24" s="5048"/>
      <c r="M24" s="5048"/>
      <c r="N24" s="5048"/>
      <c r="O24" s="5049"/>
      <c r="P24" s="857"/>
      <c r="R24" s="2659">
        <f t="shared" si="0"/>
        <v>0</v>
      </c>
    </row>
    <row r="25" spans="1:18" ht="12.75" customHeight="1">
      <c r="A25" s="112"/>
      <c r="B25" s="5051"/>
      <c r="C25" s="34"/>
      <c r="D25" s="5044"/>
      <c r="E25" s="5045"/>
      <c r="F25" s="5045"/>
      <c r="G25" s="5046"/>
      <c r="H25" s="444"/>
      <c r="I25" s="5047"/>
      <c r="J25" s="5048"/>
      <c r="K25" s="5048"/>
      <c r="L25" s="5048"/>
      <c r="M25" s="5048"/>
      <c r="N25" s="5048"/>
      <c r="O25" s="5049"/>
      <c r="P25" s="857"/>
      <c r="R25" s="2659">
        <f t="shared" si="0"/>
        <v>0</v>
      </c>
    </row>
    <row r="26" spans="1:18" ht="12.75" customHeight="1">
      <c r="A26" s="112"/>
      <c r="B26" s="5051"/>
      <c r="C26" s="34"/>
      <c r="D26" s="5044"/>
      <c r="E26" s="5045"/>
      <c r="F26" s="5045"/>
      <c r="G26" s="5046"/>
      <c r="H26" s="444"/>
      <c r="I26" s="5047"/>
      <c r="J26" s="5048"/>
      <c r="K26" s="5048"/>
      <c r="L26" s="5048"/>
      <c r="M26" s="5048"/>
      <c r="N26" s="5048"/>
      <c r="O26" s="5049"/>
      <c r="P26" s="857"/>
      <c r="R26" s="2659">
        <f t="shared" si="0"/>
        <v>0</v>
      </c>
    </row>
    <row r="27" spans="1:18" ht="12.75" customHeight="1">
      <c r="A27" s="112"/>
      <c r="B27" s="5051"/>
      <c r="C27" s="34"/>
      <c r="D27" s="5044"/>
      <c r="E27" s="5045"/>
      <c r="F27" s="5045"/>
      <c r="G27" s="5046"/>
      <c r="H27" s="440"/>
      <c r="I27" s="5047"/>
      <c r="J27" s="5048"/>
      <c r="K27" s="5048"/>
      <c r="L27" s="5048"/>
      <c r="M27" s="5048"/>
      <c r="N27" s="5048"/>
      <c r="O27" s="5049"/>
      <c r="P27" s="857"/>
      <c r="R27" s="2659">
        <f t="shared" si="0"/>
        <v>0</v>
      </c>
    </row>
    <row r="28" spans="1:18" ht="12.75" customHeight="1">
      <c r="A28" s="112"/>
      <c r="B28" s="5051"/>
      <c r="C28" s="34">
        <v>2</v>
      </c>
      <c r="D28" s="319" t="s">
        <v>67</v>
      </c>
      <c r="E28" s="201"/>
      <c r="F28" s="201"/>
      <c r="G28" s="201"/>
      <c r="H28" s="445">
        <v>2</v>
      </c>
      <c r="I28" s="5054">
        <f>ROUND(SUM(I13:I27),0)</f>
        <v>0</v>
      </c>
      <c r="J28" s="5055"/>
      <c r="K28" s="5055"/>
      <c r="L28" s="5055"/>
      <c r="M28" s="5055"/>
      <c r="N28" s="5055"/>
      <c r="O28" s="5056"/>
      <c r="P28" s="857"/>
      <c r="R28" s="2659" t="b">
        <f>IF(SUM(R13:R27)=0,TRUE,FALSE)</f>
        <v>1</v>
      </c>
    </row>
    <row r="29" spans="1:18" ht="12.75" customHeight="1">
      <c r="A29" s="112"/>
      <c r="B29" s="5051"/>
      <c r="C29" s="34">
        <v>3</v>
      </c>
      <c r="D29" s="319" t="s">
        <v>403</v>
      </c>
      <c r="E29" s="201"/>
      <c r="F29" s="201"/>
      <c r="G29" s="201"/>
      <c r="H29" s="443"/>
      <c r="I29" s="214"/>
      <c r="J29" s="214"/>
      <c r="K29" s="214"/>
      <c r="L29" s="214"/>
      <c r="M29" s="214"/>
      <c r="N29" s="214"/>
      <c r="O29" s="211"/>
      <c r="P29" s="857"/>
    </row>
    <row r="30" spans="1:18" ht="12.75" customHeight="1">
      <c r="A30" s="112"/>
      <c r="B30" s="5051"/>
      <c r="C30" s="34"/>
      <c r="D30" s="319" t="s">
        <v>106</v>
      </c>
      <c r="E30" s="201"/>
      <c r="F30" s="201"/>
      <c r="G30" s="1448" t="s">
        <v>386</v>
      </c>
      <c r="H30" s="440">
        <v>3</v>
      </c>
      <c r="I30" s="5060"/>
      <c r="J30" s="5061"/>
      <c r="K30" s="5061"/>
      <c r="L30" s="5061"/>
      <c r="M30" s="5061"/>
      <c r="N30" s="5061"/>
      <c r="O30" s="5062"/>
      <c r="P30" s="857"/>
    </row>
    <row r="31" spans="1:18" ht="12.75" customHeight="1">
      <c r="A31" s="112"/>
      <c r="B31" s="5051"/>
      <c r="C31" s="34">
        <v>4</v>
      </c>
      <c r="D31" s="319" t="s">
        <v>104</v>
      </c>
      <c r="E31" s="201"/>
      <c r="F31" s="201"/>
      <c r="G31" s="201"/>
      <c r="H31" s="443"/>
      <c r="I31" s="2404"/>
      <c r="J31" s="1446"/>
      <c r="K31" s="1446"/>
      <c r="L31" s="1446"/>
      <c r="M31" s="1446"/>
      <c r="N31" s="1446"/>
      <c r="O31" s="1447"/>
      <c r="P31" s="857"/>
    </row>
    <row r="32" spans="1:18" ht="12.75" customHeight="1">
      <c r="A32" s="112"/>
      <c r="B32" s="5051"/>
      <c r="C32" s="34"/>
      <c r="D32" s="319" t="s">
        <v>107</v>
      </c>
      <c r="E32" s="201"/>
      <c r="F32" s="201"/>
      <c r="G32" s="1448" t="s">
        <v>108</v>
      </c>
      <c r="H32" s="440">
        <f>C31</f>
        <v>4</v>
      </c>
      <c r="I32" s="5057">
        <f>(I28)-ROUND(I30,0)</f>
        <v>0</v>
      </c>
      <c r="J32" s="5058"/>
      <c r="K32" s="5058"/>
      <c r="L32" s="5058"/>
      <c r="M32" s="5058"/>
      <c r="N32" s="5058"/>
      <c r="O32" s="5059"/>
      <c r="P32" s="857"/>
    </row>
    <row r="33" spans="1:18">
      <c r="A33" s="112"/>
      <c r="B33" s="26"/>
      <c r="C33" s="1534" t="s">
        <v>46</v>
      </c>
      <c r="D33" s="1459" t="str">
        <f>"If line 4 is over "&amp;TEXT(H33,"$0,000")&amp;", you must complete Part III."</f>
        <v>If line 4 is over $1,500, you must complete Part III.</v>
      </c>
      <c r="E33" s="213"/>
      <c r="F33" s="213"/>
      <c r="G33" s="2110">
        <f>IF(AND($I$32&gt;$H$33,OR(AND(K61="",N61=""),AND(N61="",K65="",N65=""),AND(K70="",N70=""))),1,0)</f>
        <v>0</v>
      </c>
      <c r="H33" s="1533">
        <v>1500</v>
      </c>
      <c r="I33" s="5063" t="s">
        <v>66</v>
      </c>
      <c r="J33" s="5064"/>
      <c r="K33" s="5064"/>
      <c r="L33" s="5064"/>
      <c r="M33" s="5064"/>
      <c r="N33" s="5064"/>
      <c r="O33" s="5065"/>
      <c r="P33" s="857"/>
    </row>
    <row r="34" spans="1:18" ht="12.75" customHeight="1">
      <c r="A34" s="112"/>
      <c r="B34" s="212" t="s">
        <v>194</v>
      </c>
      <c r="C34" s="34">
        <v>5</v>
      </c>
      <c r="D34" s="2409" t="s">
        <v>81</v>
      </c>
      <c r="E34" s="5044"/>
      <c r="F34" s="5045"/>
      <c r="G34" s="5045"/>
      <c r="H34" s="444"/>
      <c r="I34" s="5047"/>
      <c r="J34" s="5048"/>
      <c r="K34" s="5048"/>
      <c r="L34" s="5048"/>
      <c r="M34" s="5048"/>
      <c r="N34" s="5048"/>
      <c r="O34" s="5049"/>
      <c r="P34" s="857"/>
      <c r="R34" s="2659">
        <f>IF(I34=ROUND(I34,0),0,1)</f>
        <v>0</v>
      </c>
    </row>
    <row r="35" spans="1:18" ht="12.75" customHeight="1">
      <c r="A35" s="112"/>
      <c r="B35" s="34" t="s">
        <v>571</v>
      </c>
      <c r="C35" s="34"/>
      <c r="D35" s="5035"/>
      <c r="E35" s="5045"/>
      <c r="F35" s="5045"/>
      <c r="G35" s="5046"/>
      <c r="H35" s="444"/>
      <c r="I35" s="5047"/>
      <c r="J35" s="5048"/>
      <c r="K35" s="5048"/>
      <c r="L35" s="5048"/>
      <c r="M35" s="5048"/>
      <c r="N35" s="5048"/>
      <c r="O35" s="5049"/>
      <c r="P35" s="857"/>
      <c r="R35" s="2659">
        <f t="shared" ref="R35:R53" si="1">IF(I35=ROUND(I35,0),0,1)</f>
        <v>0</v>
      </c>
    </row>
    <row r="36" spans="1:18" ht="12.75" customHeight="1">
      <c r="A36" s="112"/>
      <c r="B36" s="34" t="s">
        <v>572</v>
      </c>
      <c r="C36" s="34"/>
      <c r="D36" s="5044"/>
      <c r="E36" s="5045"/>
      <c r="F36" s="5045"/>
      <c r="G36" s="5046"/>
      <c r="H36" s="444"/>
      <c r="I36" s="5047"/>
      <c r="J36" s="5048"/>
      <c r="K36" s="5048"/>
      <c r="L36" s="5048"/>
      <c r="M36" s="5048"/>
      <c r="N36" s="5048"/>
      <c r="O36" s="5049"/>
      <c r="P36" s="857"/>
      <c r="R36" s="2659">
        <f t="shared" si="1"/>
        <v>0</v>
      </c>
    </row>
    <row r="37" spans="1:18" ht="12.75" customHeight="1">
      <c r="A37" s="112"/>
      <c r="B37" s="34"/>
      <c r="C37" s="34"/>
      <c r="D37" s="5044"/>
      <c r="E37" s="5045"/>
      <c r="F37" s="5045"/>
      <c r="G37" s="5046"/>
      <c r="H37" s="444"/>
      <c r="I37" s="5047"/>
      <c r="J37" s="5048"/>
      <c r="K37" s="5048"/>
      <c r="L37" s="5048"/>
      <c r="M37" s="5048"/>
      <c r="N37" s="5048"/>
      <c r="O37" s="5049"/>
      <c r="P37" s="857"/>
      <c r="R37" s="2659">
        <f t="shared" si="1"/>
        <v>0</v>
      </c>
    </row>
    <row r="38" spans="1:18" ht="12.75" customHeight="1">
      <c r="A38" s="112"/>
      <c r="B38" s="319" t="s">
        <v>101</v>
      </c>
      <c r="C38" s="34"/>
      <c r="D38" s="5044"/>
      <c r="E38" s="5045"/>
      <c r="F38" s="5045"/>
      <c r="G38" s="5046"/>
      <c r="H38" s="444"/>
      <c r="I38" s="5047"/>
      <c r="J38" s="5048"/>
      <c r="K38" s="5048"/>
      <c r="L38" s="5048"/>
      <c r="M38" s="5048"/>
      <c r="N38" s="5048"/>
      <c r="O38" s="5049"/>
      <c r="P38" s="857"/>
      <c r="R38" s="2659">
        <f t="shared" si="1"/>
        <v>0</v>
      </c>
    </row>
    <row r="39" spans="1:18" ht="12.75" customHeight="1">
      <c r="A39" s="112"/>
      <c r="B39" s="319" t="s">
        <v>102</v>
      </c>
      <c r="C39" s="34"/>
      <c r="D39" s="5044"/>
      <c r="E39" s="5045"/>
      <c r="F39" s="5045"/>
      <c r="G39" s="5046"/>
      <c r="H39" s="444"/>
      <c r="I39" s="5047"/>
      <c r="J39" s="5048"/>
      <c r="K39" s="5048"/>
      <c r="L39" s="5048"/>
      <c r="M39" s="5048"/>
      <c r="N39" s="5048"/>
      <c r="O39" s="5049"/>
      <c r="P39" s="857"/>
      <c r="R39" s="2659">
        <f t="shared" si="1"/>
        <v>0</v>
      </c>
    </row>
    <row r="40" spans="1:18" ht="12.75" customHeight="1">
      <c r="A40" s="112"/>
      <c r="B40" s="319" t="s">
        <v>723</v>
      </c>
      <c r="C40" s="34"/>
      <c r="D40" s="5044"/>
      <c r="E40" s="5045"/>
      <c r="F40" s="5045"/>
      <c r="G40" s="5046"/>
      <c r="H40" s="444"/>
      <c r="I40" s="5047"/>
      <c r="J40" s="5048"/>
      <c r="K40" s="5048"/>
      <c r="L40" s="5048"/>
      <c r="M40" s="5048"/>
      <c r="N40" s="5048"/>
      <c r="O40" s="5049"/>
      <c r="P40" s="857"/>
      <c r="R40" s="2659">
        <f t="shared" si="1"/>
        <v>0</v>
      </c>
    </row>
    <row r="41" spans="1:18" ht="12.75" customHeight="1">
      <c r="A41" s="112"/>
      <c r="B41" s="319" t="s">
        <v>103</v>
      </c>
      <c r="C41" s="34"/>
      <c r="D41" s="5044"/>
      <c r="E41" s="5045"/>
      <c r="F41" s="5045"/>
      <c r="G41" s="5046"/>
      <c r="H41" s="444"/>
      <c r="I41" s="5047"/>
      <c r="J41" s="5048"/>
      <c r="K41" s="5048"/>
      <c r="L41" s="5048"/>
      <c r="M41" s="5048"/>
      <c r="N41" s="5048"/>
      <c r="O41" s="5049"/>
      <c r="P41" s="857"/>
      <c r="R41" s="2659">
        <f t="shared" si="1"/>
        <v>0</v>
      </c>
    </row>
    <row r="42" spans="1:18" ht="12.75" customHeight="1">
      <c r="A42" s="112"/>
      <c r="B42" s="319" t="s">
        <v>1589</v>
      </c>
      <c r="C42" s="34"/>
      <c r="D42" s="5044"/>
      <c r="E42" s="5045"/>
      <c r="F42" s="5045"/>
      <c r="G42" s="5046"/>
      <c r="H42" s="444">
        <v>5</v>
      </c>
      <c r="I42" s="5047"/>
      <c r="J42" s="5048"/>
      <c r="K42" s="5048"/>
      <c r="L42" s="5048"/>
      <c r="M42" s="5048"/>
      <c r="N42" s="5048"/>
      <c r="O42" s="5049"/>
      <c r="P42" s="857"/>
      <c r="R42" s="2659">
        <f t="shared" si="1"/>
        <v>0</v>
      </c>
    </row>
    <row r="43" spans="1:18" ht="12.75" customHeight="1">
      <c r="A43" s="112"/>
      <c r="B43" s="210"/>
      <c r="C43" s="34"/>
      <c r="D43" s="5044"/>
      <c r="E43" s="5045"/>
      <c r="F43" s="5045"/>
      <c r="G43" s="5046"/>
      <c r="H43" s="444"/>
      <c r="I43" s="5047"/>
      <c r="J43" s="5048"/>
      <c r="K43" s="5048"/>
      <c r="L43" s="5048"/>
      <c r="M43" s="5048"/>
      <c r="N43" s="5048"/>
      <c r="O43" s="5049"/>
      <c r="P43" s="857"/>
      <c r="R43" s="2659">
        <f t="shared" si="1"/>
        <v>0</v>
      </c>
    </row>
    <row r="44" spans="1:18" ht="12.75" customHeight="1">
      <c r="A44" s="112"/>
      <c r="B44" s="315" t="s">
        <v>1576</v>
      </c>
      <c r="C44" s="34"/>
      <c r="D44" s="5044"/>
      <c r="E44" s="5045"/>
      <c r="F44" s="5045"/>
      <c r="G44" s="5046"/>
      <c r="H44" s="444"/>
      <c r="I44" s="5047"/>
      <c r="J44" s="5048"/>
      <c r="K44" s="5048"/>
      <c r="L44" s="5048"/>
      <c r="M44" s="5048"/>
      <c r="N44" s="5048"/>
      <c r="O44" s="5049"/>
      <c r="P44" s="857"/>
      <c r="R44" s="2659">
        <f t="shared" si="1"/>
        <v>0</v>
      </c>
    </row>
    <row r="45" spans="1:18" ht="12.75" customHeight="1">
      <c r="A45" s="112"/>
      <c r="B45" s="319" t="s">
        <v>726</v>
      </c>
      <c r="C45" s="34"/>
      <c r="D45" s="5044"/>
      <c r="E45" s="5045"/>
      <c r="F45" s="5045"/>
      <c r="G45" s="5046"/>
      <c r="H45" s="444"/>
      <c r="I45" s="5047"/>
      <c r="J45" s="5048"/>
      <c r="K45" s="5048"/>
      <c r="L45" s="5048"/>
      <c r="M45" s="5048"/>
      <c r="N45" s="5048"/>
      <c r="O45" s="5049"/>
      <c r="P45" s="857"/>
      <c r="R45" s="2659">
        <f t="shared" si="1"/>
        <v>0</v>
      </c>
    </row>
    <row r="46" spans="1:18" ht="12.75" customHeight="1">
      <c r="A46" s="112"/>
      <c r="B46" s="319" t="s">
        <v>14</v>
      </c>
      <c r="C46" s="34"/>
      <c r="D46" s="5044"/>
      <c r="E46" s="5045"/>
      <c r="F46" s="5045"/>
      <c r="G46" s="5046"/>
      <c r="H46" s="444"/>
      <c r="I46" s="5047"/>
      <c r="J46" s="5048"/>
      <c r="K46" s="5048"/>
      <c r="L46" s="5048"/>
      <c r="M46" s="5048"/>
      <c r="N46" s="5048"/>
      <c r="O46" s="5049"/>
      <c r="P46" s="857"/>
      <c r="R46" s="2659">
        <f t="shared" si="1"/>
        <v>0</v>
      </c>
    </row>
    <row r="47" spans="1:18" ht="12.75" customHeight="1">
      <c r="A47" s="112"/>
      <c r="B47" s="319" t="s">
        <v>727</v>
      </c>
      <c r="C47" s="34"/>
      <c r="D47" s="5044"/>
      <c r="E47" s="5045"/>
      <c r="F47" s="5045"/>
      <c r="G47" s="5046"/>
      <c r="H47" s="444"/>
      <c r="I47" s="5047"/>
      <c r="J47" s="5048"/>
      <c r="K47" s="5048"/>
      <c r="L47" s="5048"/>
      <c r="M47" s="5048"/>
      <c r="N47" s="5048"/>
      <c r="O47" s="5049"/>
      <c r="P47" s="857"/>
      <c r="R47" s="2659">
        <f t="shared" si="1"/>
        <v>0</v>
      </c>
    </row>
    <row r="48" spans="1:18" ht="12.75" customHeight="1">
      <c r="A48" s="112"/>
      <c r="B48" s="319" t="s">
        <v>728</v>
      </c>
      <c r="C48" s="34"/>
      <c r="D48" s="5044"/>
      <c r="E48" s="5045"/>
      <c r="F48" s="5045"/>
      <c r="G48" s="5046"/>
      <c r="H48" s="444"/>
      <c r="I48" s="5047"/>
      <c r="J48" s="5048"/>
      <c r="K48" s="5048"/>
      <c r="L48" s="5048"/>
      <c r="M48" s="5048"/>
      <c r="N48" s="5048"/>
      <c r="O48" s="5049"/>
      <c r="P48" s="857"/>
      <c r="R48" s="2659">
        <f t="shared" si="1"/>
        <v>0</v>
      </c>
    </row>
    <row r="49" spans="1:18" ht="12.75" customHeight="1">
      <c r="A49" s="112"/>
      <c r="B49" s="319" t="s">
        <v>729</v>
      </c>
      <c r="C49" s="34"/>
      <c r="D49" s="5044"/>
      <c r="E49" s="5045"/>
      <c r="F49" s="5045"/>
      <c r="G49" s="5046"/>
      <c r="H49" s="444"/>
      <c r="I49" s="5047"/>
      <c r="J49" s="5048"/>
      <c r="K49" s="5048"/>
      <c r="L49" s="5048"/>
      <c r="M49" s="5048"/>
      <c r="N49" s="5048"/>
      <c r="O49" s="5049"/>
      <c r="P49" s="857"/>
      <c r="R49" s="2659">
        <f t="shared" si="1"/>
        <v>0</v>
      </c>
    </row>
    <row r="50" spans="1:18" ht="12.75" customHeight="1">
      <c r="A50" s="112"/>
      <c r="B50" s="319" t="s">
        <v>356</v>
      </c>
      <c r="C50" s="34"/>
      <c r="D50" s="5044"/>
      <c r="E50" s="5045"/>
      <c r="F50" s="5045"/>
      <c r="G50" s="5046"/>
      <c r="H50" s="444"/>
      <c r="I50" s="5047"/>
      <c r="J50" s="5048"/>
      <c r="K50" s="5048"/>
      <c r="L50" s="5048"/>
      <c r="M50" s="5048"/>
      <c r="N50" s="5048"/>
      <c r="O50" s="5049"/>
      <c r="P50" s="857"/>
      <c r="R50" s="2659">
        <f t="shared" si="1"/>
        <v>0</v>
      </c>
    </row>
    <row r="51" spans="1:18" ht="12.75" customHeight="1">
      <c r="A51" s="112"/>
      <c r="B51" s="319" t="s">
        <v>345</v>
      </c>
      <c r="C51" s="34"/>
      <c r="D51" s="5044"/>
      <c r="E51" s="5045"/>
      <c r="F51" s="5045"/>
      <c r="G51" s="5046"/>
      <c r="H51" s="444"/>
      <c r="I51" s="5047"/>
      <c r="J51" s="5048"/>
      <c r="K51" s="5048"/>
      <c r="L51" s="5048"/>
      <c r="M51" s="5048"/>
      <c r="N51" s="5048"/>
      <c r="O51" s="5049"/>
      <c r="P51" s="857"/>
      <c r="R51" s="2659">
        <f t="shared" si="1"/>
        <v>0</v>
      </c>
    </row>
    <row r="52" spans="1:18" ht="12.75" customHeight="1">
      <c r="A52" s="112"/>
      <c r="B52" s="319" t="s">
        <v>120</v>
      </c>
      <c r="C52" s="34"/>
      <c r="D52" s="5044"/>
      <c r="E52" s="5045"/>
      <c r="F52" s="5045"/>
      <c r="G52" s="5046"/>
      <c r="H52" s="444"/>
      <c r="I52" s="5047"/>
      <c r="J52" s="5048"/>
      <c r="K52" s="5048"/>
      <c r="L52" s="5048"/>
      <c r="M52" s="5048"/>
      <c r="N52" s="5048"/>
      <c r="O52" s="5049"/>
      <c r="P52" s="857"/>
      <c r="R52" s="2659">
        <f t="shared" si="1"/>
        <v>0</v>
      </c>
    </row>
    <row r="53" spans="1:18" ht="12.75" customHeight="1">
      <c r="A53" s="112"/>
      <c r="B53" s="319" t="s">
        <v>346</v>
      </c>
      <c r="C53" s="34"/>
      <c r="D53" s="5044"/>
      <c r="E53" s="5045"/>
      <c r="F53" s="5045"/>
      <c r="G53" s="5046"/>
      <c r="H53" s="440"/>
      <c r="I53" s="5047"/>
      <c r="J53" s="5048"/>
      <c r="K53" s="5048"/>
      <c r="L53" s="5048"/>
      <c r="M53" s="5048"/>
      <c r="N53" s="5048"/>
      <c r="O53" s="5049"/>
      <c r="P53" s="857"/>
      <c r="R53" s="2659">
        <f t="shared" si="1"/>
        <v>0</v>
      </c>
    </row>
    <row r="54" spans="1:18" ht="12.75" customHeight="1">
      <c r="A54" s="112"/>
      <c r="B54" s="319" t="s">
        <v>51</v>
      </c>
      <c r="C54" s="34">
        <v>6</v>
      </c>
      <c r="D54" s="319" t="s">
        <v>557</v>
      </c>
      <c r="E54" s="1449"/>
      <c r="F54" s="1449"/>
      <c r="G54" s="1449"/>
      <c r="H54" s="443"/>
      <c r="I54" s="5082" t="str">
        <f>IF(AND($R$28,$R$55),"","Whole $ only.")</f>
        <v/>
      </c>
      <c r="J54" s="5083"/>
      <c r="K54" s="5083"/>
      <c r="L54" s="5083"/>
      <c r="M54" s="5083"/>
      <c r="N54" s="5083"/>
      <c r="O54" s="5084"/>
      <c r="P54" s="857"/>
      <c r="R54" s="2659"/>
    </row>
    <row r="55" spans="1:18" ht="12.75" customHeight="1">
      <c r="A55" s="112"/>
      <c r="B55" s="319" t="s">
        <v>52</v>
      </c>
      <c r="C55" s="34"/>
      <c r="D55" s="319" t="s">
        <v>558</v>
      </c>
      <c r="E55" s="201"/>
      <c r="F55" s="201"/>
      <c r="G55" s="1448" t="s">
        <v>108</v>
      </c>
      <c r="H55" s="440">
        <v>6</v>
      </c>
      <c r="I55" s="5057">
        <f>ROUND(SUM(I34:I53),0)</f>
        <v>0</v>
      </c>
      <c r="J55" s="5058"/>
      <c r="K55" s="5058"/>
      <c r="L55" s="5058"/>
      <c r="M55" s="5058"/>
      <c r="N55" s="5058"/>
      <c r="O55" s="5059"/>
      <c r="P55" s="857"/>
      <c r="R55" s="2659" t="b">
        <f>IF(SUM(R34:R53)=0,TRUE,FALSE)</f>
        <v>1</v>
      </c>
    </row>
    <row r="56" spans="1:18" ht="12.75" customHeight="1" thickBot="1">
      <c r="A56" s="112"/>
      <c r="B56" s="217"/>
      <c r="C56" s="1610" t="s">
        <v>46</v>
      </c>
      <c r="D56" s="1611" t="str">
        <f>"If line 6 is over "&amp;TEXT(H33,"$0,000")&amp;", you must complete Part III."</f>
        <v>If line 6 is over $1,500, you must complete Part III.</v>
      </c>
      <c r="E56" s="1612"/>
      <c r="F56" s="1612"/>
      <c r="G56" s="2111">
        <f>IF(AND($I$55&gt;$H$33,OR(AND(K61="",N61=""),AND(N61="",K65="",N65=""),AND(K70="",N70=""))),1,0)</f>
        <v>0</v>
      </c>
      <c r="H56" s="1613"/>
      <c r="I56" s="1614"/>
      <c r="J56" s="1614"/>
      <c r="K56" s="1614"/>
      <c r="L56" s="1614"/>
      <c r="M56" s="1614"/>
      <c r="N56" s="1614"/>
      <c r="O56" s="1615"/>
      <c r="P56" s="857"/>
    </row>
    <row r="57" spans="1:18" ht="11.25" customHeight="1">
      <c r="A57" s="112"/>
      <c r="B57" s="185"/>
      <c r="C57" s="225" t="str">
        <f>"You must complete this part if you (a) had over "&amp;TEXT(H33,"$0,000")&amp;" of interest or dividends; (b) had a foreign"</f>
        <v>You must complete this part if you (a) had over $1,500 of interest or dividends; (b) had a foreign</v>
      </c>
      <c r="D57" s="32"/>
      <c r="E57" s="32"/>
      <c r="F57" s="32"/>
      <c r="G57" s="32"/>
      <c r="H57" s="185"/>
      <c r="I57" s="191"/>
      <c r="J57" s="5077" t="s">
        <v>436</v>
      </c>
      <c r="K57" s="5078"/>
      <c r="L57" s="5079"/>
      <c r="M57" s="5077" t="s">
        <v>437</v>
      </c>
      <c r="N57" s="5078"/>
      <c r="O57" s="5079"/>
      <c r="P57" s="857"/>
    </row>
    <row r="58" spans="1:18" ht="11.25" customHeight="1">
      <c r="A58" s="112"/>
      <c r="B58" s="355" t="s">
        <v>514</v>
      </c>
      <c r="C58" s="323" t="s">
        <v>1073</v>
      </c>
      <c r="D58" s="203"/>
      <c r="E58" s="203"/>
      <c r="F58" s="203"/>
      <c r="G58" s="203"/>
      <c r="H58" s="26"/>
      <c r="I58" s="806"/>
      <c r="J58" s="5080"/>
      <c r="K58" s="5081"/>
      <c r="L58" s="5079"/>
      <c r="M58" s="5080"/>
      <c r="N58" s="5081"/>
      <c r="O58" s="5079"/>
      <c r="P58" s="857"/>
    </row>
    <row r="59" spans="1:18" ht="11.25" customHeight="1">
      <c r="A59" s="112"/>
      <c r="B59" s="355" t="s">
        <v>722</v>
      </c>
      <c r="C59" s="215" t="s">
        <v>424</v>
      </c>
      <c r="D59" s="32" t="str">
        <f>"At any time during "&amp;TaxYear&amp;", did you have interest in or a signature or other authority over a financial"</f>
        <v>At any time during 2016, did you have interest in or a signature or other authority over a financial</v>
      </c>
      <c r="E59" s="32"/>
      <c r="F59" s="32"/>
      <c r="G59" s="32"/>
      <c r="H59" s="185"/>
      <c r="I59" s="232"/>
      <c r="J59" s="1600"/>
      <c r="K59" s="1599"/>
      <c r="L59" s="1601"/>
      <c r="M59" s="1600"/>
      <c r="N59" s="1599"/>
      <c r="O59" s="1601"/>
      <c r="P59" s="857"/>
    </row>
    <row r="60" spans="1:18" ht="9.75" customHeight="1">
      <c r="A60" s="112"/>
      <c r="B60" s="355" t="s">
        <v>423</v>
      </c>
      <c r="C60" s="190"/>
      <c r="D60" s="201" t="s">
        <v>1067</v>
      </c>
      <c r="E60" s="201"/>
      <c r="F60" s="201"/>
      <c r="G60" s="201"/>
      <c r="H60" s="185"/>
      <c r="I60" s="232"/>
      <c r="J60" s="1602"/>
      <c r="K60" s="191"/>
      <c r="L60" s="232"/>
      <c r="M60" s="1602"/>
      <c r="N60" s="191"/>
      <c r="O60" s="232"/>
      <c r="P60" s="857"/>
    </row>
    <row r="61" spans="1:18" ht="9.75" customHeight="1">
      <c r="A61" s="112"/>
      <c r="B61" s="355" t="s">
        <v>1071</v>
      </c>
      <c r="C61" s="190"/>
      <c r="D61" s="201" t="s">
        <v>1068</v>
      </c>
      <c r="E61" s="201"/>
      <c r="F61" s="201"/>
      <c r="G61" s="201"/>
      <c r="H61" s="185"/>
      <c r="I61" s="1597" t="s">
        <v>1069</v>
      </c>
      <c r="J61" s="1602"/>
      <c r="K61" s="2869"/>
      <c r="L61" s="232"/>
      <c r="M61" s="1602"/>
      <c r="N61" s="2869"/>
      <c r="O61" s="232"/>
      <c r="P61" s="857"/>
    </row>
    <row r="62" spans="1:18" ht="3.75" customHeight="1">
      <c r="A62" s="112"/>
      <c r="B62" s="185"/>
      <c r="C62" s="190"/>
      <c r="D62" s="201"/>
      <c r="E62" s="201"/>
      <c r="F62" s="201"/>
      <c r="G62" s="201"/>
      <c r="H62" s="185"/>
      <c r="I62" s="1597"/>
      <c r="J62" s="1602"/>
      <c r="K62" s="1605"/>
      <c r="L62" s="232"/>
      <c r="M62" s="1602"/>
      <c r="N62" s="1605"/>
      <c r="O62" s="232"/>
      <c r="P62" s="857"/>
    </row>
    <row r="63" spans="1:18" ht="10.5" customHeight="1">
      <c r="A63" s="112"/>
      <c r="B63" s="201" t="s">
        <v>703</v>
      </c>
      <c r="C63" s="190"/>
      <c r="D63" s="201" t="s">
        <v>1578</v>
      </c>
      <c r="E63" s="201"/>
      <c r="F63" s="201"/>
      <c r="G63" s="201"/>
      <c r="H63" s="34"/>
      <c r="I63" s="1597"/>
      <c r="J63" s="1606"/>
      <c r="K63" s="1607"/>
      <c r="L63" s="1608"/>
      <c r="M63" s="1606"/>
      <c r="N63" s="1607"/>
      <c r="O63" s="1608"/>
      <c r="P63" s="857"/>
    </row>
    <row r="64" spans="1:18" ht="9.75" customHeight="1">
      <c r="A64" s="112"/>
      <c r="B64" s="201" t="s">
        <v>391</v>
      </c>
      <c r="C64" s="190"/>
      <c r="D64" s="201" t="s">
        <v>2051</v>
      </c>
      <c r="E64" s="201"/>
      <c r="F64" s="201"/>
      <c r="G64" s="201"/>
      <c r="H64" s="34"/>
      <c r="I64" s="1597"/>
      <c r="J64" s="1602"/>
      <c r="K64" s="191"/>
      <c r="L64" s="232"/>
      <c r="M64" s="1602"/>
      <c r="N64" s="191"/>
      <c r="O64" s="232"/>
      <c r="P64" s="857"/>
    </row>
    <row r="65" spans="1:16" ht="9.75" customHeight="1">
      <c r="A65" s="112"/>
      <c r="B65" s="32" t="s">
        <v>392</v>
      </c>
      <c r="C65" s="190"/>
      <c r="D65" s="201" t="s">
        <v>2052</v>
      </c>
      <c r="E65" s="201"/>
      <c r="F65" s="201"/>
      <c r="G65" s="201"/>
      <c r="H65" s="34"/>
      <c r="I65" s="1597" t="s">
        <v>2053</v>
      </c>
      <c r="J65" s="1602"/>
      <c r="K65" s="2869"/>
      <c r="L65" s="232"/>
      <c r="M65" s="1602"/>
      <c r="N65" s="2869"/>
      <c r="O65" s="232"/>
      <c r="P65" s="857"/>
    </row>
    <row r="66" spans="1:16" ht="3" customHeight="1">
      <c r="A66" s="112"/>
      <c r="B66" s="201" t="s">
        <v>391</v>
      </c>
      <c r="C66" s="190"/>
      <c r="D66" s="201"/>
      <c r="E66" s="201"/>
      <c r="F66" s="201"/>
      <c r="G66" s="201"/>
      <c r="H66" s="34"/>
      <c r="I66" s="1597"/>
      <c r="J66" s="1602"/>
      <c r="K66" s="1605"/>
      <c r="L66" s="232"/>
      <c r="M66" s="1602"/>
      <c r="N66" s="1605"/>
      <c r="O66" s="232"/>
      <c r="P66" s="857"/>
    </row>
    <row r="67" spans="1:16" ht="12.75" customHeight="1">
      <c r="A67" s="112"/>
      <c r="B67" s="32"/>
      <c r="C67" s="216" t="s">
        <v>84</v>
      </c>
      <c r="D67" s="201" t="s">
        <v>1579</v>
      </c>
      <c r="E67" s="201"/>
      <c r="F67" s="201"/>
      <c r="G67" s="201"/>
      <c r="H67" s="34"/>
      <c r="I67" s="1597"/>
      <c r="J67" s="1606"/>
      <c r="K67" s="1607"/>
      <c r="L67" s="1608"/>
      <c r="M67" s="1606"/>
      <c r="N67" s="1607"/>
      <c r="O67" s="1608"/>
      <c r="P67" s="857"/>
    </row>
    <row r="68" spans="1:16" ht="12" customHeight="1">
      <c r="A68" s="112"/>
      <c r="B68" s="201"/>
      <c r="C68" s="216"/>
      <c r="D68" s="1603" t="s">
        <v>1070</v>
      </c>
      <c r="E68" s="5076"/>
      <c r="F68" s="5076"/>
      <c r="G68" s="5042"/>
      <c r="H68" s="5042"/>
      <c r="I68" s="5043"/>
      <c r="J68" s="1600"/>
      <c r="K68" s="1599"/>
      <c r="L68" s="1601"/>
      <c r="M68" s="1600"/>
      <c r="N68" s="1599"/>
      <c r="O68" s="1601"/>
      <c r="P68" s="857"/>
    </row>
    <row r="69" spans="1:16" ht="9" customHeight="1">
      <c r="A69" s="112"/>
      <c r="B69" s="32"/>
      <c r="C69" s="5074">
        <v>8</v>
      </c>
      <c r="D69" s="201" t="str">
        <f>"During "&amp;TaxYear&amp;", did you receive a distribution from, or were you the grantor of, or transferor to, a"</f>
        <v>During 2016, did you receive a distribution from, or were you the grantor of, or transferor to, a</v>
      </c>
      <c r="E69" s="201"/>
      <c r="F69" s="201"/>
      <c r="G69" s="201"/>
      <c r="H69" s="34"/>
      <c r="I69" s="232"/>
      <c r="J69" s="2106"/>
      <c r="K69" s="2107"/>
      <c r="L69" s="2108"/>
      <c r="M69" s="2106"/>
      <c r="N69" s="2107"/>
      <c r="O69" s="2108"/>
      <c r="P69" s="857"/>
    </row>
    <row r="70" spans="1:16" ht="9.75" customHeight="1">
      <c r="A70" s="112"/>
      <c r="B70" s="32"/>
      <c r="C70" s="5075"/>
      <c r="D70" s="32" t="s">
        <v>389</v>
      </c>
      <c r="E70" s="32"/>
      <c r="F70" s="32"/>
      <c r="G70" s="32"/>
      <c r="H70" s="185"/>
      <c r="I70" s="1597" t="s">
        <v>1911</v>
      </c>
      <c r="J70" s="1602"/>
      <c r="K70" s="2869"/>
      <c r="L70" s="232"/>
      <c r="M70" s="1602"/>
      <c r="N70" s="2869"/>
      <c r="O70" s="232"/>
      <c r="P70" s="857"/>
    </row>
    <row r="71" spans="1:16" ht="4.5" customHeight="1" thickBot="1">
      <c r="A71" s="112"/>
      <c r="B71" s="219"/>
      <c r="C71" s="2102"/>
      <c r="D71" s="219"/>
      <c r="E71" s="219"/>
      <c r="F71" s="219"/>
      <c r="G71" s="219"/>
      <c r="H71" s="217"/>
      <c r="I71" s="2103"/>
      <c r="J71" s="2104"/>
      <c r="K71" s="2105"/>
      <c r="L71" s="2109"/>
      <c r="M71" s="2104"/>
      <c r="N71" s="2101"/>
      <c r="O71" s="2109"/>
      <c r="P71" s="857"/>
    </row>
    <row r="72" spans="1:16" ht="13.5" customHeight="1">
      <c r="A72" s="130"/>
      <c r="B72" s="341" t="s">
        <v>779</v>
      </c>
      <c r="C72" s="221"/>
      <c r="D72" s="221"/>
      <c r="E72" s="221"/>
      <c r="F72" s="1618" t="s">
        <v>1072</v>
      </c>
      <c r="G72" s="221"/>
      <c r="H72" s="221"/>
      <c r="I72" s="352"/>
      <c r="J72" s="547"/>
      <c r="K72" s="1604"/>
      <c r="L72" s="547"/>
      <c r="M72" s="547"/>
      <c r="N72" s="547"/>
      <c r="O72" s="1609" t="str">
        <f>"Schedule B (Form 1040A or Form 1040)  "&amp;TaxYear</f>
        <v>Schedule B (Form 1040A or Form 1040)  2016</v>
      </c>
      <c r="P72" s="857"/>
    </row>
    <row r="73" spans="1:16" ht="9.75" customHeight="1">
      <c r="A73" s="112"/>
      <c r="B73" s="940"/>
      <c r="C73" s="940"/>
      <c r="D73" s="941"/>
      <c r="E73" s="941"/>
      <c r="F73" s="941"/>
      <c r="G73" s="941"/>
      <c r="H73" s="940"/>
      <c r="I73" s="942"/>
      <c r="J73" s="942"/>
      <c r="K73" s="942"/>
      <c r="L73" s="942"/>
      <c r="M73" s="942"/>
      <c r="N73" s="942"/>
      <c r="O73" s="942"/>
      <c r="P73" s="857"/>
    </row>
    <row r="74" spans="1:16" ht="15" customHeight="1">
      <c r="A74" s="809"/>
      <c r="B74" s="809"/>
      <c r="C74" s="809"/>
      <c r="D74" s="810"/>
      <c r="E74" s="810"/>
      <c r="F74" s="810"/>
      <c r="G74" s="810"/>
      <c r="H74" s="809"/>
      <c r="I74" s="808"/>
      <c r="J74" s="808"/>
      <c r="K74" s="808"/>
      <c r="L74" s="808"/>
      <c r="M74" s="808"/>
      <c r="N74" s="808"/>
      <c r="O74" s="808"/>
    </row>
    <row r="75" spans="1:16">
      <c r="B75" s="5"/>
      <c r="C75" s="809"/>
      <c r="D75" s="810"/>
      <c r="E75" s="810"/>
      <c r="F75" s="810"/>
      <c r="G75" s="810"/>
      <c r="H75" s="809"/>
      <c r="I75" s="808"/>
      <c r="J75" s="808"/>
      <c r="K75" s="808"/>
      <c r="L75" s="808"/>
      <c r="M75" s="808"/>
      <c r="N75" s="808"/>
      <c r="O75" s="808"/>
    </row>
    <row r="76" spans="1:16" ht="13.5" thickBot="1">
      <c r="B76" s="809"/>
      <c r="C76" s="809"/>
      <c r="D76" s="810"/>
      <c r="E76" s="810"/>
      <c r="F76" s="810"/>
      <c r="G76" s="810"/>
      <c r="H76" s="809"/>
      <c r="I76" s="808"/>
      <c r="J76" s="808"/>
      <c r="K76" s="808"/>
      <c r="L76" s="808"/>
      <c r="M76" s="808"/>
      <c r="N76" s="808"/>
      <c r="O76" s="808"/>
    </row>
    <row r="77" spans="1:16" ht="14.25" thickTop="1" thickBot="1">
      <c r="B77" s="809"/>
      <c r="C77" s="5032" t="s">
        <v>254</v>
      </c>
      <c r="D77" s="5072"/>
      <c r="E77" s="5072"/>
      <c r="F77" s="5072"/>
      <c r="G77" s="5073"/>
      <c r="H77" s="809"/>
      <c r="I77" s="808"/>
      <c r="J77" s="808"/>
      <c r="K77" s="808"/>
      <c r="L77" s="808"/>
      <c r="M77" s="808"/>
      <c r="N77" s="808"/>
      <c r="O77" s="808"/>
    </row>
    <row r="78" spans="1:16" ht="13.5" thickTop="1">
      <c r="B78" s="6"/>
      <c r="C78" s="6"/>
      <c r="D78" s="9"/>
      <c r="E78" s="9"/>
      <c r="F78" s="9"/>
      <c r="G78" s="9"/>
      <c r="H78" s="6"/>
      <c r="I78" s="8"/>
      <c r="J78" s="8"/>
      <c r="K78" s="8"/>
      <c r="L78" s="8"/>
      <c r="M78" s="8"/>
      <c r="N78" s="8"/>
      <c r="O78" s="8"/>
    </row>
  </sheetData>
  <sheetProtection password="F07E" sheet="1" objects="1" scenarios="1"/>
  <mergeCells count="90">
    <mergeCell ref="D14:G14"/>
    <mergeCell ref="D45:G45"/>
    <mergeCell ref="D46:G46"/>
    <mergeCell ref="D40:G40"/>
    <mergeCell ref="I4:O5"/>
    <mergeCell ref="D13:G13"/>
    <mergeCell ref="I13:O13"/>
    <mergeCell ref="D6:H6"/>
    <mergeCell ref="H8:O8"/>
    <mergeCell ref="H9:O9"/>
    <mergeCell ref="D16:G16"/>
    <mergeCell ref="D17:G17"/>
    <mergeCell ref="D18:G18"/>
    <mergeCell ref="D20:G20"/>
    <mergeCell ref="I42:O42"/>
    <mergeCell ref="I41:O41"/>
    <mergeCell ref="D48:G48"/>
    <mergeCell ref="I51:O51"/>
    <mergeCell ref="D52:G52"/>
    <mergeCell ref="J57:L58"/>
    <mergeCell ref="M57:O58"/>
    <mergeCell ref="I55:O55"/>
    <mergeCell ref="I54:O54"/>
    <mergeCell ref="C77:G77"/>
    <mergeCell ref="C69:C70"/>
    <mergeCell ref="E68:I68"/>
    <mergeCell ref="I43:O43"/>
    <mergeCell ref="D51:G51"/>
    <mergeCell ref="D53:G53"/>
    <mergeCell ref="I46:O46"/>
    <mergeCell ref="I47:O47"/>
    <mergeCell ref="I52:O52"/>
    <mergeCell ref="I53:O53"/>
    <mergeCell ref="I48:O48"/>
    <mergeCell ref="D47:G47"/>
    <mergeCell ref="D49:G49"/>
    <mergeCell ref="D50:G50"/>
    <mergeCell ref="I49:O49"/>
    <mergeCell ref="I50:O50"/>
    <mergeCell ref="I21:O21"/>
    <mergeCell ref="I23:O23"/>
    <mergeCell ref="I24:O24"/>
    <mergeCell ref="I45:O45"/>
    <mergeCell ref="I40:O40"/>
    <mergeCell ref="I33:O33"/>
    <mergeCell ref="I34:O34"/>
    <mergeCell ref="I35:O35"/>
    <mergeCell ref="I37:O37"/>
    <mergeCell ref="I16:O16"/>
    <mergeCell ref="I17:O17"/>
    <mergeCell ref="I18:O18"/>
    <mergeCell ref="I19:O19"/>
    <mergeCell ref="I20:O20"/>
    <mergeCell ref="I10:O10"/>
    <mergeCell ref="I11:O11"/>
    <mergeCell ref="I12:O12"/>
    <mergeCell ref="I14:O14"/>
    <mergeCell ref="I15:O15"/>
    <mergeCell ref="B21:B32"/>
    <mergeCell ref="I3:O3"/>
    <mergeCell ref="I22:O22"/>
    <mergeCell ref="I26:O26"/>
    <mergeCell ref="I27:O27"/>
    <mergeCell ref="I28:O28"/>
    <mergeCell ref="I32:O32"/>
    <mergeCell ref="I25:O25"/>
    <mergeCell ref="D19:G19"/>
    <mergeCell ref="I30:O30"/>
    <mergeCell ref="D24:G24"/>
    <mergeCell ref="D25:G25"/>
    <mergeCell ref="D15:G15"/>
    <mergeCell ref="D21:G21"/>
    <mergeCell ref="D22:G22"/>
    <mergeCell ref="D23:G23"/>
    <mergeCell ref="D26:G26"/>
    <mergeCell ref="D27:G27"/>
    <mergeCell ref="D35:G35"/>
    <mergeCell ref="D37:G37"/>
    <mergeCell ref="D38:G38"/>
    <mergeCell ref="D36:G36"/>
    <mergeCell ref="E34:G34"/>
    <mergeCell ref="D39:G39"/>
    <mergeCell ref="I36:O36"/>
    <mergeCell ref="D44:G44"/>
    <mergeCell ref="D41:G41"/>
    <mergeCell ref="D43:G43"/>
    <mergeCell ref="I38:O38"/>
    <mergeCell ref="I39:O39"/>
    <mergeCell ref="I44:O44"/>
    <mergeCell ref="D42:G42"/>
  </mergeCells>
  <phoneticPr fontId="12" type="noConversion"/>
  <conditionalFormatting sqref="C33">
    <cfRule type="expression" dxfId="1321" priority="32" stopIfTrue="1">
      <formula>$G$33</formula>
    </cfRule>
  </conditionalFormatting>
  <conditionalFormatting sqref="D33">
    <cfRule type="expression" dxfId="1320" priority="31" stopIfTrue="1">
      <formula>IF($G$33,1,0)</formula>
    </cfRule>
  </conditionalFormatting>
  <conditionalFormatting sqref="C56">
    <cfRule type="expression" dxfId="1319" priority="30" stopIfTrue="1">
      <formula>IF($G$56,1,0)</formula>
    </cfRule>
  </conditionalFormatting>
  <conditionalFormatting sqref="D56">
    <cfRule type="expression" dxfId="1318" priority="29" stopIfTrue="1">
      <formula>IF($G$56,1,0)</formula>
    </cfRule>
  </conditionalFormatting>
  <conditionalFormatting sqref="B9:O9 D14:G27 I28:O28">
    <cfRule type="expression" dxfId="1317" priority="28">
      <formula>IF(NoColor,1,0)</formula>
    </cfRule>
  </conditionalFormatting>
  <conditionalFormatting sqref="I32:O32">
    <cfRule type="expression" dxfId="1316" priority="25">
      <formula>IF(NoColor,1,0)</formula>
    </cfRule>
  </conditionalFormatting>
  <conditionalFormatting sqref="I30:O30">
    <cfRule type="expression" dxfId="1315" priority="24">
      <formula>IF(NoColor,1,0)</formula>
    </cfRule>
  </conditionalFormatting>
  <conditionalFormatting sqref="D35:G53">
    <cfRule type="expression" dxfId="1314" priority="23">
      <formula>IF(NoColor,1,0)</formula>
    </cfRule>
  </conditionalFormatting>
  <conditionalFormatting sqref="E34:G34">
    <cfRule type="expression" dxfId="1313" priority="22">
      <formula>IF(NoColor,1,0)</formula>
    </cfRule>
  </conditionalFormatting>
  <conditionalFormatting sqref="I34:O53">
    <cfRule type="expression" dxfId="1312" priority="21">
      <formula>IF(NoColor,1,0)</formula>
    </cfRule>
  </conditionalFormatting>
  <conditionalFormatting sqref="I55:O55">
    <cfRule type="expression" dxfId="1311" priority="20">
      <formula>IF(NoColor,1,0)</formula>
    </cfRule>
  </conditionalFormatting>
  <conditionalFormatting sqref="E68:I68">
    <cfRule type="expression" dxfId="1310" priority="13">
      <formula>IF(NoColor,1,0)</formula>
    </cfRule>
  </conditionalFormatting>
  <conditionalFormatting sqref="K61">
    <cfRule type="expression" dxfId="1309" priority="19">
      <formula>IF(NoColor,1,0)</formula>
    </cfRule>
  </conditionalFormatting>
  <conditionalFormatting sqref="N61">
    <cfRule type="expression" dxfId="1308" priority="18">
      <formula>IF(NoColor,1,0)</formula>
    </cfRule>
  </conditionalFormatting>
  <conditionalFormatting sqref="K65">
    <cfRule type="expression" dxfId="1307" priority="17">
      <formula>IF(NoColor,1,0)</formula>
    </cfRule>
  </conditionalFormatting>
  <conditionalFormatting sqref="N65">
    <cfRule type="expression" dxfId="1306" priority="16">
      <formula>IF(NoColor,1,0)</formula>
    </cfRule>
  </conditionalFormatting>
  <conditionalFormatting sqref="K70">
    <cfRule type="expression" dxfId="1305" priority="15">
      <formula>IF(NoColor,1,0)</formula>
    </cfRule>
  </conditionalFormatting>
  <conditionalFormatting sqref="N70">
    <cfRule type="expression" dxfId="1304" priority="14">
      <formula>IF(NoColor,1,0)</formula>
    </cfRule>
  </conditionalFormatting>
  <conditionalFormatting sqref="D13:G13">
    <cfRule type="expression" dxfId="1303" priority="12">
      <formula>IF(NoColor,1,0)</formula>
    </cfRule>
  </conditionalFormatting>
  <conditionalFormatting sqref="I13:O13">
    <cfRule type="expression" dxfId="1302" priority="9">
      <formula>IF(R13&lt;&gt;0,TRUE,FALSE)</formula>
    </cfRule>
    <cfRule type="expression" dxfId="1301" priority="11">
      <formula>IF(NoColor,1,0)</formula>
    </cfRule>
  </conditionalFormatting>
  <conditionalFormatting sqref="I10:O10">
    <cfRule type="expression" dxfId="1300" priority="10">
      <formula>IF(OR(NOT($R$28),NOT($R$55)),1,0)</formula>
    </cfRule>
  </conditionalFormatting>
  <conditionalFormatting sqref="I14:O27">
    <cfRule type="expression" dxfId="1299" priority="7">
      <formula>IF(R14&lt;&gt;0,TRUE,FALSE)</formula>
    </cfRule>
    <cfRule type="expression" dxfId="1298" priority="8">
      <formula>IF(NoColor,1,0)</formula>
    </cfRule>
  </conditionalFormatting>
  <conditionalFormatting sqref="I53:O53">
    <cfRule type="expression" dxfId="1297" priority="2">
      <formula>IF(R53&lt;&gt;0,1,0)</formula>
    </cfRule>
  </conditionalFormatting>
  <conditionalFormatting sqref="I34:O53">
    <cfRule type="expression" dxfId="1296" priority="1">
      <formula>IF(R34&lt;&gt;0,1,0)</formula>
    </cfRule>
  </conditionalFormatting>
  <hyperlinks>
    <hyperlink ref="C77:G77" r:id="rId1" display="Download Form 1040 Schedules A&amp;B"/>
  </hyperlinks>
  <printOptions horizontalCentered="1"/>
  <pageMargins left="0.48" right="0.25" top="0.33" bottom="0.2" header="0.25" footer="0.2"/>
  <pageSetup scale="90" orientation="portrait" horizontalDpi="120" verticalDpi="144" r:id="rId2"/>
  <headerFooter alignWithMargins="0"/>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X124"/>
  <sheetViews>
    <sheetView zoomScaleNormal="100" workbookViewId="0">
      <selection activeCell="E17" sqref="E17"/>
    </sheetView>
  </sheetViews>
  <sheetFormatPr defaultRowHeight="12.75"/>
  <cols>
    <col min="1" max="1" width="2" customWidth="1"/>
    <col min="2" max="2" width="6.140625" customWidth="1"/>
    <col min="3" max="3" width="12.7109375" customWidth="1"/>
    <col min="4" max="4" width="11.42578125" customWidth="1"/>
    <col min="5" max="5" width="3" customWidth="1"/>
    <col min="6" max="6" width="6.28515625" customWidth="1"/>
    <col min="7" max="7" width="3.5703125" customWidth="1"/>
    <col min="8" max="8" width="4" customWidth="1"/>
    <col min="9" max="9" width="10.7109375" customWidth="1"/>
    <col min="10" max="10" width="3" customWidth="1"/>
    <col min="11" max="11" width="2.42578125" customWidth="1"/>
    <col min="12" max="12" width="10.28515625" customWidth="1"/>
    <col min="13" max="19" width="4.5703125" customWidth="1"/>
    <col min="20" max="20" width="4.42578125" customWidth="1"/>
    <col min="21" max="21" width="7" customWidth="1"/>
    <col min="22" max="22" width="1.7109375" customWidth="1"/>
    <col min="23" max="23" width="11.5703125" style="64" customWidth="1"/>
    <col min="24" max="24" width="1.7109375" customWidth="1"/>
  </cols>
  <sheetData>
    <row r="1" spans="1:24" ht="15.75" customHeight="1">
      <c r="A1" s="112"/>
      <c r="B1" s="112"/>
      <c r="C1" s="1511"/>
      <c r="D1" s="112"/>
      <c r="E1" s="112"/>
      <c r="F1" s="112"/>
      <c r="G1" s="112"/>
      <c r="H1" s="112"/>
      <c r="I1" s="112"/>
      <c r="J1" s="112"/>
      <c r="K1" s="112"/>
      <c r="L1" s="112"/>
      <c r="M1" s="112"/>
      <c r="N1" s="112"/>
      <c r="O1" s="112"/>
      <c r="P1" s="112"/>
      <c r="Q1" s="112"/>
      <c r="R1" s="112"/>
      <c r="S1" s="112"/>
      <c r="T1" s="112"/>
      <c r="U1" s="112"/>
      <c r="V1" s="857"/>
      <c r="W1" s="523"/>
      <c r="X1" s="857"/>
    </row>
    <row r="2" spans="1:24">
      <c r="A2" s="112"/>
      <c r="B2" s="112"/>
      <c r="C2" s="112"/>
      <c r="D2" s="112"/>
      <c r="E2" s="112"/>
      <c r="F2" s="112"/>
      <c r="G2" s="112"/>
      <c r="H2" s="112"/>
      <c r="I2" s="112"/>
      <c r="J2" s="112"/>
      <c r="K2" s="112"/>
      <c r="L2" s="112"/>
      <c r="M2" s="112"/>
      <c r="N2" s="112"/>
      <c r="O2" s="112"/>
      <c r="P2" s="112"/>
      <c r="Q2" s="112"/>
      <c r="R2" s="112"/>
      <c r="S2" s="112"/>
      <c r="T2" s="112"/>
      <c r="U2" s="112"/>
      <c r="V2" s="857"/>
      <c r="W2" s="523"/>
      <c r="X2" s="857"/>
    </row>
    <row r="3" spans="1:24" ht="15.75" customHeight="1">
      <c r="A3" s="112"/>
      <c r="B3" s="112"/>
      <c r="C3" s="112"/>
      <c r="D3" s="112"/>
      <c r="E3" s="112"/>
      <c r="F3" s="112"/>
      <c r="G3" s="112"/>
      <c r="H3" s="112"/>
      <c r="I3" s="112"/>
      <c r="J3" s="112"/>
      <c r="K3" s="112"/>
      <c r="L3" s="112"/>
      <c r="M3" s="112"/>
      <c r="N3" s="112"/>
      <c r="O3" s="112"/>
      <c r="P3" s="112"/>
      <c r="Q3" s="112"/>
      <c r="R3" s="112"/>
      <c r="S3" s="112"/>
      <c r="T3" s="112"/>
      <c r="U3" s="112"/>
      <c r="V3" s="857"/>
      <c r="W3" s="523"/>
      <c r="X3" s="857"/>
    </row>
    <row r="4" spans="1:24" s="3" customFormat="1" ht="20.25" customHeight="1">
      <c r="A4" s="936"/>
      <c r="B4" s="185" t="s">
        <v>581</v>
      </c>
      <c r="C4" s="1195"/>
      <c r="D4" s="222"/>
      <c r="E4" s="222"/>
      <c r="F4" s="878" t="s">
        <v>582</v>
      </c>
      <c r="G4" s="353"/>
      <c r="H4" s="353"/>
      <c r="I4" s="191"/>
      <c r="J4" s="191"/>
      <c r="K4" s="191"/>
      <c r="L4" s="185"/>
      <c r="M4" s="191"/>
      <c r="N4" s="353"/>
      <c r="O4" s="353"/>
      <c r="P4" s="226"/>
      <c r="Q4" s="353"/>
      <c r="R4" s="5136" t="s">
        <v>249</v>
      </c>
      <c r="S4" s="4721"/>
      <c r="T4" s="4721"/>
      <c r="U4" s="4721"/>
      <c r="V4" s="936"/>
      <c r="W4" s="523"/>
      <c r="X4" s="936"/>
    </row>
    <row r="5" spans="1:24" ht="18.75" customHeight="1">
      <c r="A5" s="857"/>
      <c r="B5" s="1619" t="s">
        <v>292</v>
      </c>
      <c r="C5" s="1195"/>
      <c r="D5" s="222"/>
      <c r="E5" s="222"/>
      <c r="F5" s="222"/>
      <c r="G5" s="222"/>
      <c r="H5" s="223"/>
      <c r="I5" s="1450" t="s">
        <v>583</v>
      </c>
      <c r="J5" s="224"/>
      <c r="K5" s="224"/>
      <c r="L5" s="222"/>
      <c r="M5" s="225"/>
      <c r="N5" s="223"/>
      <c r="O5" s="223"/>
      <c r="P5" s="226"/>
      <c r="Q5" s="222"/>
      <c r="R5" s="5137">
        <f>TaxYear</f>
        <v>2016</v>
      </c>
      <c r="S5" s="5138"/>
      <c r="T5" s="5139"/>
      <c r="U5" s="5140"/>
      <c r="V5" s="857"/>
      <c r="W5" s="523"/>
      <c r="X5" s="857"/>
    </row>
    <row r="6" spans="1:24" ht="12" customHeight="1">
      <c r="A6" s="857"/>
      <c r="B6" s="5113" t="s">
        <v>1076</v>
      </c>
      <c r="C6" s="5114"/>
      <c r="D6" s="5134" t="s">
        <v>1074</v>
      </c>
      <c r="E6" s="4563"/>
      <c r="F6" s="4563"/>
      <c r="G6" s="4563"/>
      <c r="H6" s="4563"/>
      <c r="I6" s="4563"/>
      <c r="J6" s="4563"/>
      <c r="K6" s="4563"/>
      <c r="L6" s="4563"/>
      <c r="M6" s="4563"/>
      <c r="N6" s="4563"/>
      <c r="O6" s="4563"/>
      <c r="P6" s="4563"/>
      <c r="Q6" s="5135"/>
      <c r="R6" s="228"/>
      <c r="S6" s="32" t="s">
        <v>294</v>
      </c>
      <c r="T6" s="222"/>
      <c r="U6" s="222"/>
      <c r="V6" s="857"/>
      <c r="W6" s="523"/>
      <c r="X6" s="857"/>
    </row>
    <row r="7" spans="1:24" ht="10.5" customHeight="1">
      <c r="A7" s="857"/>
      <c r="B7" s="5115"/>
      <c r="C7" s="5116"/>
      <c r="D7" s="5119" t="s">
        <v>1075</v>
      </c>
      <c r="E7" s="4721"/>
      <c r="F7" s="4721"/>
      <c r="G7" s="4721"/>
      <c r="H7" s="4721"/>
      <c r="I7" s="4721"/>
      <c r="J7" s="4721"/>
      <c r="K7" s="4721"/>
      <c r="L7" s="4721"/>
      <c r="M7" s="4721"/>
      <c r="N7" s="4721"/>
      <c r="O7" s="4721"/>
      <c r="P7" s="4721"/>
      <c r="Q7" s="5120"/>
      <c r="R7" s="231"/>
      <c r="S7" s="738" t="s">
        <v>584</v>
      </c>
      <c r="T7" s="230"/>
      <c r="U7" s="230"/>
      <c r="V7" s="857"/>
      <c r="W7" s="523"/>
      <c r="X7" s="857"/>
    </row>
    <row r="8" spans="1:24" ht="12" customHeight="1">
      <c r="A8" s="857"/>
      <c r="B8" s="225" t="s">
        <v>585</v>
      </c>
      <c r="C8" s="222"/>
      <c r="D8" s="222"/>
      <c r="E8" s="222"/>
      <c r="F8" s="189"/>
      <c r="G8" s="189"/>
      <c r="H8" s="191"/>
      <c r="I8" s="205"/>
      <c r="J8" s="205"/>
      <c r="K8" s="205"/>
      <c r="L8" s="232"/>
      <c r="M8" s="235" t="s">
        <v>234</v>
      </c>
      <c r="N8" s="191"/>
      <c r="O8" s="191"/>
      <c r="P8" s="191"/>
      <c r="Q8" s="189"/>
      <c r="R8" s="189"/>
      <c r="S8" s="189"/>
      <c r="T8" s="189"/>
      <c r="U8" s="189"/>
      <c r="V8" s="857"/>
      <c r="W8" s="523"/>
      <c r="X8" s="857"/>
    </row>
    <row r="9" spans="1:24" ht="14.25" customHeight="1" thickBot="1">
      <c r="A9" s="857"/>
      <c r="B9" s="5123"/>
      <c r="C9" s="4639"/>
      <c r="D9" s="4639"/>
      <c r="E9" s="4639"/>
      <c r="F9" s="4639"/>
      <c r="G9" s="4639"/>
      <c r="H9" s="4639"/>
      <c r="I9" s="4639"/>
      <c r="J9" s="4639"/>
      <c r="K9" s="4639"/>
      <c r="L9" s="5124"/>
      <c r="M9" s="5128"/>
      <c r="N9" s="5129"/>
      <c r="O9" s="5129"/>
      <c r="P9" s="5129"/>
      <c r="Q9" s="5129"/>
      <c r="R9" s="5129"/>
      <c r="S9" s="5129"/>
      <c r="T9" s="5129"/>
      <c r="U9" s="2412"/>
      <c r="V9" s="857"/>
      <c r="W9" s="523"/>
      <c r="X9" s="857"/>
    </row>
    <row r="10" spans="1:24" ht="12.75" customHeight="1" thickTop="1">
      <c r="A10" s="857"/>
      <c r="B10" s="198" t="s">
        <v>235</v>
      </c>
      <c r="C10" s="225" t="s">
        <v>2030</v>
      </c>
      <c r="D10" s="234"/>
      <c r="E10" s="222"/>
      <c r="F10" s="189"/>
      <c r="G10" s="189"/>
      <c r="H10" s="191"/>
      <c r="I10" s="205"/>
      <c r="J10" s="205"/>
      <c r="K10" s="205"/>
      <c r="L10" s="191"/>
      <c r="M10" s="1488" t="s">
        <v>1077</v>
      </c>
      <c r="N10" s="86"/>
      <c r="O10" s="86"/>
      <c r="P10" s="86"/>
      <c r="Q10" s="87"/>
      <c r="R10" s="87"/>
      <c r="S10" s="87"/>
      <c r="T10" s="87"/>
      <c r="U10" s="506"/>
      <c r="V10" s="857"/>
      <c r="W10" s="523"/>
      <c r="X10" s="857"/>
    </row>
    <row r="11" spans="1:24" ht="12.75" customHeight="1" thickBot="1">
      <c r="A11" s="857"/>
      <c r="B11" s="5125"/>
      <c r="C11" s="5126"/>
      <c r="D11" s="5126"/>
      <c r="E11" s="5126"/>
      <c r="F11" s="5126"/>
      <c r="G11" s="5126"/>
      <c r="H11" s="5126"/>
      <c r="I11" s="5126"/>
      <c r="J11" s="5126"/>
      <c r="K11" s="5126"/>
      <c r="L11" s="5127"/>
      <c r="M11" s="1489"/>
      <c r="N11" s="1324"/>
      <c r="O11" s="1323"/>
      <c r="P11" s="2410"/>
      <c r="Q11" s="2410"/>
      <c r="R11" s="2410"/>
      <c r="S11" s="2410"/>
      <c r="T11" s="2410"/>
      <c r="U11" s="2411"/>
      <c r="V11" s="857"/>
      <c r="W11" s="523"/>
      <c r="X11" s="857"/>
    </row>
    <row r="12" spans="1:24" ht="12" customHeight="1" thickTop="1">
      <c r="A12" s="857"/>
      <c r="B12" s="198" t="s">
        <v>236</v>
      </c>
      <c r="C12" s="225" t="s">
        <v>556</v>
      </c>
      <c r="D12" s="225"/>
      <c r="E12" s="222"/>
      <c r="F12" s="189"/>
      <c r="G12" s="189"/>
      <c r="H12" s="191"/>
      <c r="I12" s="205"/>
      <c r="J12" s="205"/>
      <c r="K12" s="205"/>
      <c r="L12" s="232"/>
      <c r="M12" s="235" t="s">
        <v>1078</v>
      </c>
      <c r="N12" s="191"/>
      <c r="O12" s="191"/>
      <c r="P12" s="191"/>
      <c r="Q12" s="189"/>
      <c r="R12" s="189"/>
      <c r="S12" s="189"/>
      <c r="T12" s="189"/>
      <c r="U12" s="189"/>
      <c r="V12" s="857"/>
      <c r="W12" s="523"/>
      <c r="X12" s="857"/>
    </row>
    <row r="13" spans="1:24" ht="14.25" customHeight="1">
      <c r="A13" s="857"/>
      <c r="B13" s="5125"/>
      <c r="C13" s="5126"/>
      <c r="D13" s="5126"/>
      <c r="E13" s="5126"/>
      <c r="F13" s="5126"/>
      <c r="G13" s="5126"/>
      <c r="H13" s="5126"/>
      <c r="I13" s="5126"/>
      <c r="J13" s="5126"/>
      <c r="K13" s="5126"/>
      <c r="L13" s="5126"/>
      <c r="M13" s="2413"/>
      <c r="N13" s="2414"/>
      <c r="O13" s="2415"/>
      <c r="P13" s="2413"/>
      <c r="Q13" s="2413"/>
      <c r="R13" s="2413"/>
      <c r="S13" s="2413"/>
      <c r="T13" s="2416"/>
      <c r="U13" s="2416"/>
      <c r="V13" s="857"/>
      <c r="W13" s="523"/>
      <c r="X13" s="857"/>
    </row>
    <row r="14" spans="1:24" ht="11.25" customHeight="1">
      <c r="A14" s="857"/>
      <c r="B14" s="198" t="s">
        <v>593</v>
      </c>
      <c r="C14" s="225" t="s">
        <v>1079</v>
      </c>
      <c r="D14" s="234"/>
      <c r="E14" s="222"/>
      <c r="F14" s="189"/>
      <c r="G14" s="189"/>
      <c r="H14" s="227">
        <v>4</v>
      </c>
      <c r="I14" s="5130"/>
      <c r="J14" s="5131"/>
      <c r="K14" s="5131"/>
      <c r="L14" s="5131"/>
      <c r="M14" s="5131"/>
      <c r="N14" s="5131"/>
      <c r="O14" s="5131"/>
      <c r="P14" s="5131"/>
      <c r="Q14" s="5131"/>
      <c r="R14" s="5131"/>
      <c r="S14" s="5131"/>
      <c r="T14" s="5131"/>
      <c r="U14" s="5131"/>
      <c r="V14" s="857"/>
      <c r="W14" s="523"/>
      <c r="X14" s="857"/>
    </row>
    <row r="15" spans="1:24" ht="11.25" customHeight="1">
      <c r="A15" s="857"/>
      <c r="B15" s="749"/>
      <c r="C15" s="236" t="s">
        <v>594</v>
      </c>
      <c r="D15" s="236"/>
      <c r="E15" s="209"/>
      <c r="F15" s="27"/>
      <c r="G15" s="27"/>
      <c r="H15" s="27"/>
      <c r="I15" s="5141"/>
      <c r="J15" s="5142"/>
      <c r="K15" s="5143"/>
      <c r="L15" s="5142"/>
      <c r="M15" s="5142"/>
      <c r="N15" s="5142"/>
      <c r="O15" s="5142"/>
      <c r="P15" s="5142"/>
      <c r="Q15" s="5142"/>
      <c r="R15" s="5142"/>
      <c r="S15" s="5142"/>
      <c r="T15" s="5142"/>
      <c r="U15" s="5142"/>
      <c r="V15" s="857"/>
      <c r="W15" s="523"/>
      <c r="X15" s="857"/>
    </row>
    <row r="16" spans="1:24" ht="3" customHeight="1" thickBot="1">
      <c r="A16" s="857"/>
      <c r="B16" s="1620"/>
      <c r="C16" s="234"/>
      <c r="D16" s="234"/>
      <c r="E16" s="222"/>
      <c r="F16" s="189"/>
      <c r="G16" s="189"/>
      <c r="H16" s="189"/>
      <c r="I16" s="1621"/>
      <c r="J16" s="1622"/>
      <c r="K16" s="1624"/>
      <c r="L16" s="1625"/>
      <c r="M16" s="1625"/>
      <c r="N16" s="1625"/>
      <c r="O16" s="1625"/>
      <c r="P16" s="1625"/>
      <c r="Q16" s="1625"/>
      <c r="R16" s="1625"/>
      <c r="S16" s="1625"/>
      <c r="T16" s="1625"/>
      <c r="U16" s="1625"/>
      <c r="V16" s="857"/>
      <c r="W16" s="523"/>
      <c r="X16" s="857"/>
    </row>
    <row r="17" spans="1:24" ht="14.25" customHeight="1" thickBot="1">
      <c r="A17" s="857"/>
      <c r="B17" s="198" t="s">
        <v>595</v>
      </c>
      <c r="C17" s="234" t="s">
        <v>215</v>
      </c>
      <c r="D17" s="234"/>
      <c r="E17" s="2417"/>
      <c r="F17" s="1623" t="s">
        <v>216</v>
      </c>
      <c r="G17" s="237" t="str">
        <f>"(2)"</f>
        <v>(2)</v>
      </c>
      <c r="H17" s="2417"/>
      <c r="I17" s="234" t="s">
        <v>217</v>
      </c>
      <c r="J17" s="238" t="str">
        <f>"(3)"</f>
        <v>(3)</v>
      </c>
      <c r="K17" s="2417"/>
      <c r="L17" s="225" t="s">
        <v>1080</v>
      </c>
      <c r="M17" s="234"/>
      <c r="N17" s="5117"/>
      <c r="O17" s="5118"/>
      <c r="P17" s="5118"/>
      <c r="Q17" s="5118"/>
      <c r="R17" s="5118"/>
      <c r="S17" s="5118"/>
      <c r="T17" s="5118"/>
      <c r="U17" s="5118"/>
      <c r="V17" s="857"/>
      <c r="W17" s="523"/>
      <c r="X17" s="857"/>
    </row>
    <row r="18" spans="1:24" ht="3.75" customHeight="1" thickBot="1">
      <c r="A18" s="857"/>
      <c r="B18" s="198"/>
      <c r="C18" s="234"/>
      <c r="D18" s="234"/>
      <c r="E18" s="1158"/>
      <c r="F18" s="189"/>
      <c r="G18" s="237"/>
      <c r="H18" s="1159"/>
      <c r="I18" s="234"/>
      <c r="J18" s="238"/>
      <c r="K18" s="1159"/>
      <c r="L18" s="234"/>
      <c r="M18" s="234"/>
      <c r="N18" s="879"/>
      <c r="O18" s="1160"/>
      <c r="P18" s="1160"/>
      <c r="Q18" s="1160"/>
      <c r="R18" s="1160"/>
      <c r="S18" s="1160"/>
      <c r="T18" s="1160"/>
      <c r="U18" s="1160"/>
      <c r="V18" s="857"/>
      <c r="W18" s="523"/>
      <c r="X18" s="857"/>
    </row>
    <row r="19" spans="1:24" ht="12.75" customHeight="1" thickBot="1">
      <c r="A19" s="857"/>
      <c r="B19" s="198" t="s">
        <v>218</v>
      </c>
      <c r="C19" s="225" t="str">
        <f>"Did you 'materially participate' in the operation of this business during "&amp;TaxYear&amp;"? If 'No,' see instructions for loss limits."</f>
        <v>Did you 'materially participate' in the operation of this business during 2016? If 'No,' see instructions for loss limits.</v>
      </c>
      <c r="D19" s="32"/>
      <c r="E19" s="189"/>
      <c r="F19" s="189"/>
      <c r="G19" s="237"/>
      <c r="H19" s="189"/>
      <c r="I19" s="234"/>
      <c r="J19" s="238"/>
      <c r="K19" s="238"/>
      <c r="L19" s="189"/>
      <c r="M19" s="234"/>
      <c r="N19" s="189"/>
      <c r="O19" s="189"/>
      <c r="P19" s="189"/>
      <c r="Q19" s="189"/>
      <c r="R19" s="2417"/>
      <c r="S19" s="224" t="s">
        <v>436</v>
      </c>
      <c r="T19" s="2417"/>
      <c r="U19" s="224" t="s">
        <v>437</v>
      </c>
      <c r="V19" s="857"/>
      <c r="W19" s="523"/>
      <c r="X19" s="857"/>
    </row>
    <row r="20" spans="1:24" ht="12.75" customHeight="1" thickBot="1">
      <c r="A20" s="857"/>
      <c r="B20" s="198" t="s">
        <v>109</v>
      </c>
      <c r="C20" s="234" t="str">
        <f>"If you started or acquired this business during "&amp;TaxYear&amp;", check here"</f>
        <v>If you started or acquired this business during 2016, check here</v>
      </c>
      <c r="D20" s="234"/>
      <c r="E20" s="222"/>
      <c r="F20" s="189"/>
      <c r="G20" s="189"/>
      <c r="H20" s="879"/>
      <c r="I20" s="1626"/>
      <c r="J20" s="1626"/>
      <c r="K20" s="1626"/>
      <c r="L20" s="879"/>
      <c r="M20" s="1626"/>
      <c r="N20" s="879"/>
      <c r="O20" s="879"/>
      <c r="P20" s="879"/>
      <c r="Q20" s="835" t="s">
        <v>1084</v>
      </c>
      <c r="R20" s="2417"/>
      <c r="S20" s="835"/>
      <c r="T20" s="1627"/>
      <c r="U20" s="189"/>
      <c r="V20" s="857"/>
      <c r="W20" s="523"/>
      <c r="X20" s="857"/>
    </row>
    <row r="21" spans="1:24" ht="12.75" customHeight="1" thickBot="1">
      <c r="A21" s="857"/>
      <c r="B21" s="224" t="s">
        <v>1081</v>
      </c>
      <c r="C21" s="225" t="str">
        <f>"Did you make any payments in "&amp;TaxYear&amp;" that would require you to file Form(s) 1099? (see instructions) "</f>
        <v xml:space="preserve">Did you make any payments in 2016 that would require you to file Form(s) 1099? (see instructions) </v>
      </c>
      <c r="D21" s="32"/>
      <c r="E21" s="189"/>
      <c r="F21" s="189"/>
      <c r="G21" s="237"/>
      <c r="H21" s="189"/>
      <c r="I21" s="234"/>
      <c r="J21" s="238"/>
      <c r="K21" s="238"/>
      <c r="L21" s="189"/>
      <c r="M21" s="234"/>
      <c r="N21" s="189"/>
      <c r="O21" s="189"/>
      <c r="P21" s="189"/>
      <c r="Q21" s="835" t="s">
        <v>912</v>
      </c>
      <c r="R21" s="2417"/>
      <c r="S21" s="224" t="s">
        <v>436</v>
      </c>
      <c r="T21" s="2417"/>
      <c r="U21" s="224" t="s">
        <v>437</v>
      </c>
      <c r="V21" s="857"/>
      <c r="W21" s="523"/>
      <c r="X21" s="857"/>
    </row>
    <row r="22" spans="1:24" ht="12.75" customHeight="1" thickBot="1">
      <c r="A22" s="857"/>
      <c r="B22" s="224" t="s">
        <v>1082</v>
      </c>
      <c r="C22" s="225" t="s">
        <v>1083</v>
      </c>
      <c r="D22" s="32"/>
      <c r="E22" s="189"/>
      <c r="F22" s="189"/>
      <c r="G22" s="237"/>
      <c r="H22" s="189"/>
      <c r="I22" s="234"/>
      <c r="J22" s="238"/>
      <c r="K22" s="238"/>
      <c r="L22" s="189"/>
      <c r="M22" s="234"/>
      <c r="N22" s="189"/>
      <c r="O22" s="189"/>
      <c r="P22" s="189"/>
      <c r="Q22" s="835" t="s">
        <v>1085</v>
      </c>
      <c r="R22" s="2417"/>
      <c r="S22" s="224" t="s">
        <v>436</v>
      </c>
      <c r="T22" s="2417"/>
      <c r="U22" s="224" t="s">
        <v>437</v>
      </c>
      <c r="V22" s="857"/>
      <c r="W22" s="306" t="s">
        <v>149</v>
      </c>
      <c r="X22" s="857"/>
    </row>
    <row r="23" spans="1:24" ht="15" customHeight="1">
      <c r="A23" s="857"/>
      <c r="B23" s="503" t="s">
        <v>92</v>
      </c>
      <c r="C23" s="239" t="s">
        <v>475</v>
      </c>
      <c r="D23" s="239"/>
      <c r="E23" s="240"/>
      <c r="F23" s="241"/>
      <c r="G23" s="241"/>
      <c r="H23" s="241"/>
      <c r="I23" s="242"/>
      <c r="J23" s="242"/>
      <c r="K23" s="242"/>
      <c r="L23" s="242"/>
      <c r="M23" s="242"/>
      <c r="N23" s="241"/>
      <c r="O23" s="241"/>
      <c r="P23" s="243"/>
      <c r="Q23" s="241"/>
      <c r="R23" s="241"/>
      <c r="S23" s="241"/>
      <c r="T23" s="241"/>
      <c r="U23" s="241"/>
      <c r="V23" s="857"/>
      <c r="W23" s="208" t="s">
        <v>661</v>
      </c>
      <c r="X23" s="857"/>
    </row>
    <row r="24" spans="1:24" ht="13.5" customHeight="1" thickBot="1">
      <c r="A24" s="857"/>
      <c r="B24" s="223">
        <v>1</v>
      </c>
      <c r="C24" s="507" t="s">
        <v>1409</v>
      </c>
      <c r="D24" s="507"/>
      <c r="E24" s="245"/>
      <c r="F24" s="245"/>
      <c r="G24" s="245"/>
      <c r="H24" s="245"/>
      <c r="I24" s="246"/>
      <c r="J24" s="246"/>
      <c r="K24" s="246"/>
      <c r="L24" s="246"/>
      <c r="M24" s="835"/>
      <c r="N24" s="245"/>
      <c r="O24" s="245"/>
      <c r="P24" s="245"/>
      <c r="Q24" s="739"/>
      <c r="R24" s="835"/>
      <c r="S24" s="1359"/>
      <c r="T24" s="1358"/>
      <c r="U24" s="1358"/>
      <c r="V24" s="857"/>
      <c r="W24" s="523"/>
      <c r="X24" s="857"/>
    </row>
    <row r="25" spans="1:24" ht="12" customHeight="1" thickBot="1">
      <c r="A25" s="857"/>
      <c r="B25" s="223"/>
      <c r="C25" s="507" t="s">
        <v>1410</v>
      </c>
      <c r="D25" s="507"/>
      <c r="E25" s="245"/>
      <c r="F25" s="245"/>
      <c r="G25" s="245"/>
      <c r="H25" s="245"/>
      <c r="I25" s="246"/>
      <c r="J25" s="246"/>
      <c r="K25" s="246"/>
      <c r="L25" s="246"/>
      <c r="M25" s="835"/>
      <c r="N25" s="245"/>
      <c r="O25" s="835" t="s">
        <v>1599</v>
      </c>
      <c r="P25" s="245"/>
      <c r="Q25" s="2402"/>
      <c r="R25" s="835"/>
      <c r="S25" s="1628">
        <v>1</v>
      </c>
      <c r="T25" s="5132"/>
      <c r="U25" s="5133"/>
      <c r="V25" s="857"/>
      <c r="W25" s="523"/>
      <c r="X25" s="857"/>
    </row>
    <row r="26" spans="1:24" ht="12" customHeight="1">
      <c r="A26" s="857"/>
      <c r="B26" s="265">
        <v>2</v>
      </c>
      <c r="C26" s="507" t="s">
        <v>1600</v>
      </c>
      <c r="D26" s="249"/>
      <c r="E26" s="245"/>
      <c r="F26" s="245"/>
      <c r="G26" s="245"/>
      <c r="H26" s="245"/>
      <c r="I26" s="246"/>
      <c r="J26" s="246"/>
      <c r="K26" s="246"/>
      <c r="L26" s="246"/>
      <c r="M26" s="246"/>
      <c r="N26" s="245"/>
      <c r="O26" s="245"/>
      <c r="P26" s="247"/>
      <c r="Q26" s="245"/>
      <c r="R26" s="882" t="s">
        <v>3039</v>
      </c>
      <c r="S26" s="508">
        <v>2</v>
      </c>
      <c r="T26" s="5151"/>
      <c r="U26" s="5152"/>
      <c r="V26" s="857"/>
      <c r="W26" s="523"/>
      <c r="X26" s="857"/>
    </row>
    <row r="27" spans="1:24" ht="12" customHeight="1">
      <c r="A27" s="857"/>
      <c r="B27" s="265">
        <v>3</v>
      </c>
      <c r="C27" s="1490" t="s">
        <v>1411</v>
      </c>
      <c r="D27" s="250"/>
      <c r="E27" s="250"/>
      <c r="F27" s="247"/>
      <c r="G27" s="247"/>
      <c r="H27" s="247"/>
      <c r="I27" s="250"/>
      <c r="J27" s="250"/>
      <c r="K27" s="250"/>
      <c r="L27" s="250"/>
      <c r="M27" s="250"/>
      <c r="N27" s="247"/>
      <c r="O27" s="247"/>
      <c r="P27" s="250"/>
      <c r="Q27" s="247"/>
      <c r="R27" s="882" t="s">
        <v>3039</v>
      </c>
      <c r="S27" s="248">
        <v>3</v>
      </c>
      <c r="T27" s="5121">
        <f>SUM(T25,-T26)</f>
        <v>0</v>
      </c>
      <c r="U27" s="5122"/>
      <c r="V27" s="857"/>
      <c r="W27" s="523"/>
      <c r="X27" s="857"/>
    </row>
    <row r="28" spans="1:24" ht="12" customHeight="1">
      <c r="A28" s="857"/>
      <c r="B28" s="265">
        <v>4</v>
      </c>
      <c r="C28" s="1490" t="s">
        <v>1086</v>
      </c>
      <c r="D28" s="250"/>
      <c r="E28" s="250"/>
      <c r="F28" s="247"/>
      <c r="G28" s="247"/>
      <c r="H28" s="247"/>
      <c r="I28" s="250"/>
      <c r="J28" s="250"/>
      <c r="K28" s="250"/>
      <c r="L28" s="250"/>
      <c r="M28" s="250"/>
      <c r="N28" s="247"/>
      <c r="O28" s="247"/>
      <c r="P28" s="250"/>
      <c r="Q28" s="247"/>
      <c r="R28" s="882" t="s">
        <v>3042</v>
      </c>
      <c r="S28" s="248">
        <v>4</v>
      </c>
      <c r="T28" s="5121">
        <f>IF(W28&lt;&gt;"",W28,T88)</f>
        <v>0</v>
      </c>
      <c r="U28" s="5122"/>
      <c r="V28" s="857"/>
      <c r="W28" s="845"/>
      <c r="X28" s="857"/>
    </row>
    <row r="29" spans="1:24" ht="12" customHeight="1">
      <c r="A29" s="857"/>
      <c r="B29" s="265">
        <v>5</v>
      </c>
      <c r="C29" s="1626" t="s">
        <v>3041</v>
      </c>
      <c r="D29" s="252"/>
      <c r="E29" s="250"/>
      <c r="F29" s="247"/>
      <c r="G29" s="247"/>
      <c r="H29" s="247"/>
      <c r="I29" s="250"/>
      <c r="J29" s="250"/>
      <c r="K29" s="250"/>
      <c r="L29" s="250"/>
      <c r="M29" s="250"/>
      <c r="N29" s="247"/>
      <c r="O29" s="247"/>
      <c r="P29" s="250"/>
      <c r="Q29" s="247"/>
      <c r="R29" s="882" t="s">
        <v>3040</v>
      </c>
      <c r="S29" s="248">
        <v>5</v>
      </c>
      <c r="T29" s="5121">
        <f>T27-T28</f>
        <v>0</v>
      </c>
      <c r="U29" s="5122"/>
      <c r="V29" s="857"/>
      <c r="W29" s="523"/>
      <c r="X29" s="857"/>
    </row>
    <row r="30" spans="1:24" ht="12" customHeight="1">
      <c r="A30" s="857"/>
      <c r="B30" s="265">
        <v>6</v>
      </c>
      <c r="C30" s="1490" t="s">
        <v>1601</v>
      </c>
      <c r="D30" s="250"/>
      <c r="E30" s="250"/>
      <c r="F30" s="247"/>
      <c r="G30" s="247"/>
      <c r="H30" s="247"/>
      <c r="I30" s="250"/>
      <c r="J30" s="250"/>
      <c r="K30" s="250"/>
      <c r="L30" s="250"/>
      <c r="M30" s="250"/>
      <c r="N30" s="247"/>
      <c r="O30" s="247"/>
      <c r="P30" s="250"/>
      <c r="Q30" s="247"/>
      <c r="R30" s="247"/>
      <c r="S30" s="248">
        <v>6</v>
      </c>
      <c r="T30" s="5132"/>
      <c r="U30" s="5133"/>
      <c r="V30" s="857"/>
      <c r="W30" s="523"/>
      <c r="X30" s="857"/>
    </row>
    <row r="31" spans="1:24" ht="12" customHeight="1">
      <c r="A31" s="857"/>
      <c r="B31" s="265">
        <v>7</v>
      </c>
      <c r="C31" s="256" t="s">
        <v>517</v>
      </c>
      <c r="D31" s="256"/>
      <c r="E31" s="234"/>
      <c r="F31" s="245"/>
      <c r="G31" s="245"/>
      <c r="H31" s="253"/>
      <c r="I31" s="250"/>
      <c r="J31" s="250"/>
      <c r="K31" s="250"/>
      <c r="L31" s="254"/>
      <c r="M31" s="250"/>
      <c r="N31" s="253"/>
      <c r="O31" s="253"/>
      <c r="P31" s="250"/>
      <c r="Q31" s="245"/>
      <c r="R31" s="245"/>
      <c r="S31" s="248">
        <v>7</v>
      </c>
      <c r="T31" s="5121">
        <f>SUM(T29,T30)</f>
        <v>0</v>
      </c>
      <c r="U31" s="5122"/>
      <c r="V31" s="857"/>
      <c r="W31" s="523"/>
      <c r="X31" s="857"/>
    </row>
    <row r="32" spans="1:24" ht="15">
      <c r="A32" s="857"/>
      <c r="B32" s="503" t="s">
        <v>194</v>
      </c>
      <c r="C32" s="241" t="s">
        <v>1412</v>
      </c>
      <c r="D32" s="2933" t="s">
        <v>2031</v>
      </c>
      <c r="E32" s="241"/>
      <c r="F32" s="241"/>
      <c r="G32" s="241"/>
      <c r="H32" s="240"/>
      <c r="I32" s="241"/>
      <c r="J32" s="241"/>
      <c r="K32" s="241"/>
      <c r="L32" s="241"/>
      <c r="M32" s="241"/>
      <c r="N32" s="241"/>
      <c r="O32" s="241"/>
      <c r="P32" s="241"/>
      <c r="Q32" s="241"/>
      <c r="R32" s="241"/>
      <c r="S32" s="241"/>
      <c r="T32" s="521"/>
      <c r="U32" s="521"/>
      <c r="V32" s="857"/>
      <c r="W32" s="523"/>
      <c r="X32" s="857"/>
    </row>
    <row r="33" spans="1:24" ht="12" customHeight="1">
      <c r="A33" s="857"/>
      <c r="B33" s="265">
        <v>8</v>
      </c>
      <c r="C33" s="257" t="s">
        <v>82</v>
      </c>
      <c r="D33" s="257"/>
      <c r="E33" s="245"/>
      <c r="F33" s="245"/>
      <c r="G33" s="253"/>
      <c r="H33" s="508">
        <f>B33</f>
        <v>8</v>
      </c>
      <c r="I33" s="2419"/>
      <c r="J33" s="238">
        <v>18</v>
      </c>
      <c r="K33" s="423"/>
      <c r="L33" s="549" t="s">
        <v>1090</v>
      </c>
      <c r="M33" s="423"/>
      <c r="N33" s="423"/>
      <c r="O33" s="423"/>
      <c r="P33" s="423"/>
      <c r="Q33" s="423"/>
      <c r="R33" s="835" t="s">
        <v>1414</v>
      </c>
      <c r="S33" s="248">
        <f>J33</f>
        <v>18</v>
      </c>
      <c r="T33" s="5149"/>
      <c r="U33" s="5150"/>
      <c r="V33" s="857"/>
      <c r="W33" s="523"/>
      <c r="X33" s="857"/>
    </row>
    <row r="34" spans="1:24" ht="11.25" customHeight="1">
      <c r="A34" s="857"/>
      <c r="B34" s="265">
        <v>9</v>
      </c>
      <c r="C34" s="257" t="s">
        <v>500</v>
      </c>
      <c r="D34" s="257"/>
      <c r="E34" s="245"/>
      <c r="F34" s="245"/>
      <c r="G34" s="253"/>
      <c r="H34" s="509"/>
      <c r="I34" s="1941"/>
      <c r="J34" s="238">
        <v>19</v>
      </c>
      <c r="K34" s="198"/>
      <c r="L34" s="258" t="s">
        <v>83</v>
      </c>
      <c r="M34" s="259"/>
      <c r="N34" s="257"/>
      <c r="O34" s="257"/>
      <c r="P34" s="260"/>
      <c r="Q34" s="261"/>
      <c r="R34" s="261"/>
      <c r="S34" s="248">
        <f>J34</f>
        <v>19</v>
      </c>
      <c r="T34" s="5149"/>
      <c r="U34" s="5150"/>
      <c r="V34" s="857"/>
      <c r="W34" s="523"/>
      <c r="X34" s="857"/>
    </row>
    <row r="35" spans="1:24" ht="11.25" customHeight="1">
      <c r="A35" s="857"/>
      <c r="B35" s="265"/>
      <c r="C35" s="1532" t="s">
        <v>1413</v>
      </c>
      <c r="D35" s="257"/>
      <c r="E35" s="245"/>
      <c r="F35" s="245"/>
      <c r="G35" s="253"/>
      <c r="H35" s="508">
        <f>B34</f>
        <v>9</v>
      </c>
      <c r="I35" s="2420"/>
      <c r="J35" s="238">
        <v>20</v>
      </c>
      <c r="K35" s="198"/>
      <c r="L35" s="1629" t="s">
        <v>1091</v>
      </c>
      <c r="M35" s="259"/>
      <c r="N35" s="262"/>
      <c r="O35" s="262"/>
      <c r="P35" s="260"/>
      <c r="Q35" s="261"/>
      <c r="R35" s="261"/>
      <c r="S35" s="510"/>
      <c r="T35" s="1932"/>
      <c r="U35" s="1943"/>
      <c r="V35" s="857"/>
      <c r="W35" s="523"/>
      <c r="X35" s="857"/>
    </row>
    <row r="36" spans="1:24" ht="11.25" customHeight="1">
      <c r="A36" s="857"/>
      <c r="B36" s="265">
        <v>10</v>
      </c>
      <c r="C36" s="257" t="s">
        <v>323</v>
      </c>
      <c r="D36" s="257"/>
      <c r="E36" s="245"/>
      <c r="F36" s="245"/>
      <c r="G36" s="253"/>
      <c r="H36" s="740">
        <f>B36</f>
        <v>10</v>
      </c>
      <c r="I36" s="2419"/>
      <c r="J36" s="238"/>
      <c r="K36" s="198" t="s">
        <v>61</v>
      </c>
      <c r="L36" s="258" t="s">
        <v>506</v>
      </c>
      <c r="M36" s="259"/>
      <c r="N36" s="257"/>
      <c r="O36" s="257"/>
      <c r="P36" s="260"/>
      <c r="Q36" s="261"/>
      <c r="R36" s="835" t="s">
        <v>1379</v>
      </c>
      <c r="S36" s="248" t="s">
        <v>353</v>
      </c>
      <c r="T36" s="4623"/>
      <c r="U36" s="5178"/>
      <c r="V36" s="857"/>
      <c r="W36" s="523"/>
      <c r="X36" s="857"/>
    </row>
    <row r="37" spans="1:24" ht="11.25" customHeight="1">
      <c r="A37" s="857"/>
      <c r="B37" s="265">
        <v>11</v>
      </c>
      <c r="C37" s="1532" t="s">
        <v>1096</v>
      </c>
      <c r="D37" s="257"/>
      <c r="E37" s="245"/>
      <c r="F37" s="245"/>
      <c r="G37" s="835" t="s">
        <v>1120</v>
      </c>
      <c r="H37" s="508">
        <f>B37</f>
        <v>11</v>
      </c>
      <c r="I37" s="2420"/>
      <c r="J37" s="238"/>
      <c r="K37" s="198" t="s">
        <v>84</v>
      </c>
      <c r="L37" s="244" t="s">
        <v>501</v>
      </c>
      <c r="M37" s="260"/>
      <c r="N37" s="257"/>
      <c r="O37" s="257"/>
      <c r="P37" s="260"/>
      <c r="Q37" s="261"/>
      <c r="R37" s="835" t="s">
        <v>1415</v>
      </c>
      <c r="S37" s="248" t="s">
        <v>354</v>
      </c>
      <c r="T37" s="5149"/>
      <c r="U37" s="5150"/>
      <c r="V37" s="857"/>
      <c r="W37" s="523"/>
      <c r="X37" s="857"/>
    </row>
    <row r="38" spans="1:24" ht="11.25" customHeight="1">
      <c r="A38" s="857"/>
      <c r="B38" s="265">
        <v>12</v>
      </c>
      <c r="C38" s="257" t="s">
        <v>795</v>
      </c>
      <c r="D38" s="257"/>
      <c r="E38" s="245"/>
      <c r="F38" s="245"/>
      <c r="G38" s="253"/>
      <c r="H38" s="508">
        <f>B38</f>
        <v>12</v>
      </c>
      <c r="I38" s="2419"/>
      <c r="J38" s="238">
        <v>21</v>
      </c>
      <c r="K38" s="198"/>
      <c r="L38" s="244" t="s">
        <v>42</v>
      </c>
      <c r="M38" s="244"/>
      <c r="N38" s="244"/>
      <c r="O38" s="244"/>
      <c r="P38" s="244"/>
      <c r="Q38" s="244"/>
      <c r="R38" s="835" t="s">
        <v>939</v>
      </c>
      <c r="S38" s="248">
        <f>J38</f>
        <v>21</v>
      </c>
      <c r="T38" s="5149"/>
      <c r="U38" s="5150"/>
      <c r="V38" s="857"/>
      <c r="W38" s="523"/>
      <c r="X38" s="857"/>
    </row>
    <row r="39" spans="1:24" ht="11.25" customHeight="1">
      <c r="A39" s="857"/>
      <c r="B39" s="265">
        <v>13</v>
      </c>
      <c r="C39" s="257" t="s">
        <v>684</v>
      </c>
      <c r="D39" s="257"/>
      <c r="E39" s="245"/>
      <c r="F39" s="245"/>
      <c r="G39" s="253"/>
      <c r="H39" s="509"/>
      <c r="I39" s="1941"/>
      <c r="J39" s="238">
        <v>22</v>
      </c>
      <c r="K39" s="198"/>
      <c r="L39" s="244" t="s">
        <v>324</v>
      </c>
      <c r="M39" s="244"/>
      <c r="N39" s="244"/>
      <c r="O39" s="244"/>
      <c r="P39" s="244"/>
      <c r="Q39" s="244"/>
      <c r="R39" s="835" t="s">
        <v>1414</v>
      </c>
      <c r="S39" s="248">
        <v>22</v>
      </c>
      <c r="T39" s="5149"/>
      <c r="U39" s="5150"/>
      <c r="V39" s="857"/>
      <c r="W39" s="523"/>
      <c r="X39" s="857"/>
    </row>
    <row r="40" spans="1:24" ht="11.25" customHeight="1">
      <c r="A40" s="857"/>
      <c r="B40" s="265"/>
      <c r="C40" s="257" t="s">
        <v>588</v>
      </c>
      <c r="D40" s="257"/>
      <c r="E40" s="245"/>
      <c r="F40" s="245"/>
      <c r="G40" s="253"/>
      <c r="H40" s="509"/>
      <c r="I40" s="1942"/>
      <c r="J40" s="238">
        <v>23</v>
      </c>
      <c r="K40" s="198"/>
      <c r="L40" s="244" t="s">
        <v>796</v>
      </c>
      <c r="M40" s="244"/>
      <c r="N40" s="244"/>
      <c r="O40" s="244"/>
      <c r="P40" s="244"/>
      <c r="Q40" s="244"/>
      <c r="R40" s="835" t="s">
        <v>1380</v>
      </c>
      <c r="S40" s="248">
        <v>23</v>
      </c>
      <c r="T40" s="5149"/>
      <c r="U40" s="5150"/>
      <c r="V40" s="857"/>
      <c r="W40" s="523"/>
      <c r="X40" s="857"/>
    </row>
    <row r="41" spans="1:24" ht="11.25" customHeight="1">
      <c r="A41" s="857"/>
      <c r="B41" s="265"/>
      <c r="C41" s="1532" t="s">
        <v>1088</v>
      </c>
      <c r="D41" s="257"/>
      <c r="E41" s="245"/>
      <c r="F41" s="245"/>
      <c r="G41" s="835" t="s">
        <v>1089</v>
      </c>
      <c r="H41" s="508">
        <f>B39</f>
        <v>13</v>
      </c>
      <c r="I41" s="2420"/>
      <c r="J41" s="238">
        <v>24</v>
      </c>
      <c r="K41" s="198"/>
      <c r="L41" s="244" t="s">
        <v>54</v>
      </c>
      <c r="M41" s="244"/>
      <c r="N41" s="244"/>
      <c r="O41" s="244"/>
      <c r="P41" s="244"/>
      <c r="Q41" s="244"/>
      <c r="R41" s="244"/>
      <c r="S41" s="510"/>
      <c r="T41" s="1932"/>
      <c r="U41" s="1943"/>
      <c r="V41" s="857"/>
      <c r="W41" s="523"/>
      <c r="X41" s="857"/>
    </row>
    <row r="42" spans="1:24" ht="11.25" customHeight="1">
      <c r="A42" s="857"/>
      <c r="B42" s="265">
        <v>14</v>
      </c>
      <c r="C42" s="257" t="s">
        <v>411</v>
      </c>
      <c r="D42" s="257"/>
      <c r="E42" s="245"/>
      <c r="F42" s="245"/>
      <c r="G42" s="253"/>
      <c r="H42" s="509"/>
      <c r="I42" s="1941"/>
      <c r="J42" s="238"/>
      <c r="K42" s="198" t="s">
        <v>61</v>
      </c>
      <c r="L42" s="549" t="s">
        <v>1416</v>
      </c>
      <c r="M42" s="244"/>
      <c r="N42" s="244"/>
      <c r="O42" s="244"/>
      <c r="P42" s="244"/>
      <c r="Q42" s="244"/>
      <c r="R42" s="835" t="s">
        <v>442</v>
      </c>
      <c r="S42" s="248" t="s">
        <v>286</v>
      </c>
      <c r="T42" s="4623"/>
      <c r="U42" s="5178"/>
      <c r="V42" s="857"/>
      <c r="W42" s="523"/>
      <c r="X42" s="857"/>
    </row>
    <row r="43" spans="1:24" ht="11.25" customHeight="1">
      <c r="A43" s="857"/>
      <c r="B43" s="265"/>
      <c r="C43" s="257" t="s">
        <v>412</v>
      </c>
      <c r="D43" s="257"/>
      <c r="E43" s="245"/>
      <c r="F43" s="245"/>
      <c r="G43" s="253"/>
      <c r="H43" s="508">
        <f>B42</f>
        <v>14</v>
      </c>
      <c r="I43" s="2420"/>
      <c r="J43" s="238"/>
      <c r="K43" s="198" t="s">
        <v>84</v>
      </c>
      <c r="L43" s="549" t="s">
        <v>2465</v>
      </c>
      <c r="M43" s="244"/>
      <c r="N43" s="244"/>
      <c r="O43" s="244"/>
      <c r="P43" s="244"/>
      <c r="Q43" s="244"/>
      <c r="R43" s="1162"/>
      <c r="S43" s="251"/>
      <c r="T43" s="1932"/>
      <c r="U43" s="1943"/>
      <c r="V43" s="857"/>
      <c r="W43" s="523"/>
      <c r="X43" s="857"/>
    </row>
    <row r="44" spans="1:24" ht="11.25" customHeight="1">
      <c r="A44" s="857"/>
      <c r="B44" s="265">
        <v>15</v>
      </c>
      <c r="C44" s="257" t="s">
        <v>413</v>
      </c>
      <c r="D44" s="257"/>
      <c r="E44" s="245"/>
      <c r="F44" s="245"/>
      <c r="G44" s="253"/>
      <c r="H44" s="508">
        <f>B44</f>
        <v>15</v>
      </c>
      <c r="I44" s="2419"/>
      <c r="J44" s="238"/>
      <c r="K44" s="198"/>
      <c r="L44" s="5179" t="s">
        <v>891</v>
      </c>
      <c r="M44" s="4563"/>
      <c r="N44" s="4563"/>
      <c r="O44" s="4563"/>
      <c r="P44" s="4563"/>
      <c r="Q44" s="4563"/>
      <c r="R44" s="4564"/>
      <c r="S44" s="248" t="s">
        <v>110</v>
      </c>
      <c r="T44" s="4623"/>
      <c r="U44" s="5178"/>
      <c r="V44" s="857"/>
      <c r="W44" s="523"/>
      <c r="X44" s="857"/>
    </row>
    <row r="45" spans="1:24" ht="11.25" customHeight="1">
      <c r="A45" s="857"/>
      <c r="B45" s="265">
        <v>16</v>
      </c>
      <c r="C45" s="257" t="s">
        <v>416</v>
      </c>
      <c r="D45" s="257"/>
      <c r="E45" s="245"/>
      <c r="F45" s="245"/>
      <c r="G45" s="253"/>
      <c r="H45" s="510"/>
      <c r="I45" s="1941"/>
      <c r="J45" s="238">
        <v>25</v>
      </c>
      <c r="K45" s="198"/>
      <c r="L45" s="244" t="s">
        <v>88</v>
      </c>
      <c r="M45" s="244"/>
      <c r="N45" s="244"/>
      <c r="O45" s="244"/>
      <c r="P45" s="244"/>
      <c r="Q45" s="244"/>
      <c r="R45" s="1162"/>
      <c r="S45" s="248">
        <v>25</v>
      </c>
      <c r="T45" s="5149"/>
      <c r="U45" s="5150"/>
      <c r="V45" s="857"/>
      <c r="W45" s="523"/>
      <c r="X45" s="857"/>
    </row>
    <row r="46" spans="1:24" ht="11.25" customHeight="1">
      <c r="A46" s="857"/>
      <c r="B46" s="238" t="s">
        <v>61</v>
      </c>
      <c r="C46" s="257" t="s">
        <v>570</v>
      </c>
      <c r="D46" s="257"/>
      <c r="E46" s="245"/>
      <c r="F46" s="245"/>
      <c r="G46" s="253"/>
      <c r="H46" s="508" t="s">
        <v>351</v>
      </c>
      <c r="I46" s="2420"/>
      <c r="J46" s="238">
        <v>26</v>
      </c>
      <c r="K46" s="198"/>
      <c r="L46" s="244" t="s">
        <v>89</v>
      </c>
      <c r="M46" s="244"/>
      <c r="N46" s="244"/>
      <c r="O46" s="244"/>
      <c r="P46" s="244"/>
      <c r="Q46" s="244"/>
      <c r="R46" s="244"/>
      <c r="S46" s="248">
        <v>26</v>
      </c>
      <c r="T46" s="5149"/>
      <c r="U46" s="5150"/>
      <c r="V46" s="857"/>
      <c r="W46" s="523"/>
      <c r="X46" s="857"/>
    </row>
    <row r="47" spans="1:24" ht="11.25" customHeight="1">
      <c r="A47" s="857"/>
      <c r="B47" s="238" t="s">
        <v>84</v>
      </c>
      <c r="C47" s="257" t="s">
        <v>87</v>
      </c>
      <c r="D47" s="257"/>
      <c r="E47" s="245"/>
      <c r="F47" s="245"/>
      <c r="G47" s="253"/>
      <c r="H47" s="508" t="s">
        <v>352</v>
      </c>
      <c r="I47" s="2421"/>
      <c r="J47" s="1161">
        <v>27</v>
      </c>
      <c r="K47" s="224" t="s">
        <v>61</v>
      </c>
      <c r="L47" s="549" t="s">
        <v>1092</v>
      </c>
      <c r="M47" s="244"/>
      <c r="N47" s="244"/>
      <c r="O47" s="244"/>
      <c r="P47" s="244"/>
      <c r="Q47" s="244"/>
      <c r="R47" s="1162"/>
      <c r="S47" s="1630" t="s">
        <v>1094</v>
      </c>
      <c r="T47" s="5180">
        <f>IF(W47&lt;&gt;"",W47,T116)</f>
        <v>0</v>
      </c>
      <c r="U47" s="5181"/>
      <c r="V47" s="857"/>
      <c r="W47" s="845"/>
      <c r="X47" s="857"/>
    </row>
    <row r="48" spans="1:24" ht="11.25" customHeight="1" thickBot="1">
      <c r="A48" s="857"/>
      <c r="B48" s="274">
        <v>17</v>
      </c>
      <c r="C48" s="1631" t="s">
        <v>1087</v>
      </c>
      <c r="D48" s="886"/>
      <c r="E48" s="270"/>
      <c r="F48" s="270"/>
      <c r="G48" s="1632"/>
      <c r="H48" s="289">
        <v>17</v>
      </c>
      <c r="I48" s="2422"/>
      <c r="J48" s="1633"/>
      <c r="K48" s="1634" t="s">
        <v>84</v>
      </c>
      <c r="L48" s="887" t="s">
        <v>1093</v>
      </c>
      <c r="M48" s="886"/>
      <c r="N48" s="886"/>
      <c r="O48" s="886"/>
      <c r="P48" s="886"/>
      <c r="Q48" s="886"/>
      <c r="R48" s="2418" t="s">
        <v>939</v>
      </c>
      <c r="S48" s="1635" t="s">
        <v>1095</v>
      </c>
      <c r="T48" s="5157"/>
      <c r="U48" s="5158"/>
      <c r="V48" s="857"/>
      <c r="W48" s="523"/>
      <c r="X48" s="857"/>
    </row>
    <row r="49" spans="1:24" ht="15" customHeight="1">
      <c r="A49" s="857"/>
      <c r="B49" s="265">
        <v>28</v>
      </c>
      <c r="C49" s="1626" t="s">
        <v>2032</v>
      </c>
      <c r="D49" s="252"/>
      <c r="E49" s="250"/>
      <c r="F49" s="247"/>
      <c r="G49" s="247"/>
      <c r="H49" s="247"/>
      <c r="I49" s="250"/>
      <c r="J49" s="250"/>
      <c r="K49" s="250"/>
      <c r="L49" s="250"/>
      <c r="M49" s="250"/>
      <c r="N49" s="247"/>
      <c r="O49" s="247"/>
      <c r="P49" s="250"/>
      <c r="Q49" s="247"/>
      <c r="R49" s="882" t="s">
        <v>2034</v>
      </c>
      <c r="S49" s="248">
        <v>28</v>
      </c>
      <c r="T49" s="5121">
        <f>IF(W49&lt;&gt;"",W49,ROUND(SUM(I33:I48,T33:T48),0))</f>
        <v>0</v>
      </c>
      <c r="U49" s="5122"/>
      <c r="V49" s="857"/>
      <c r="W49" s="845"/>
      <c r="X49" s="857"/>
    </row>
    <row r="50" spans="1:24" ht="12.75" customHeight="1">
      <c r="A50" s="857"/>
      <c r="B50" s="265">
        <v>29</v>
      </c>
      <c r="C50" s="1490" t="s">
        <v>2033</v>
      </c>
      <c r="D50" s="250"/>
      <c r="E50" s="250"/>
      <c r="F50" s="247"/>
      <c r="G50" s="247"/>
      <c r="H50" s="247"/>
      <c r="I50" s="250"/>
      <c r="J50" s="250"/>
      <c r="K50" s="250"/>
      <c r="L50" s="250"/>
      <c r="M50" s="250"/>
      <c r="N50" s="247"/>
      <c r="O50" s="247"/>
      <c r="P50" s="250"/>
      <c r="Q50" s="247"/>
      <c r="R50" s="882" t="s">
        <v>2035</v>
      </c>
      <c r="S50" s="248">
        <v>29</v>
      </c>
      <c r="T50" s="5121">
        <f>SUM(T31,-T49)</f>
        <v>0</v>
      </c>
      <c r="U50" s="5122"/>
      <c r="V50" s="857"/>
      <c r="W50" s="523"/>
      <c r="X50" s="857"/>
    </row>
    <row r="51" spans="1:24" ht="14.25" customHeight="1">
      <c r="A51" s="857"/>
      <c r="B51" s="265">
        <v>30</v>
      </c>
      <c r="C51" s="2681" t="s">
        <v>1602</v>
      </c>
      <c r="D51" s="250"/>
      <c r="E51" s="250"/>
      <c r="F51" s="247"/>
      <c r="G51" s="247"/>
      <c r="H51" s="247"/>
      <c r="I51" s="250"/>
      <c r="J51" s="250"/>
      <c r="K51" s="250"/>
      <c r="L51" s="250"/>
      <c r="M51" s="250"/>
      <c r="N51" s="247"/>
      <c r="O51" s="247"/>
      <c r="P51" s="250"/>
      <c r="Q51" s="247"/>
      <c r="R51" s="247"/>
      <c r="S51" s="2679"/>
      <c r="T51" s="5098"/>
      <c r="U51" s="5099"/>
      <c r="V51" s="857"/>
      <c r="W51" s="523"/>
      <c r="X51" s="857"/>
    </row>
    <row r="52" spans="1:24" ht="14.25" customHeight="1">
      <c r="A52" s="857"/>
      <c r="B52" s="265"/>
      <c r="C52" s="2681" t="s">
        <v>1603</v>
      </c>
      <c r="D52" s="250"/>
      <c r="E52" s="250"/>
      <c r="F52" s="247"/>
      <c r="G52" s="247"/>
      <c r="H52" s="247"/>
      <c r="I52" s="250"/>
      <c r="J52" s="250"/>
      <c r="K52" s="250"/>
      <c r="L52" s="250"/>
      <c r="M52" s="250"/>
      <c r="N52" s="247"/>
      <c r="O52" s="247"/>
      <c r="P52" s="250"/>
      <c r="Q52" s="247"/>
      <c r="R52" s="247"/>
      <c r="S52" s="2680"/>
      <c r="T52" s="5100"/>
      <c r="U52" s="5101"/>
      <c r="V52" s="857"/>
      <c r="W52" s="523"/>
      <c r="X52" s="857"/>
    </row>
    <row r="53" spans="1:24" ht="14.25" customHeight="1">
      <c r="A53" s="857"/>
      <c r="B53" s="265"/>
      <c r="C53" s="2681" t="s">
        <v>1605</v>
      </c>
      <c r="D53" s="250"/>
      <c r="E53" s="250"/>
      <c r="F53" s="247"/>
      <c r="G53" s="247"/>
      <c r="H53" s="247"/>
      <c r="I53" s="250"/>
      <c r="J53" s="250"/>
      <c r="K53" s="250"/>
      <c r="L53" s="250"/>
      <c r="M53" s="5102"/>
      <c r="N53" s="5103"/>
      <c r="O53" s="5103"/>
      <c r="P53" s="5103"/>
      <c r="Q53" s="5103"/>
      <c r="R53" s="247"/>
      <c r="S53" s="2680"/>
      <c r="T53" s="2907"/>
      <c r="U53" s="2908"/>
      <c r="V53" s="857"/>
      <c r="W53" s="523"/>
      <c r="X53" s="857"/>
    </row>
    <row r="54" spans="1:24" ht="14.25" customHeight="1">
      <c r="A54" s="857"/>
      <c r="B54" s="265"/>
      <c r="C54" s="1490" t="s">
        <v>1604</v>
      </c>
      <c r="D54" s="250"/>
      <c r="E54" s="250"/>
      <c r="F54" s="247"/>
      <c r="G54" s="247"/>
      <c r="H54" s="5102"/>
      <c r="I54" s="5104"/>
      <c r="J54" s="5104"/>
      <c r="K54" s="5104"/>
      <c r="L54" s="2681"/>
      <c r="M54" s="250"/>
      <c r="N54" s="247"/>
      <c r="O54" s="247"/>
      <c r="P54" s="250"/>
      <c r="Q54" s="247"/>
      <c r="R54" s="247"/>
      <c r="S54" s="2680"/>
      <c r="T54" s="2907"/>
      <c r="U54" s="2908"/>
      <c r="V54" s="857"/>
      <c r="W54" s="523"/>
      <c r="X54" s="857"/>
    </row>
    <row r="55" spans="1:24" ht="14.25" customHeight="1">
      <c r="A55" s="857"/>
      <c r="B55" s="265"/>
      <c r="C55" s="2681" t="s">
        <v>1606</v>
      </c>
      <c r="D55" s="250"/>
      <c r="E55" s="250"/>
      <c r="F55" s="247"/>
      <c r="G55" s="247"/>
      <c r="H55" s="247"/>
      <c r="I55" s="250"/>
      <c r="J55" s="250"/>
      <c r="K55" s="250"/>
      <c r="L55" s="250"/>
      <c r="M55" s="250"/>
      <c r="N55" s="247"/>
      <c r="O55" s="247"/>
      <c r="P55" s="250"/>
      <c r="Q55" s="247"/>
      <c r="R55" s="2994" t="s">
        <v>939</v>
      </c>
      <c r="S55" s="248">
        <v>30</v>
      </c>
      <c r="T55" s="4623"/>
      <c r="U55" s="5178"/>
      <c r="V55" s="857"/>
      <c r="W55" s="523"/>
      <c r="X55" s="857"/>
    </row>
    <row r="56" spans="1:24" ht="12.75" customHeight="1">
      <c r="A56" s="857"/>
      <c r="B56" s="265">
        <v>31</v>
      </c>
      <c r="C56" s="256" t="s">
        <v>329</v>
      </c>
      <c r="D56" s="256"/>
      <c r="E56" s="234"/>
      <c r="F56" s="245"/>
      <c r="G56" s="245"/>
      <c r="H56" s="253"/>
      <c r="I56" s="254"/>
      <c r="J56" s="254"/>
      <c r="K56" s="254"/>
      <c r="L56" s="254"/>
      <c r="M56" s="254"/>
      <c r="N56" s="253"/>
      <c r="O56" s="253"/>
      <c r="P56" s="250"/>
      <c r="Q56" s="245"/>
      <c r="R56" s="245"/>
      <c r="S56" s="255"/>
      <c r="T56" s="1937"/>
      <c r="U56" s="1938"/>
      <c r="V56" s="857"/>
      <c r="W56" s="523"/>
      <c r="X56" s="857"/>
    </row>
    <row r="57" spans="1:24" ht="12.75" customHeight="1">
      <c r="A57" s="857"/>
      <c r="B57" s="265"/>
      <c r="C57" s="225" t="s">
        <v>2036</v>
      </c>
      <c r="D57" s="264"/>
      <c r="E57" s="234"/>
      <c r="F57" s="245"/>
      <c r="G57" s="245"/>
      <c r="H57" s="253"/>
      <c r="I57" s="250"/>
      <c r="J57" s="250"/>
      <c r="K57" s="250"/>
      <c r="L57" s="254"/>
      <c r="M57" s="250"/>
      <c r="N57" s="253"/>
      <c r="O57" s="253"/>
      <c r="P57" s="250"/>
      <c r="Q57" s="245"/>
      <c r="R57" s="245"/>
      <c r="S57" s="251"/>
      <c r="T57" s="1939"/>
      <c r="U57" s="1940"/>
      <c r="V57" s="857"/>
      <c r="W57" s="523"/>
      <c r="X57" s="857"/>
    </row>
    <row r="58" spans="1:24" ht="12.75" customHeight="1">
      <c r="A58" s="857"/>
      <c r="B58" s="238"/>
      <c r="C58" s="225" t="s">
        <v>2037</v>
      </c>
      <c r="D58" s="234"/>
      <c r="E58" s="234"/>
      <c r="F58" s="245"/>
      <c r="G58" s="245"/>
      <c r="H58" s="245"/>
      <c r="I58" s="234"/>
      <c r="J58" s="234"/>
      <c r="K58" s="234"/>
      <c r="L58" s="254"/>
      <c r="M58" s="234"/>
      <c r="N58" s="245"/>
      <c r="O58" s="245"/>
      <c r="P58" s="250"/>
      <c r="Q58" s="245"/>
      <c r="R58" s="245"/>
      <c r="S58" s="248">
        <v>31</v>
      </c>
      <c r="T58" s="5121">
        <f>IF(W58&lt;&gt;"",W58,ROUND(SUM(T50,-T55),0))</f>
        <v>0</v>
      </c>
      <c r="U58" s="5122"/>
      <c r="V58" s="857"/>
      <c r="W58" s="2683"/>
      <c r="X58" s="857"/>
    </row>
    <row r="59" spans="1:24" ht="12.75" customHeight="1">
      <c r="A59" s="857"/>
      <c r="B59" s="238"/>
      <c r="C59" s="225" t="s">
        <v>2041</v>
      </c>
      <c r="D59" s="264"/>
      <c r="E59" s="234"/>
      <c r="F59" s="245"/>
      <c r="G59" s="245"/>
      <c r="H59" s="245"/>
      <c r="I59" s="234"/>
      <c r="J59" s="234"/>
      <c r="K59" s="234"/>
      <c r="L59" s="254"/>
      <c r="M59" s="234"/>
      <c r="N59" s="245"/>
      <c r="O59" s="245"/>
      <c r="P59" s="250"/>
      <c r="Q59" s="245"/>
      <c r="R59" s="2682" t="str">
        <f>IF(AND(R61&lt;&gt;"",R62&lt;&gt;""),"",IF(AND(T58&gt;=0,OR(R61&lt;&gt;"",R62&lt;&gt;"")),"Check only if Line 31",""))</f>
        <v/>
      </c>
      <c r="S59" s="265"/>
      <c r="T59" s="500"/>
      <c r="U59" s="500"/>
      <c r="V59" s="857"/>
      <c r="W59" s="523"/>
      <c r="X59" s="857"/>
    </row>
    <row r="60" spans="1:24" ht="12.75" customHeight="1" thickBot="1">
      <c r="A60" s="857"/>
      <c r="B60" s="265">
        <v>32</v>
      </c>
      <c r="C60" s="257" t="s">
        <v>892</v>
      </c>
      <c r="D60" s="257"/>
      <c r="E60" s="257"/>
      <c r="F60" s="261"/>
      <c r="G60" s="261"/>
      <c r="H60" s="261"/>
      <c r="I60" s="257"/>
      <c r="J60" s="257"/>
      <c r="K60" s="257"/>
      <c r="L60" s="259"/>
      <c r="M60" s="257"/>
      <c r="N60" s="261"/>
      <c r="O60" s="261"/>
      <c r="P60" s="250"/>
      <c r="Q60" s="245"/>
      <c r="R60" s="2682" t="str">
        <f>IF(AND(R61&lt;&gt;"",R62&lt;&gt;""),"Check ONLY one.",IF(AND(T58&gt;=0,OR(R61&lt;&gt;"",R62&lt;&gt;"")),"is a loss.",""))</f>
        <v/>
      </c>
      <c r="S60" s="265"/>
      <c r="T60" s="500"/>
      <c r="U60" s="500"/>
      <c r="V60" s="857"/>
      <c r="W60" s="523"/>
      <c r="X60" s="857"/>
    </row>
    <row r="61" spans="1:24" ht="12.75" customHeight="1" thickBot="1">
      <c r="A61" s="857"/>
      <c r="B61" s="238"/>
      <c r="C61" s="225" t="s">
        <v>2038</v>
      </c>
      <c r="D61" s="264"/>
      <c r="E61" s="234"/>
      <c r="F61" s="245"/>
      <c r="G61" s="245"/>
      <c r="H61" s="245"/>
      <c r="I61" s="234"/>
      <c r="J61" s="234"/>
      <c r="K61" s="234"/>
      <c r="L61" s="254"/>
      <c r="M61" s="234"/>
      <c r="N61" s="245"/>
      <c r="O61" s="245"/>
      <c r="P61" s="250"/>
      <c r="Q61" s="741" t="s">
        <v>212</v>
      </c>
      <c r="R61" s="2402"/>
      <c r="S61" s="266" t="s">
        <v>488</v>
      </c>
      <c r="T61" s="501"/>
      <c r="U61" s="501"/>
      <c r="V61" s="857"/>
      <c r="W61" s="523"/>
      <c r="X61" s="857"/>
    </row>
    <row r="62" spans="1:24" ht="12.75" customHeight="1" thickBot="1">
      <c r="A62" s="857"/>
      <c r="B62" s="238"/>
      <c r="C62" s="225" t="s">
        <v>2039</v>
      </c>
      <c r="D62" s="234"/>
      <c r="E62" s="234"/>
      <c r="F62" s="245"/>
      <c r="G62" s="245"/>
      <c r="H62" s="245"/>
      <c r="I62" s="234"/>
      <c r="J62" s="234"/>
      <c r="K62" s="234"/>
      <c r="L62" s="254"/>
      <c r="M62" s="234"/>
      <c r="N62" s="245"/>
      <c r="O62" s="245"/>
      <c r="P62" s="250"/>
      <c r="Q62" s="741" t="s">
        <v>489</v>
      </c>
      <c r="R62" s="2402"/>
      <c r="S62" s="267" t="s">
        <v>37</v>
      </c>
      <c r="T62" s="500"/>
      <c r="U62" s="500"/>
      <c r="V62" s="857"/>
      <c r="W62" s="523"/>
      <c r="X62" s="857"/>
    </row>
    <row r="63" spans="1:24" ht="12.75" customHeight="1">
      <c r="A63" s="857"/>
      <c r="B63" s="238"/>
      <c r="C63" s="225" t="s">
        <v>1607</v>
      </c>
      <c r="D63" s="234"/>
      <c r="E63" s="234"/>
      <c r="F63" s="245"/>
      <c r="G63" s="245"/>
      <c r="H63" s="245"/>
      <c r="I63" s="234"/>
      <c r="J63" s="234"/>
      <c r="K63" s="234"/>
      <c r="L63" s="254"/>
      <c r="M63" s="234"/>
      <c r="N63" s="245"/>
      <c r="O63" s="245"/>
      <c r="P63" s="250"/>
      <c r="Q63" s="500"/>
      <c r="R63" s="500"/>
      <c r="S63" s="991" t="s">
        <v>38</v>
      </c>
      <c r="T63" s="500"/>
      <c r="U63" s="500"/>
      <c r="V63" s="857"/>
      <c r="W63" s="523"/>
      <c r="X63" s="857"/>
    </row>
    <row r="64" spans="1:24" ht="12.75" customHeight="1" thickBot="1">
      <c r="A64" s="857"/>
      <c r="B64" s="505"/>
      <c r="C64" s="2995" t="s">
        <v>2040</v>
      </c>
      <c r="D64" s="268"/>
      <c r="E64" s="269"/>
      <c r="F64" s="270"/>
      <c r="G64" s="270"/>
      <c r="H64" s="270"/>
      <c r="I64" s="269"/>
      <c r="J64" s="269"/>
      <c r="K64" s="269"/>
      <c r="L64" s="271"/>
      <c r="M64" s="269"/>
      <c r="N64" s="270"/>
      <c r="O64" s="270"/>
      <c r="P64" s="272"/>
      <c r="Q64" s="270"/>
      <c r="R64" s="270"/>
      <c r="S64" s="273"/>
      <c r="T64" s="502"/>
      <c r="U64" s="502"/>
      <c r="V64" s="857"/>
      <c r="W64" s="523"/>
      <c r="X64" s="857"/>
    </row>
    <row r="65" spans="1:24" ht="22.5" customHeight="1">
      <c r="A65" s="857"/>
      <c r="B65" s="3724" t="s">
        <v>2044</v>
      </c>
      <c r="C65" s="743"/>
      <c r="D65" s="743"/>
      <c r="E65" s="743"/>
      <c r="F65" s="744"/>
      <c r="G65" s="744"/>
      <c r="H65" s="744"/>
      <c r="I65" s="743"/>
      <c r="J65" s="743"/>
      <c r="K65" s="743"/>
      <c r="L65" s="745"/>
      <c r="M65" s="1637" t="s">
        <v>1102</v>
      </c>
      <c r="N65" s="1637"/>
      <c r="O65" s="744"/>
      <c r="P65" s="746"/>
      <c r="Q65" s="744"/>
      <c r="R65" s="744"/>
      <c r="S65" s="747"/>
      <c r="T65" s="748"/>
      <c r="U65" s="748" t="str">
        <f>"Schedule C (Form 1040)  "&amp;TaxYear</f>
        <v>Schedule C (Form 1040)  2016</v>
      </c>
      <c r="V65" s="857"/>
      <c r="W65" s="523"/>
      <c r="X65" s="857"/>
    </row>
    <row r="66" spans="1:24" ht="19.5" customHeight="1" thickBot="1">
      <c r="A66" s="857"/>
      <c r="B66" s="250" t="str">
        <f>"Schedule C (Form 1040) "&amp;TaxYear</f>
        <v>Schedule C (Form 1040) 2016</v>
      </c>
      <c r="C66" s="250"/>
      <c r="D66" s="250"/>
      <c r="E66" s="250"/>
      <c r="F66" s="250"/>
      <c r="G66" s="250"/>
      <c r="H66" s="250"/>
      <c r="I66" s="250"/>
      <c r="J66" s="250"/>
      <c r="K66" s="250"/>
      <c r="L66" s="250"/>
      <c r="M66" s="250"/>
      <c r="N66" s="250"/>
      <c r="O66" s="250"/>
      <c r="P66" s="250"/>
      <c r="Q66" s="250"/>
      <c r="R66" s="275"/>
      <c r="S66" s="276"/>
      <c r="T66" s="276" t="s">
        <v>330</v>
      </c>
      <c r="U66" s="277" t="str">
        <f>"2"</f>
        <v>2</v>
      </c>
      <c r="V66" s="857"/>
      <c r="W66" s="523"/>
      <c r="X66" s="857"/>
    </row>
    <row r="67" spans="1:24" ht="14.25">
      <c r="A67" s="857"/>
      <c r="B67" s="503" t="s">
        <v>514</v>
      </c>
      <c r="C67" s="278" t="s">
        <v>893</v>
      </c>
      <c r="D67" s="278"/>
      <c r="E67" s="278"/>
      <c r="F67" s="278"/>
      <c r="G67" s="278"/>
      <c r="H67" s="278"/>
      <c r="I67" s="278"/>
      <c r="J67" s="278"/>
      <c r="K67" s="278"/>
      <c r="L67" s="278"/>
      <c r="M67" s="278"/>
      <c r="N67" s="278"/>
      <c r="O67" s="278"/>
      <c r="P67" s="278"/>
      <c r="Q67" s="278"/>
      <c r="R67" s="278"/>
      <c r="S67" s="278"/>
      <c r="T67" s="278"/>
      <c r="U67" s="278"/>
      <c r="V67" s="857"/>
      <c r="W67" s="523"/>
      <c r="X67" s="857"/>
    </row>
    <row r="68" spans="1:24" ht="9.75" customHeight="1">
      <c r="A68" s="857"/>
      <c r="B68" s="423"/>
      <c r="C68" s="423"/>
      <c r="D68" s="423"/>
      <c r="E68" s="423"/>
      <c r="F68" s="423"/>
      <c r="G68" s="423"/>
      <c r="H68" s="423"/>
      <c r="I68" s="423"/>
      <c r="J68" s="423"/>
      <c r="K68" s="423"/>
      <c r="L68" s="423"/>
      <c r="M68" s="423"/>
      <c r="N68" s="423"/>
      <c r="O68" s="423"/>
      <c r="P68" s="423"/>
      <c r="Q68" s="423"/>
      <c r="R68" s="423"/>
      <c r="S68" s="423"/>
      <c r="T68" s="423"/>
      <c r="U68" s="423"/>
      <c r="V68" s="857"/>
      <c r="W68" s="523"/>
      <c r="X68" s="857"/>
    </row>
    <row r="69" spans="1:24" ht="14.25" customHeight="1" thickBot="1">
      <c r="A69" s="857"/>
      <c r="B69" s="265">
        <v>33</v>
      </c>
      <c r="C69" s="234" t="s">
        <v>709</v>
      </c>
      <c r="D69" s="234"/>
      <c r="E69" s="234"/>
      <c r="F69" s="234"/>
      <c r="G69" s="234"/>
      <c r="H69" s="234"/>
      <c r="I69" s="234"/>
      <c r="J69" s="234"/>
      <c r="K69" s="234"/>
      <c r="L69" s="234"/>
      <c r="M69" s="234"/>
      <c r="N69" s="234"/>
      <c r="O69" s="234"/>
      <c r="P69" s="234"/>
      <c r="Q69" s="234"/>
      <c r="R69" s="234"/>
      <c r="S69" s="234"/>
      <c r="T69" s="234"/>
      <c r="U69" s="234"/>
      <c r="V69" s="857"/>
      <c r="W69" s="523"/>
      <c r="X69" s="857"/>
    </row>
    <row r="70" spans="1:24" ht="12" customHeight="1" thickBot="1">
      <c r="A70" s="857"/>
      <c r="B70" s="265"/>
      <c r="C70" s="234" t="s">
        <v>685</v>
      </c>
      <c r="D70" s="234"/>
      <c r="E70" s="2417"/>
      <c r="F70" s="234" t="s">
        <v>710</v>
      </c>
      <c r="G70" s="237" t="s">
        <v>84</v>
      </c>
      <c r="H70" s="2417"/>
      <c r="I70" s="234" t="s">
        <v>711</v>
      </c>
      <c r="J70" s="238"/>
      <c r="K70" s="234"/>
      <c r="L70" s="234"/>
      <c r="M70" s="238" t="s">
        <v>85</v>
      </c>
      <c r="N70" s="2417"/>
      <c r="O70" s="234" t="s">
        <v>365</v>
      </c>
      <c r="P70" s="234"/>
      <c r="Q70" s="234"/>
      <c r="R70" s="234"/>
      <c r="S70" s="234"/>
      <c r="T70" s="234"/>
      <c r="U70" s="234"/>
      <c r="V70" s="857"/>
      <c r="W70" s="523"/>
      <c r="X70" s="857"/>
    </row>
    <row r="71" spans="1:24" ht="15" customHeight="1" thickBot="1">
      <c r="A71" s="857"/>
      <c r="B71" s="265">
        <v>34</v>
      </c>
      <c r="C71" s="1490" t="s">
        <v>1098</v>
      </c>
      <c r="D71" s="250"/>
      <c r="E71" s="250"/>
      <c r="F71" s="250"/>
      <c r="G71" s="250"/>
      <c r="H71" s="250"/>
      <c r="I71" s="250"/>
      <c r="J71" s="250"/>
      <c r="K71" s="234"/>
      <c r="L71" s="234"/>
      <c r="M71" s="234"/>
      <c r="N71" s="234"/>
      <c r="O71" s="234"/>
      <c r="P71" s="234"/>
      <c r="Q71" s="250"/>
      <c r="R71" s="250"/>
      <c r="S71" s="250"/>
      <c r="T71" s="250"/>
      <c r="U71" s="250"/>
      <c r="V71" s="857"/>
      <c r="W71" s="523"/>
      <c r="X71" s="857"/>
    </row>
    <row r="72" spans="1:24" ht="12.75" customHeight="1" thickBot="1">
      <c r="A72" s="857"/>
      <c r="B72" s="265"/>
      <c r="C72" s="1490" t="s">
        <v>1097</v>
      </c>
      <c r="D72" s="250"/>
      <c r="E72" s="250"/>
      <c r="F72" s="250"/>
      <c r="G72" s="250"/>
      <c r="H72" s="250"/>
      <c r="I72" s="250"/>
      <c r="J72" s="250"/>
      <c r="K72" s="250"/>
      <c r="L72" s="250"/>
      <c r="M72" s="250"/>
      <c r="N72" s="2417"/>
      <c r="O72" s="252" t="s">
        <v>436</v>
      </c>
      <c r="P72" s="250"/>
      <c r="Q72" s="2417"/>
      <c r="R72" s="252" t="s">
        <v>437</v>
      </c>
      <c r="S72" s="279" t="str">
        <f>IF(AND(N72&lt;&gt;"",Q72&lt;&gt;""),"Check ONLY one.","")</f>
        <v/>
      </c>
      <c r="T72" s="250"/>
      <c r="U72" s="250"/>
      <c r="V72" s="857"/>
      <c r="W72" s="523"/>
      <c r="X72" s="857"/>
    </row>
    <row r="73" spans="1:24" ht="8.25" customHeight="1">
      <c r="A73" s="857"/>
      <c r="B73" s="265"/>
      <c r="C73" s="250"/>
      <c r="D73" s="250"/>
      <c r="E73" s="250"/>
      <c r="F73" s="250"/>
      <c r="G73" s="250"/>
      <c r="H73" s="250"/>
      <c r="I73" s="250"/>
      <c r="J73" s="250"/>
      <c r="K73" s="250"/>
      <c r="L73" s="250"/>
      <c r="M73" s="250"/>
      <c r="N73" s="250"/>
      <c r="O73" s="250"/>
      <c r="P73" s="250"/>
      <c r="Q73" s="250"/>
      <c r="R73" s="250"/>
      <c r="S73" s="250"/>
      <c r="T73" s="250"/>
      <c r="U73" s="250"/>
      <c r="V73" s="857"/>
      <c r="W73" s="523"/>
      <c r="X73" s="857"/>
    </row>
    <row r="74" spans="1:24" ht="12.75" customHeight="1">
      <c r="A74" s="857"/>
      <c r="B74" s="265">
        <v>35</v>
      </c>
      <c r="C74" s="250" t="s">
        <v>445</v>
      </c>
      <c r="D74" s="250"/>
      <c r="E74" s="250"/>
      <c r="F74" s="250"/>
      <c r="G74" s="250"/>
      <c r="H74" s="250"/>
      <c r="I74" s="250"/>
      <c r="J74" s="250"/>
      <c r="K74" s="250"/>
      <c r="L74" s="250"/>
      <c r="M74" s="250"/>
      <c r="N74" s="250"/>
      <c r="O74" s="250"/>
      <c r="P74" s="250"/>
      <c r="Q74" s="250"/>
      <c r="R74" s="250"/>
      <c r="S74" s="248">
        <v>35</v>
      </c>
      <c r="T74" s="5155"/>
      <c r="U74" s="5156"/>
      <c r="V74" s="857"/>
      <c r="W74" s="523"/>
      <c r="X74" s="857"/>
    </row>
    <row r="75" spans="1:24" ht="8.1" customHeight="1">
      <c r="A75" s="857"/>
      <c r="B75" s="265"/>
      <c r="C75" s="250"/>
      <c r="D75" s="250"/>
      <c r="E75" s="250"/>
      <c r="F75" s="250"/>
      <c r="G75" s="250"/>
      <c r="H75" s="250"/>
      <c r="I75" s="250"/>
      <c r="J75" s="250"/>
      <c r="K75" s="250"/>
      <c r="L75" s="250"/>
      <c r="M75" s="250"/>
      <c r="N75" s="250"/>
      <c r="O75" s="250"/>
      <c r="P75" s="250"/>
      <c r="Q75" s="250"/>
      <c r="R75" s="250"/>
      <c r="S75" s="255"/>
      <c r="T75" s="5153"/>
      <c r="U75" s="5154"/>
      <c r="V75" s="857"/>
      <c r="W75" s="523"/>
      <c r="X75" s="857"/>
    </row>
    <row r="76" spans="1:24">
      <c r="A76" s="857"/>
      <c r="B76" s="265">
        <v>36</v>
      </c>
      <c r="C76" s="250" t="s">
        <v>279</v>
      </c>
      <c r="D76" s="250"/>
      <c r="E76" s="250"/>
      <c r="F76" s="250"/>
      <c r="G76" s="250"/>
      <c r="H76" s="250"/>
      <c r="I76" s="250"/>
      <c r="J76" s="250"/>
      <c r="K76" s="250"/>
      <c r="L76" s="250"/>
      <c r="M76" s="250"/>
      <c r="N76" s="250"/>
      <c r="O76" s="250"/>
      <c r="P76" s="250"/>
      <c r="Q76" s="250"/>
      <c r="R76" s="250"/>
      <c r="S76" s="248">
        <v>36</v>
      </c>
      <c r="T76" s="5155"/>
      <c r="U76" s="5156"/>
      <c r="V76" s="857"/>
      <c r="W76" s="523"/>
      <c r="X76" s="857"/>
    </row>
    <row r="77" spans="1:24" ht="8.1" customHeight="1">
      <c r="A77" s="857"/>
      <c r="B77" s="265"/>
      <c r="C77" s="250"/>
      <c r="D77" s="250"/>
      <c r="E77" s="250"/>
      <c r="F77" s="250"/>
      <c r="G77" s="250"/>
      <c r="H77" s="250"/>
      <c r="I77" s="250"/>
      <c r="J77" s="250"/>
      <c r="K77" s="250"/>
      <c r="L77" s="250"/>
      <c r="M77" s="250"/>
      <c r="N77" s="250"/>
      <c r="O77" s="250"/>
      <c r="P77" s="250"/>
      <c r="Q77" s="250"/>
      <c r="R77" s="250"/>
      <c r="S77" s="255"/>
      <c r="T77" s="5153"/>
      <c r="U77" s="5154"/>
      <c r="V77" s="857"/>
      <c r="W77" s="523"/>
      <c r="X77" s="857"/>
    </row>
    <row r="78" spans="1:24">
      <c r="A78" s="857"/>
      <c r="B78" s="265">
        <v>37</v>
      </c>
      <c r="C78" s="250" t="s">
        <v>513</v>
      </c>
      <c r="D78" s="250"/>
      <c r="E78" s="250"/>
      <c r="F78" s="250"/>
      <c r="G78" s="250"/>
      <c r="H78" s="250"/>
      <c r="I78" s="250"/>
      <c r="J78" s="250"/>
      <c r="K78" s="250"/>
      <c r="L78" s="250"/>
      <c r="M78" s="250"/>
      <c r="N78" s="250"/>
      <c r="O78" s="250"/>
      <c r="P78" s="250"/>
      <c r="Q78" s="250"/>
      <c r="R78" s="250"/>
      <c r="S78" s="248">
        <v>37</v>
      </c>
      <c r="T78" s="5155"/>
      <c r="U78" s="5156"/>
      <c r="V78" s="857"/>
      <c r="W78" s="523"/>
      <c r="X78" s="857"/>
    </row>
    <row r="79" spans="1:24" ht="8.1" customHeight="1">
      <c r="A79" s="857"/>
      <c r="B79" s="265"/>
      <c r="C79" s="250"/>
      <c r="D79" s="250"/>
      <c r="E79" s="250"/>
      <c r="F79" s="250"/>
      <c r="G79" s="250"/>
      <c r="H79" s="250"/>
      <c r="I79" s="250"/>
      <c r="J79" s="250"/>
      <c r="K79" s="250"/>
      <c r="L79" s="250"/>
      <c r="M79" s="250"/>
      <c r="N79" s="250"/>
      <c r="O79" s="250"/>
      <c r="P79" s="250"/>
      <c r="Q79" s="250"/>
      <c r="R79" s="250"/>
      <c r="S79" s="255"/>
      <c r="T79" s="5153"/>
      <c r="U79" s="5154"/>
      <c r="V79" s="857"/>
      <c r="W79" s="523"/>
      <c r="X79" s="857"/>
    </row>
    <row r="80" spans="1:24">
      <c r="A80" s="857"/>
      <c r="B80" s="265">
        <v>38</v>
      </c>
      <c r="C80" s="250" t="s">
        <v>372</v>
      </c>
      <c r="D80" s="250"/>
      <c r="E80" s="250"/>
      <c r="F80" s="250"/>
      <c r="G80" s="250"/>
      <c r="H80" s="250"/>
      <c r="I80" s="250"/>
      <c r="J80" s="250"/>
      <c r="K80" s="250"/>
      <c r="L80" s="250"/>
      <c r="M80" s="250"/>
      <c r="N80" s="250"/>
      <c r="O80" s="250"/>
      <c r="P80" s="250"/>
      <c r="Q80" s="250"/>
      <c r="R80" s="250"/>
      <c r="S80" s="248">
        <v>38</v>
      </c>
      <c r="T80" s="5155"/>
      <c r="U80" s="5156"/>
      <c r="V80" s="857"/>
      <c r="W80" s="523"/>
      <c r="X80" s="857"/>
    </row>
    <row r="81" spans="1:24" ht="8.1" customHeight="1">
      <c r="A81" s="857"/>
      <c r="B81" s="265"/>
      <c r="C81" s="250"/>
      <c r="D81" s="250"/>
      <c r="E81" s="250"/>
      <c r="F81" s="250"/>
      <c r="G81" s="250"/>
      <c r="H81" s="250"/>
      <c r="I81" s="250"/>
      <c r="J81" s="250"/>
      <c r="K81" s="250"/>
      <c r="L81" s="250"/>
      <c r="M81" s="250"/>
      <c r="N81" s="250"/>
      <c r="O81" s="250"/>
      <c r="P81" s="250"/>
      <c r="Q81" s="250"/>
      <c r="R81" s="250"/>
      <c r="S81" s="255"/>
      <c r="T81" s="5153"/>
      <c r="U81" s="5154"/>
      <c r="V81" s="857"/>
      <c r="W81" s="523"/>
      <c r="X81" s="857"/>
    </row>
    <row r="82" spans="1:24">
      <c r="A82" s="857"/>
      <c r="B82" s="265">
        <v>39</v>
      </c>
      <c r="C82" s="250" t="s">
        <v>399</v>
      </c>
      <c r="D82" s="250"/>
      <c r="E82" s="250"/>
      <c r="F82" s="250"/>
      <c r="G82" s="250"/>
      <c r="H82" s="250"/>
      <c r="I82" s="250"/>
      <c r="J82" s="250"/>
      <c r="K82" s="250"/>
      <c r="L82" s="250"/>
      <c r="M82" s="250"/>
      <c r="N82" s="250"/>
      <c r="O82" s="250"/>
      <c r="P82" s="250"/>
      <c r="Q82" s="250"/>
      <c r="R82" s="250"/>
      <c r="S82" s="248">
        <v>39</v>
      </c>
      <c r="T82" s="5155"/>
      <c r="U82" s="5156"/>
      <c r="V82" s="857"/>
      <c r="W82" s="523"/>
      <c r="X82" s="857"/>
    </row>
    <row r="83" spans="1:24" ht="8.1" customHeight="1">
      <c r="A83" s="857"/>
      <c r="B83" s="265"/>
      <c r="C83" s="250"/>
      <c r="D83" s="250"/>
      <c r="E83" s="250"/>
      <c r="F83" s="250"/>
      <c r="G83" s="250"/>
      <c r="H83" s="250"/>
      <c r="I83" s="250"/>
      <c r="J83" s="250"/>
      <c r="K83" s="250"/>
      <c r="L83" s="250"/>
      <c r="M83" s="250"/>
      <c r="N83" s="250"/>
      <c r="O83" s="250"/>
      <c r="P83" s="250"/>
      <c r="Q83" s="250"/>
      <c r="R83" s="250"/>
      <c r="S83" s="255"/>
      <c r="T83" s="5174">
        <f>ROUND(SUM(T74:U82),0)</f>
        <v>0</v>
      </c>
      <c r="U83" s="5175"/>
      <c r="V83" s="857"/>
      <c r="W83" s="523"/>
      <c r="X83" s="857"/>
    </row>
    <row r="84" spans="1:24">
      <c r="A84" s="857"/>
      <c r="B84" s="265">
        <v>40</v>
      </c>
      <c r="C84" s="250" t="s">
        <v>373</v>
      </c>
      <c r="D84" s="250"/>
      <c r="E84" s="250"/>
      <c r="F84" s="250"/>
      <c r="G84" s="250"/>
      <c r="H84" s="250"/>
      <c r="I84" s="250"/>
      <c r="J84" s="250"/>
      <c r="K84" s="250"/>
      <c r="L84" s="250"/>
      <c r="M84" s="250"/>
      <c r="N84" s="250"/>
      <c r="O84" s="250"/>
      <c r="P84" s="250"/>
      <c r="Q84" s="250"/>
      <c r="R84" s="250"/>
      <c r="S84" s="248">
        <v>40</v>
      </c>
      <c r="T84" s="5176"/>
      <c r="U84" s="5177"/>
      <c r="V84" s="857"/>
      <c r="W84" s="523"/>
      <c r="X84" s="857"/>
    </row>
    <row r="85" spans="1:24" ht="8.1" customHeight="1">
      <c r="A85" s="857"/>
      <c r="B85" s="265"/>
      <c r="C85" s="250"/>
      <c r="D85" s="250"/>
      <c r="E85" s="250"/>
      <c r="F85" s="250"/>
      <c r="G85" s="250"/>
      <c r="H85" s="250"/>
      <c r="I85" s="250"/>
      <c r="J85" s="250"/>
      <c r="K85" s="250"/>
      <c r="L85" s="250"/>
      <c r="M85" s="250"/>
      <c r="N85" s="250"/>
      <c r="O85" s="250"/>
      <c r="P85" s="250"/>
      <c r="Q85" s="250"/>
      <c r="R85" s="250"/>
      <c r="S85" s="255"/>
      <c r="T85" s="5153"/>
      <c r="U85" s="5154"/>
      <c r="V85" s="857"/>
      <c r="W85" s="523"/>
      <c r="X85" s="857"/>
    </row>
    <row r="86" spans="1:24">
      <c r="A86" s="857"/>
      <c r="B86" s="265">
        <v>41</v>
      </c>
      <c r="C86" s="250" t="s">
        <v>769</v>
      </c>
      <c r="D86" s="250"/>
      <c r="E86" s="250"/>
      <c r="F86" s="250"/>
      <c r="G86" s="250"/>
      <c r="H86" s="250"/>
      <c r="I86" s="250"/>
      <c r="J86" s="250"/>
      <c r="K86" s="250"/>
      <c r="L86" s="250"/>
      <c r="M86" s="250"/>
      <c r="N86" s="250"/>
      <c r="O86" s="250"/>
      <c r="P86" s="250"/>
      <c r="Q86" s="250"/>
      <c r="R86" s="250"/>
      <c r="S86" s="248">
        <v>41</v>
      </c>
      <c r="T86" s="5155"/>
      <c r="U86" s="5156"/>
      <c r="V86" s="857"/>
      <c r="W86" s="523"/>
      <c r="X86" s="857"/>
    </row>
    <row r="87" spans="1:24" ht="8.1" customHeight="1">
      <c r="A87" s="857"/>
      <c r="B87" s="265"/>
      <c r="C87" s="250"/>
      <c r="D87" s="250"/>
      <c r="E87" s="250"/>
      <c r="F87" s="250"/>
      <c r="G87" s="250"/>
      <c r="H87" s="250"/>
      <c r="I87" s="250"/>
      <c r="J87" s="250"/>
      <c r="K87" s="250"/>
      <c r="L87" s="250"/>
      <c r="M87" s="250"/>
      <c r="N87" s="250"/>
      <c r="O87" s="250"/>
      <c r="P87" s="250"/>
      <c r="Q87" s="250"/>
      <c r="R87" s="250"/>
      <c r="S87" s="255"/>
      <c r="T87" s="5174"/>
      <c r="U87" s="5175"/>
      <c r="V87" s="857"/>
      <c r="W87" s="523"/>
      <c r="X87" s="857"/>
    </row>
    <row r="88" spans="1:24" ht="13.5" thickBot="1">
      <c r="A88" s="857"/>
      <c r="B88" s="265">
        <v>42</v>
      </c>
      <c r="C88" s="1626" t="s">
        <v>1417</v>
      </c>
      <c r="D88" s="252"/>
      <c r="E88" s="250"/>
      <c r="F88" s="250"/>
      <c r="G88" s="250"/>
      <c r="H88" s="250"/>
      <c r="I88" s="250"/>
      <c r="J88" s="250"/>
      <c r="K88" s="250"/>
      <c r="L88" s="250"/>
      <c r="M88" s="250"/>
      <c r="N88" s="250"/>
      <c r="O88" s="250"/>
      <c r="P88" s="250"/>
      <c r="Q88" s="250"/>
      <c r="R88" s="250"/>
      <c r="S88" s="248">
        <v>42</v>
      </c>
      <c r="T88" s="5144">
        <f>ROUND(SUM(T83,-T85),0)</f>
        <v>0</v>
      </c>
      <c r="U88" s="5145"/>
      <c r="V88" s="857"/>
      <c r="W88" s="523"/>
      <c r="X88" s="857"/>
    </row>
    <row r="89" spans="1:24" ht="12.75" customHeight="1">
      <c r="A89" s="857"/>
      <c r="B89" s="503" t="s">
        <v>756</v>
      </c>
      <c r="C89" s="280" t="s">
        <v>253</v>
      </c>
      <c r="D89" s="280"/>
      <c r="E89" s="280"/>
      <c r="F89" s="280"/>
      <c r="G89" s="280"/>
      <c r="H89" s="280"/>
      <c r="I89" s="280"/>
      <c r="J89" s="280"/>
      <c r="K89" s="280"/>
      <c r="L89" s="280"/>
      <c r="M89" s="280"/>
      <c r="N89" s="280"/>
      <c r="O89" s="280"/>
      <c r="P89" s="280"/>
      <c r="Q89" s="280"/>
      <c r="R89" s="280"/>
      <c r="S89" s="280"/>
      <c r="T89" s="280"/>
      <c r="U89" s="280"/>
      <c r="V89" s="857"/>
      <c r="W89" s="523"/>
      <c r="X89" s="857"/>
    </row>
    <row r="90" spans="1:24" ht="12.75" customHeight="1">
      <c r="A90" s="857"/>
      <c r="B90" s="265"/>
      <c r="C90" s="2681" t="s">
        <v>3170</v>
      </c>
      <c r="D90" s="260"/>
      <c r="E90" s="281"/>
      <c r="F90" s="281"/>
      <c r="G90" s="281"/>
      <c r="H90" s="281"/>
      <c r="I90" s="281"/>
      <c r="J90" s="281"/>
      <c r="K90" s="281"/>
      <c r="L90" s="281"/>
      <c r="M90" s="281"/>
      <c r="N90" s="281"/>
      <c r="O90" s="281"/>
      <c r="P90" s="281"/>
      <c r="Q90" s="281"/>
      <c r="R90" s="281"/>
      <c r="S90" s="281"/>
      <c r="T90" s="281"/>
      <c r="U90" s="281"/>
      <c r="V90" s="857"/>
      <c r="W90" s="523"/>
      <c r="X90" s="857"/>
    </row>
    <row r="91" spans="1:24" ht="12.75" customHeight="1">
      <c r="A91" s="857"/>
      <c r="B91" s="504"/>
      <c r="C91" s="3768" t="s">
        <v>3169</v>
      </c>
      <c r="D91" s="282"/>
      <c r="E91" s="283"/>
      <c r="F91" s="283"/>
      <c r="G91" s="283"/>
      <c r="H91" s="283"/>
      <c r="I91" s="283"/>
      <c r="J91" s="283"/>
      <c r="K91" s="283"/>
      <c r="L91" s="283"/>
      <c r="M91" s="283"/>
      <c r="N91" s="283"/>
      <c r="O91" s="283"/>
      <c r="P91" s="283"/>
      <c r="Q91" s="283"/>
      <c r="R91" s="283"/>
      <c r="S91" s="283"/>
      <c r="T91" s="283"/>
      <c r="U91" s="283"/>
      <c r="V91" s="857"/>
      <c r="W91" s="523"/>
      <c r="X91" s="857"/>
    </row>
    <row r="92" spans="1:24" ht="7.5" customHeight="1">
      <c r="A92" s="857"/>
      <c r="B92" s="265"/>
      <c r="C92" s="250"/>
      <c r="D92" s="250"/>
      <c r="E92" s="250"/>
      <c r="F92" s="250"/>
      <c r="G92" s="250"/>
      <c r="H92" s="250"/>
      <c r="I92" s="250"/>
      <c r="J92" s="250"/>
      <c r="K92" s="250"/>
      <c r="L92" s="250"/>
      <c r="M92" s="250"/>
      <c r="N92" s="250"/>
      <c r="O92" s="250"/>
      <c r="P92" s="250"/>
      <c r="Q92" s="250"/>
      <c r="R92" s="250"/>
      <c r="S92" s="250"/>
      <c r="T92" s="250"/>
      <c r="U92" s="250"/>
      <c r="V92" s="857"/>
      <c r="W92" s="523"/>
      <c r="X92" s="857"/>
    </row>
    <row r="93" spans="1:24" ht="15.75" customHeight="1">
      <c r="A93" s="857"/>
      <c r="B93" s="265">
        <v>43</v>
      </c>
      <c r="C93" s="2619" t="s">
        <v>1561</v>
      </c>
      <c r="D93" s="881"/>
      <c r="E93" s="250"/>
      <c r="F93" s="250"/>
      <c r="G93" s="250"/>
      <c r="H93" s="250"/>
      <c r="I93" s="250"/>
      <c r="J93" s="250"/>
      <c r="K93" s="250"/>
      <c r="L93" s="250"/>
      <c r="M93" s="250"/>
      <c r="N93" s="880"/>
      <c r="O93" s="5146"/>
      <c r="P93" s="5146"/>
      <c r="Q93" s="5146"/>
      <c r="R93" s="5146"/>
      <c r="S93" s="5146"/>
      <c r="T93" s="252" t="s">
        <v>433</v>
      </c>
      <c r="U93" s="252"/>
      <c r="V93" s="857"/>
      <c r="W93" s="523"/>
      <c r="X93" s="857"/>
    </row>
    <row r="94" spans="1:24" ht="8.1" customHeight="1">
      <c r="A94" s="857"/>
      <c r="B94" s="265"/>
      <c r="C94" s="250"/>
      <c r="D94" s="250"/>
      <c r="E94" s="250"/>
      <c r="F94" s="250"/>
      <c r="G94" s="250"/>
      <c r="H94" s="250"/>
      <c r="I94" s="250"/>
      <c r="J94" s="250"/>
      <c r="K94" s="250"/>
      <c r="L94" s="250"/>
      <c r="M94" s="250"/>
      <c r="N94" s="250"/>
      <c r="O94" s="250"/>
      <c r="P94" s="250"/>
      <c r="Q94" s="250"/>
      <c r="R94" s="250"/>
      <c r="S94" s="250"/>
      <c r="T94" s="250"/>
      <c r="U94" s="250"/>
      <c r="V94" s="857"/>
      <c r="W94" s="523"/>
      <c r="X94" s="857"/>
    </row>
    <row r="95" spans="1:24">
      <c r="A95" s="857"/>
      <c r="B95" s="265">
        <v>44</v>
      </c>
      <c r="C95" s="250" t="str">
        <f>"Of the total number of miles you drove your vehicle during "&amp;TaxYear&amp;", enter the number of miles you used your vehicle for:"</f>
        <v>Of the total number of miles you drove your vehicle during 2016, enter the number of miles you used your vehicle for:</v>
      </c>
      <c r="D95" s="250"/>
      <c r="E95" s="250"/>
      <c r="F95" s="250"/>
      <c r="G95" s="250"/>
      <c r="H95" s="250"/>
      <c r="I95" s="250"/>
      <c r="J95" s="250"/>
      <c r="K95" s="250"/>
      <c r="L95" s="250"/>
      <c r="M95" s="250"/>
      <c r="N95" s="250"/>
      <c r="O95" s="250"/>
      <c r="P95" s="250"/>
      <c r="Q95" s="250"/>
      <c r="R95" s="250"/>
      <c r="S95" s="250"/>
      <c r="T95" s="250"/>
      <c r="U95" s="250"/>
      <c r="V95" s="857"/>
      <c r="W95" s="523"/>
      <c r="X95" s="857"/>
    </row>
    <row r="96" spans="1:24" ht="15" customHeight="1">
      <c r="A96" s="857"/>
      <c r="B96" s="238"/>
      <c r="C96" s="275" t="s">
        <v>670</v>
      </c>
      <c r="D96" s="2423"/>
      <c r="E96" s="882"/>
      <c r="F96" s="1196"/>
      <c r="G96" s="275"/>
      <c r="H96" s="275"/>
      <c r="I96" s="882" t="s">
        <v>484</v>
      </c>
      <c r="J96" s="5108"/>
      <c r="K96" s="5109"/>
      <c r="L96" s="5109"/>
      <c r="M96" s="284"/>
      <c r="N96" s="882" t="s">
        <v>85</v>
      </c>
      <c r="O96" s="5147" t="s">
        <v>645</v>
      </c>
      <c r="P96" s="5148"/>
      <c r="Q96" s="5107"/>
      <c r="R96" s="5107"/>
      <c r="S96" s="5107"/>
      <c r="T96" s="1141"/>
      <c r="U96" s="1141"/>
      <c r="V96" s="857"/>
      <c r="W96" s="523"/>
      <c r="X96" s="857"/>
    </row>
    <row r="97" spans="1:24" ht="8.1" customHeight="1" thickBot="1">
      <c r="A97" s="857"/>
      <c r="B97" s="265"/>
      <c r="C97" s="250"/>
      <c r="D97" s="250"/>
      <c r="E97" s="250"/>
      <c r="F97" s="250"/>
      <c r="G97" s="250"/>
      <c r="H97" s="250"/>
      <c r="I97" s="250"/>
      <c r="J97" s="250"/>
      <c r="K97" s="250"/>
      <c r="L97" s="250"/>
      <c r="M97" s="250"/>
      <c r="N97" s="250"/>
      <c r="O97" s="250"/>
      <c r="P97" s="250"/>
      <c r="Q97" s="250"/>
      <c r="R97" s="883"/>
      <c r="S97" s="250"/>
      <c r="T97" s="250"/>
      <c r="U97" s="250"/>
      <c r="V97" s="857"/>
      <c r="W97" s="523"/>
      <c r="X97" s="857"/>
    </row>
    <row r="98" spans="1:24" ht="12.75" customHeight="1" thickBot="1">
      <c r="A98" s="857"/>
      <c r="B98" s="265">
        <v>45</v>
      </c>
      <c r="C98" s="1490" t="s">
        <v>1099</v>
      </c>
      <c r="D98" s="250"/>
      <c r="E98" s="250"/>
      <c r="F98" s="250"/>
      <c r="G98" s="250"/>
      <c r="H98" s="250"/>
      <c r="I98" s="250"/>
      <c r="J98" s="250"/>
      <c r="K98" s="250"/>
      <c r="L98" s="250"/>
      <c r="M98" s="2417"/>
      <c r="N98" s="285" t="s">
        <v>436</v>
      </c>
      <c r="O98" s="250"/>
      <c r="P98" s="2417"/>
      <c r="Q98" s="286" t="s">
        <v>437</v>
      </c>
      <c r="R98" s="884" t="str">
        <f>IF(AND(M98&lt;&gt;"",P98&lt;&gt;""),"Check ONLY one.","")</f>
        <v/>
      </c>
      <c r="S98" s="250"/>
      <c r="T98" s="285"/>
      <c r="U98" s="285"/>
      <c r="V98" s="857"/>
      <c r="W98" s="523"/>
      <c r="X98" s="857"/>
    </row>
    <row r="99" spans="1:24" ht="8.1" customHeight="1" thickBot="1">
      <c r="A99" s="857"/>
      <c r="B99" s="238"/>
      <c r="C99" s="275"/>
      <c r="D99" s="275"/>
      <c r="E99" s="275"/>
      <c r="F99" s="275"/>
      <c r="G99" s="275"/>
      <c r="H99" s="275"/>
      <c r="I99" s="275"/>
      <c r="J99" s="275"/>
      <c r="K99" s="275"/>
      <c r="L99" s="275"/>
      <c r="M99" s="275"/>
      <c r="N99" s="275"/>
      <c r="O99" s="250"/>
      <c r="P99" s="275"/>
      <c r="Q99" s="275"/>
      <c r="R99" s="275"/>
      <c r="S99" s="275"/>
      <c r="T99" s="250"/>
      <c r="U99" s="250"/>
      <c r="V99" s="857"/>
      <c r="W99" s="523"/>
      <c r="X99" s="857"/>
    </row>
    <row r="100" spans="1:24" ht="13.5" thickBot="1">
      <c r="A100" s="857"/>
      <c r="B100" s="265">
        <v>46</v>
      </c>
      <c r="C100" s="250" t="s">
        <v>521</v>
      </c>
      <c r="D100" s="250"/>
      <c r="E100" s="250"/>
      <c r="F100" s="250"/>
      <c r="G100" s="250"/>
      <c r="H100" s="250"/>
      <c r="I100" s="250"/>
      <c r="J100" s="250"/>
      <c r="K100" s="250"/>
      <c r="L100" s="250"/>
      <c r="M100" s="2417"/>
      <c r="N100" s="285" t="s">
        <v>436</v>
      </c>
      <c r="O100" s="250"/>
      <c r="P100" s="2417"/>
      <c r="Q100" s="286" t="s">
        <v>437</v>
      </c>
      <c r="R100" s="884" t="str">
        <f>IF(AND(M100&lt;&gt;"",P100&lt;&gt;""),"Check ONLY one.","")</f>
        <v/>
      </c>
      <c r="S100" s="250"/>
      <c r="T100" s="285"/>
      <c r="U100" s="285"/>
      <c r="V100" s="857"/>
      <c r="W100" s="523"/>
      <c r="X100" s="857"/>
    </row>
    <row r="101" spans="1:24" ht="8.1" customHeight="1" thickBot="1">
      <c r="A101" s="857"/>
      <c r="B101" s="265"/>
      <c r="C101" s="250"/>
      <c r="D101" s="250"/>
      <c r="E101" s="250"/>
      <c r="F101" s="250"/>
      <c r="G101" s="250"/>
      <c r="H101" s="250"/>
      <c r="I101" s="250"/>
      <c r="J101" s="250"/>
      <c r="K101" s="250"/>
      <c r="L101" s="250"/>
      <c r="M101" s="250"/>
      <c r="N101" s="250"/>
      <c r="O101" s="250"/>
      <c r="P101" s="250"/>
      <c r="Q101" s="250"/>
      <c r="R101" s="883"/>
      <c r="S101" s="250"/>
      <c r="T101" s="250"/>
      <c r="U101" s="250"/>
      <c r="V101" s="857"/>
      <c r="W101" s="523"/>
      <c r="X101" s="857"/>
    </row>
    <row r="102" spans="1:24" ht="13.5" thickBot="1">
      <c r="A102" s="857"/>
      <c r="B102" s="198" t="s">
        <v>199</v>
      </c>
      <c r="C102" s="1490" t="s">
        <v>1100</v>
      </c>
      <c r="D102" s="250"/>
      <c r="E102" s="250"/>
      <c r="F102" s="250"/>
      <c r="G102" s="250"/>
      <c r="H102" s="250"/>
      <c r="I102" s="250"/>
      <c r="J102" s="250"/>
      <c r="K102" s="250"/>
      <c r="L102" s="250"/>
      <c r="M102" s="2417"/>
      <c r="N102" s="285" t="s">
        <v>436</v>
      </c>
      <c r="O102" s="250"/>
      <c r="P102" s="2417"/>
      <c r="Q102" s="286" t="s">
        <v>437</v>
      </c>
      <c r="R102" s="884" t="str">
        <f>IF(AND(M102&lt;&gt;"",P102&lt;&gt;""),"Check ONLY one.","")</f>
        <v/>
      </c>
      <c r="S102" s="250"/>
      <c r="T102" s="250"/>
      <c r="U102" s="250"/>
      <c r="V102" s="857"/>
      <c r="W102" s="523"/>
      <c r="X102" s="857"/>
    </row>
    <row r="103" spans="1:24" ht="8.1" customHeight="1" thickBot="1">
      <c r="A103" s="857"/>
      <c r="B103" s="265"/>
      <c r="C103" s="250"/>
      <c r="D103" s="250"/>
      <c r="E103" s="250"/>
      <c r="F103" s="250"/>
      <c r="G103" s="250"/>
      <c r="H103" s="250"/>
      <c r="I103" s="250"/>
      <c r="J103" s="250"/>
      <c r="K103" s="250"/>
      <c r="L103" s="250"/>
      <c r="M103" s="250"/>
      <c r="N103" s="250"/>
      <c r="O103" s="250"/>
      <c r="P103" s="250"/>
      <c r="Q103" s="250"/>
      <c r="R103" s="883"/>
      <c r="S103" s="250"/>
      <c r="T103" s="250"/>
      <c r="U103" s="250"/>
      <c r="V103" s="857"/>
      <c r="W103" s="523"/>
      <c r="X103" s="857"/>
    </row>
    <row r="104" spans="1:24" ht="13.5" thickBot="1">
      <c r="A104" s="857"/>
      <c r="B104" s="238" t="s">
        <v>84</v>
      </c>
      <c r="C104" s="250" t="s">
        <v>618</v>
      </c>
      <c r="D104" s="250"/>
      <c r="E104" s="250"/>
      <c r="F104" s="250"/>
      <c r="G104" s="250"/>
      <c r="H104" s="250"/>
      <c r="I104" s="250"/>
      <c r="J104" s="250"/>
      <c r="K104" s="250"/>
      <c r="L104" s="275" t="s">
        <v>201</v>
      </c>
      <c r="M104" s="2417"/>
      <c r="N104" s="285" t="s">
        <v>436</v>
      </c>
      <c r="O104" s="250"/>
      <c r="P104" s="2417"/>
      <c r="Q104" s="286" t="s">
        <v>437</v>
      </c>
      <c r="R104" s="884" t="str">
        <f>IF(AND(M104&lt;&gt;"",P104&lt;&gt;""),"Check ONLY one.","")</f>
        <v/>
      </c>
      <c r="S104" s="250"/>
      <c r="T104" s="250"/>
      <c r="U104" s="250"/>
      <c r="V104" s="857"/>
      <c r="W104" s="523"/>
      <c r="X104" s="857"/>
    </row>
    <row r="105" spans="1:24" ht="3.75" customHeight="1" thickBot="1">
      <c r="A105" s="857"/>
      <c r="B105" s="265"/>
      <c r="C105" s="250"/>
      <c r="D105" s="250"/>
      <c r="E105" s="250"/>
      <c r="F105" s="250"/>
      <c r="G105" s="250"/>
      <c r="H105" s="250"/>
      <c r="I105" s="250"/>
      <c r="J105" s="250"/>
      <c r="K105" s="250"/>
      <c r="L105" s="250"/>
      <c r="M105" s="250"/>
      <c r="N105" s="250"/>
      <c r="O105" s="250"/>
      <c r="P105" s="250"/>
      <c r="Q105" s="250"/>
      <c r="R105" s="250"/>
      <c r="S105" s="250"/>
      <c r="T105" s="250"/>
      <c r="U105" s="250"/>
      <c r="V105" s="857"/>
      <c r="W105" s="523"/>
      <c r="X105" s="857"/>
    </row>
    <row r="106" spans="1:24" ht="15.75">
      <c r="A106" s="857"/>
      <c r="B106" s="503" t="s">
        <v>202</v>
      </c>
      <c r="C106" s="278" t="s">
        <v>1103</v>
      </c>
      <c r="D106" s="278"/>
      <c r="E106" s="278"/>
      <c r="F106" s="278"/>
      <c r="G106" s="278"/>
      <c r="H106" s="278"/>
      <c r="I106" s="278"/>
      <c r="J106" s="278"/>
      <c r="K106" s="278"/>
      <c r="L106" s="278"/>
      <c r="M106" s="278"/>
      <c r="N106" s="278"/>
      <c r="O106" s="278"/>
      <c r="P106" s="278"/>
      <c r="Q106" s="278"/>
      <c r="R106" s="278"/>
      <c r="S106" s="278"/>
      <c r="T106" s="278"/>
      <c r="U106" s="278"/>
      <c r="V106" s="857"/>
      <c r="W106" s="523"/>
      <c r="X106" s="857"/>
    </row>
    <row r="107" spans="1:24" ht="27.75" customHeight="1">
      <c r="A107" s="857"/>
      <c r="B107" s="5110"/>
      <c r="C107" s="5111"/>
      <c r="D107" s="5111"/>
      <c r="E107" s="5111"/>
      <c r="F107" s="5111"/>
      <c r="G107" s="5111"/>
      <c r="H107" s="5111"/>
      <c r="I107" s="5111"/>
      <c r="J107" s="5111"/>
      <c r="K107" s="5111"/>
      <c r="L107" s="5111"/>
      <c r="M107" s="5111"/>
      <c r="N107" s="5111"/>
      <c r="O107" s="5111"/>
      <c r="P107" s="5111"/>
      <c r="Q107" s="5111"/>
      <c r="R107" s="5111"/>
      <c r="S107" s="5112"/>
      <c r="T107" s="5105"/>
      <c r="U107" s="5106"/>
      <c r="V107" s="857"/>
      <c r="W107" s="523"/>
      <c r="X107" s="857"/>
    </row>
    <row r="108" spans="1:24" ht="27.75" customHeight="1">
      <c r="A108" s="857"/>
      <c r="B108" s="5162"/>
      <c r="C108" s="5163"/>
      <c r="D108" s="5163"/>
      <c r="E108" s="5163"/>
      <c r="F108" s="5163"/>
      <c r="G108" s="5163"/>
      <c r="H108" s="5163"/>
      <c r="I108" s="5163"/>
      <c r="J108" s="5163"/>
      <c r="K108" s="5163"/>
      <c r="L108" s="5163"/>
      <c r="M108" s="5163"/>
      <c r="N108" s="5163"/>
      <c r="O108" s="5163"/>
      <c r="P108" s="5163"/>
      <c r="Q108" s="5163"/>
      <c r="R108" s="5163"/>
      <c r="S108" s="5164"/>
      <c r="T108" s="5105"/>
      <c r="U108" s="5106"/>
      <c r="V108" s="857"/>
      <c r="W108" s="523"/>
      <c r="X108" s="857"/>
    </row>
    <row r="109" spans="1:24" ht="27.75" customHeight="1">
      <c r="A109" s="857"/>
      <c r="B109" s="5162"/>
      <c r="C109" s="5163"/>
      <c r="D109" s="5163"/>
      <c r="E109" s="5163"/>
      <c r="F109" s="5163"/>
      <c r="G109" s="5163"/>
      <c r="H109" s="5163"/>
      <c r="I109" s="5163"/>
      <c r="J109" s="5163"/>
      <c r="K109" s="5163"/>
      <c r="L109" s="5163"/>
      <c r="M109" s="5163"/>
      <c r="N109" s="5163"/>
      <c r="O109" s="5163"/>
      <c r="P109" s="5163"/>
      <c r="Q109" s="5163"/>
      <c r="R109" s="5163"/>
      <c r="S109" s="5164"/>
      <c r="T109" s="5105"/>
      <c r="U109" s="5106"/>
      <c r="V109" s="857"/>
      <c r="W109" s="523"/>
      <c r="X109" s="857"/>
    </row>
    <row r="110" spans="1:24" ht="27.75" customHeight="1">
      <c r="A110" s="857"/>
      <c r="B110" s="5162"/>
      <c r="C110" s="5163"/>
      <c r="D110" s="5163"/>
      <c r="E110" s="5163"/>
      <c r="F110" s="5163"/>
      <c r="G110" s="5163"/>
      <c r="H110" s="5163"/>
      <c r="I110" s="5163"/>
      <c r="J110" s="5163"/>
      <c r="K110" s="5163"/>
      <c r="L110" s="5163"/>
      <c r="M110" s="5163"/>
      <c r="N110" s="5163"/>
      <c r="O110" s="5163"/>
      <c r="P110" s="5163"/>
      <c r="Q110" s="5163"/>
      <c r="R110" s="5163"/>
      <c r="S110" s="5164"/>
      <c r="T110" s="5105"/>
      <c r="U110" s="5106"/>
      <c r="V110" s="857"/>
      <c r="W110" s="523"/>
      <c r="X110" s="857"/>
    </row>
    <row r="111" spans="1:24" ht="27.75" customHeight="1">
      <c r="A111" s="857"/>
      <c r="B111" s="5162"/>
      <c r="C111" s="5163"/>
      <c r="D111" s="5163"/>
      <c r="E111" s="5163"/>
      <c r="F111" s="5163"/>
      <c r="G111" s="5163"/>
      <c r="H111" s="5163"/>
      <c r="I111" s="5163"/>
      <c r="J111" s="5163"/>
      <c r="K111" s="5163"/>
      <c r="L111" s="5163"/>
      <c r="M111" s="5163"/>
      <c r="N111" s="5163"/>
      <c r="O111" s="5163"/>
      <c r="P111" s="5163"/>
      <c r="Q111" s="5163"/>
      <c r="R111" s="5163"/>
      <c r="S111" s="5164"/>
      <c r="T111" s="5105"/>
      <c r="U111" s="5106"/>
      <c r="V111" s="857"/>
      <c r="W111" s="523"/>
      <c r="X111" s="857"/>
    </row>
    <row r="112" spans="1:24" ht="27.75" customHeight="1">
      <c r="A112" s="857"/>
      <c r="B112" s="5162"/>
      <c r="C112" s="5163"/>
      <c r="D112" s="5163"/>
      <c r="E112" s="5163"/>
      <c r="F112" s="5163"/>
      <c r="G112" s="5163"/>
      <c r="H112" s="5163"/>
      <c r="I112" s="5163"/>
      <c r="J112" s="5163"/>
      <c r="K112" s="5163"/>
      <c r="L112" s="5163"/>
      <c r="M112" s="5163"/>
      <c r="N112" s="5163"/>
      <c r="O112" s="5163"/>
      <c r="P112" s="5163"/>
      <c r="Q112" s="5163"/>
      <c r="R112" s="5163"/>
      <c r="S112" s="5164"/>
      <c r="T112" s="5105"/>
      <c r="U112" s="5106"/>
      <c r="V112" s="857"/>
      <c r="W112" s="523"/>
      <c r="X112" s="857"/>
    </row>
    <row r="113" spans="1:24" ht="27.75" customHeight="1">
      <c r="A113" s="857"/>
      <c r="B113" s="5165"/>
      <c r="C113" s="5163"/>
      <c r="D113" s="5163"/>
      <c r="E113" s="5163"/>
      <c r="F113" s="5163"/>
      <c r="G113" s="5163"/>
      <c r="H113" s="5163"/>
      <c r="I113" s="5163"/>
      <c r="J113" s="5163"/>
      <c r="K113" s="5163"/>
      <c r="L113" s="5163"/>
      <c r="M113" s="5163"/>
      <c r="N113" s="5163"/>
      <c r="O113" s="5163"/>
      <c r="P113" s="5163"/>
      <c r="Q113" s="5163"/>
      <c r="R113" s="5163"/>
      <c r="S113" s="5164"/>
      <c r="T113" s="5105"/>
      <c r="U113" s="5106"/>
      <c r="V113" s="857"/>
      <c r="W113" s="523"/>
      <c r="X113" s="857"/>
    </row>
    <row r="114" spans="1:24" ht="27.75" customHeight="1">
      <c r="A114" s="857"/>
      <c r="B114" s="5162"/>
      <c r="C114" s="5163"/>
      <c r="D114" s="5163"/>
      <c r="E114" s="5163"/>
      <c r="F114" s="5163"/>
      <c r="G114" s="5163"/>
      <c r="H114" s="5163"/>
      <c r="I114" s="5163"/>
      <c r="J114" s="5163"/>
      <c r="K114" s="5163"/>
      <c r="L114" s="5163"/>
      <c r="M114" s="5163"/>
      <c r="N114" s="5163"/>
      <c r="O114" s="5163"/>
      <c r="P114" s="5163"/>
      <c r="Q114" s="5163"/>
      <c r="R114" s="5163"/>
      <c r="S114" s="5164"/>
      <c r="T114" s="5105"/>
      <c r="U114" s="5106"/>
      <c r="V114" s="857"/>
      <c r="W114" s="523"/>
      <c r="X114" s="857"/>
    </row>
    <row r="115" spans="1:24" ht="27.75" customHeight="1">
      <c r="A115" s="857"/>
      <c r="B115" s="5166"/>
      <c r="C115" s="5167"/>
      <c r="D115" s="5167"/>
      <c r="E115" s="5167"/>
      <c r="F115" s="5167"/>
      <c r="G115" s="5167"/>
      <c r="H115" s="5167"/>
      <c r="I115" s="5167"/>
      <c r="J115" s="5167"/>
      <c r="K115" s="5167"/>
      <c r="L115" s="5167"/>
      <c r="M115" s="5167"/>
      <c r="N115" s="5167"/>
      <c r="O115" s="5167"/>
      <c r="P115" s="5167"/>
      <c r="Q115" s="5167"/>
      <c r="R115" s="5167"/>
      <c r="S115" s="5168"/>
      <c r="T115" s="5105"/>
      <c r="U115" s="5106"/>
      <c r="V115" s="857"/>
      <c r="W115" s="523"/>
      <c r="X115" s="857"/>
    </row>
    <row r="116" spans="1:24" ht="16.5" customHeight="1" thickBot="1">
      <c r="A116" s="857"/>
      <c r="B116" s="274">
        <v>48</v>
      </c>
      <c r="C116" s="1636" t="s">
        <v>1101</v>
      </c>
      <c r="D116" s="287"/>
      <c r="E116" s="272"/>
      <c r="F116" s="272"/>
      <c r="G116" s="272"/>
      <c r="H116" s="272"/>
      <c r="I116" s="272"/>
      <c r="J116" s="272"/>
      <c r="K116" s="272"/>
      <c r="L116" s="272"/>
      <c r="M116" s="272"/>
      <c r="N116" s="272"/>
      <c r="O116" s="272"/>
      <c r="P116" s="272"/>
      <c r="Q116" s="288"/>
      <c r="R116" s="272"/>
      <c r="S116" s="289">
        <v>48</v>
      </c>
      <c r="T116" s="5172">
        <f>ROUND(SUM(T107,T108,T109,T110,T111,T112,T113,T114,T115),0)</f>
        <v>0</v>
      </c>
      <c r="U116" s="5173"/>
      <c r="V116" s="857"/>
      <c r="W116" s="523"/>
      <c r="X116" s="857"/>
    </row>
    <row r="117" spans="1:24" ht="20.25" customHeight="1">
      <c r="A117" s="857"/>
      <c r="B117" s="511"/>
      <c r="C117" s="511"/>
      <c r="D117" s="511"/>
      <c r="E117" s="511"/>
      <c r="F117" s="512"/>
      <c r="G117" s="512"/>
      <c r="H117" s="512"/>
      <c r="I117" s="513"/>
      <c r="J117" s="513"/>
      <c r="K117" s="513"/>
      <c r="L117" s="514"/>
      <c r="M117" s="513"/>
      <c r="N117" s="512"/>
      <c r="O117" s="512"/>
      <c r="P117" s="515"/>
      <c r="Q117" s="512"/>
      <c r="R117" s="512"/>
      <c r="S117" s="514"/>
      <c r="T117" s="516"/>
      <c r="U117" s="516" t="str">
        <f>"Schedule C   (Form 1040)  "&amp;TaxYear</f>
        <v>Schedule C   (Form 1040)  2016</v>
      </c>
      <c r="V117" s="857"/>
      <c r="W117" s="523"/>
      <c r="X117" s="857"/>
    </row>
    <row r="118" spans="1:24" ht="8.25" customHeight="1">
      <c r="A118" s="857"/>
      <c r="B118" s="937"/>
      <c r="C118" s="937"/>
      <c r="D118" s="937"/>
      <c r="E118" s="937"/>
      <c r="F118" s="932"/>
      <c r="G118" s="932"/>
      <c r="H118" s="932"/>
      <c r="I118" s="938"/>
      <c r="J118" s="938"/>
      <c r="K118" s="938"/>
      <c r="L118" s="938"/>
      <c r="M118" s="938"/>
      <c r="N118" s="932"/>
      <c r="O118" s="932"/>
      <c r="P118" s="939"/>
      <c r="Q118" s="932"/>
      <c r="R118" s="932"/>
      <c r="S118" s="932"/>
      <c r="T118" s="932"/>
      <c r="U118" s="932"/>
      <c r="V118" s="857"/>
      <c r="W118" s="523"/>
      <c r="X118" s="857"/>
    </row>
    <row r="119" spans="1:24">
      <c r="B119" s="15"/>
      <c r="C119" s="16"/>
      <c r="D119" s="16"/>
      <c r="E119" s="16"/>
      <c r="F119" s="16"/>
      <c r="G119" s="16"/>
      <c r="H119" s="16"/>
      <c r="I119" s="17"/>
      <c r="J119" s="17"/>
      <c r="K119" s="17"/>
      <c r="L119" s="17"/>
      <c r="M119" s="18"/>
      <c r="N119" s="16"/>
      <c r="O119" s="16"/>
      <c r="P119" s="14"/>
      <c r="Q119" s="16"/>
      <c r="R119" s="16"/>
      <c r="S119" s="16"/>
      <c r="T119" s="16"/>
      <c r="U119" s="16"/>
    </row>
    <row r="120" spans="1:24" ht="13.5" thickBot="1">
      <c r="B120" s="15"/>
      <c r="C120" s="16"/>
      <c r="D120" s="16"/>
      <c r="E120" s="16"/>
      <c r="F120" s="16"/>
      <c r="G120" s="16"/>
      <c r="H120" s="16"/>
      <c r="I120" s="17"/>
      <c r="J120" s="17"/>
      <c r="K120" s="17"/>
      <c r="L120" s="15"/>
      <c r="M120" s="19"/>
      <c r="N120" s="16"/>
      <c r="O120" s="16"/>
      <c r="P120" s="14"/>
      <c r="Q120" s="16"/>
      <c r="R120" s="16"/>
      <c r="S120" s="16"/>
      <c r="T120" s="16"/>
      <c r="U120" s="16"/>
    </row>
    <row r="121" spans="1:24" ht="14.25" thickTop="1" thickBot="1">
      <c r="B121" s="811"/>
      <c r="C121" s="5169" t="s">
        <v>113</v>
      </c>
      <c r="D121" s="5170"/>
      <c r="E121" s="5170"/>
      <c r="F121" s="5170"/>
      <c r="G121" s="5171"/>
      <c r="H121" s="812"/>
      <c r="I121" s="813"/>
      <c r="J121" s="813"/>
      <c r="K121" s="813"/>
      <c r="L121" s="811"/>
      <c r="M121" s="814"/>
      <c r="N121" s="812"/>
      <c r="O121" s="812"/>
      <c r="P121" s="815"/>
      <c r="Q121" s="812"/>
      <c r="R121" s="812"/>
      <c r="S121" s="812"/>
      <c r="T121" s="812"/>
      <c r="U121" s="812"/>
    </row>
    <row r="122" spans="1:24" ht="14.25" thickTop="1" thickBot="1">
      <c r="B122" s="811"/>
      <c r="C122" s="812"/>
      <c r="D122" s="812"/>
      <c r="E122" s="812"/>
      <c r="F122" s="812"/>
      <c r="G122" s="812"/>
      <c r="H122" s="812"/>
      <c r="I122" s="813"/>
      <c r="J122" s="813"/>
      <c r="K122" s="813"/>
      <c r="L122" s="811"/>
      <c r="M122" s="816"/>
      <c r="N122" s="812"/>
      <c r="O122" s="812"/>
      <c r="P122" s="815"/>
      <c r="Q122" s="812"/>
      <c r="R122" s="812"/>
      <c r="S122" s="812"/>
      <c r="T122" s="812"/>
      <c r="U122" s="812"/>
    </row>
    <row r="123" spans="1:24" ht="27.75" customHeight="1" thickTop="1" thickBot="1">
      <c r="B123" s="811"/>
      <c r="C123" s="5159" t="s">
        <v>1005</v>
      </c>
      <c r="D123" s="5160"/>
      <c r="E123" s="5160"/>
      <c r="F123" s="5160"/>
      <c r="G123" s="5161"/>
      <c r="H123" s="812"/>
      <c r="I123" s="813"/>
      <c r="J123" s="813"/>
      <c r="K123" s="813"/>
      <c r="L123" s="811"/>
      <c r="M123" s="816"/>
      <c r="N123" s="812"/>
      <c r="O123" s="812"/>
      <c r="P123" s="815"/>
      <c r="Q123" s="812"/>
      <c r="R123" s="812"/>
      <c r="S123" s="812"/>
      <c r="T123" s="812"/>
      <c r="U123" s="812"/>
    </row>
    <row r="124" spans="1:24" ht="13.5" thickTop="1"/>
  </sheetData>
  <sheetProtection password="F07E" sheet="1" objects="1" scenarios="1"/>
  <mergeCells count="75">
    <mergeCell ref="L44:R44"/>
    <mergeCell ref="T47:U47"/>
    <mergeCell ref="T45:U45"/>
    <mergeCell ref="T40:U40"/>
    <mergeCell ref="T42:U42"/>
    <mergeCell ref="T44:U44"/>
    <mergeCell ref="T34:U34"/>
    <mergeCell ref="T30:U30"/>
    <mergeCell ref="T39:U39"/>
    <mergeCell ref="T37:U37"/>
    <mergeCell ref="T38:U38"/>
    <mergeCell ref="T36:U36"/>
    <mergeCell ref="T33:U33"/>
    <mergeCell ref="T116:U116"/>
    <mergeCell ref="T83:U84"/>
    <mergeCell ref="T75:U76"/>
    <mergeCell ref="T49:U49"/>
    <mergeCell ref="T55:U55"/>
    <mergeCell ref="T74:U74"/>
    <mergeCell ref="T79:U80"/>
    <mergeCell ref="T58:U58"/>
    <mergeCell ref="T81:U82"/>
    <mergeCell ref="T87:U87"/>
    <mergeCell ref="T110:U110"/>
    <mergeCell ref="T107:U107"/>
    <mergeCell ref="T115:U115"/>
    <mergeCell ref="T111:U111"/>
    <mergeCell ref="T113:U113"/>
    <mergeCell ref="T114:U114"/>
    <mergeCell ref="C123:G123"/>
    <mergeCell ref="B108:S108"/>
    <mergeCell ref="B113:S113"/>
    <mergeCell ref="B114:S114"/>
    <mergeCell ref="B115:S115"/>
    <mergeCell ref="C121:G121"/>
    <mergeCell ref="B111:S111"/>
    <mergeCell ref="B112:S112"/>
    <mergeCell ref="B109:S109"/>
    <mergeCell ref="B110:S110"/>
    <mergeCell ref="R4:U4"/>
    <mergeCell ref="R5:U5"/>
    <mergeCell ref="T28:U28"/>
    <mergeCell ref="T108:U108"/>
    <mergeCell ref="T109:U109"/>
    <mergeCell ref="I15:U15"/>
    <mergeCell ref="T88:U88"/>
    <mergeCell ref="O93:S93"/>
    <mergeCell ref="O96:P96"/>
    <mergeCell ref="T46:U46"/>
    <mergeCell ref="T26:U26"/>
    <mergeCell ref="T27:U27"/>
    <mergeCell ref="T77:U78"/>
    <mergeCell ref="T50:U50"/>
    <mergeCell ref="T48:U48"/>
    <mergeCell ref="T85:U86"/>
    <mergeCell ref="B6:C7"/>
    <mergeCell ref="N17:U17"/>
    <mergeCell ref="D7:Q7"/>
    <mergeCell ref="T29:U29"/>
    <mergeCell ref="T31:U31"/>
    <mergeCell ref="B9:L9"/>
    <mergeCell ref="B11:L11"/>
    <mergeCell ref="B13:L13"/>
    <mergeCell ref="M9:T9"/>
    <mergeCell ref="I14:U14"/>
    <mergeCell ref="T25:U25"/>
    <mergeCell ref="D6:Q6"/>
    <mergeCell ref="T51:U51"/>
    <mergeCell ref="T52:U52"/>
    <mergeCell ref="M53:Q53"/>
    <mergeCell ref="H54:K54"/>
    <mergeCell ref="T112:U112"/>
    <mergeCell ref="Q96:S96"/>
    <mergeCell ref="J96:L96"/>
    <mergeCell ref="B107:S107"/>
  </mergeCells>
  <phoneticPr fontId="12" type="noConversion"/>
  <conditionalFormatting sqref="B9:U9">
    <cfRule type="expression" dxfId="1295" priority="49">
      <formula>IF(NoColor,1,0)</formula>
    </cfRule>
  </conditionalFormatting>
  <conditionalFormatting sqref="B11:L11">
    <cfRule type="expression" dxfId="1294" priority="48">
      <formula>IF(NoColor,1,0)</formula>
    </cfRule>
  </conditionalFormatting>
  <conditionalFormatting sqref="B13:L13">
    <cfRule type="expression" dxfId="1293" priority="47">
      <formula>IF(NoColor,1,0)</formula>
    </cfRule>
  </conditionalFormatting>
  <conditionalFormatting sqref="P11:U11">
    <cfRule type="expression" dxfId="1292" priority="46">
      <formula>IF(NoColor,1,0)</formula>
    </cfRule>
  </conditionalFormatting>
  <conditionalFormatting sqref="M13:U13">
    <cfRule type="expression" dxfId="1291" priority="45">
      <formula>IF(NoColor,1,0)</formula>
    </cfRule>
  </conditionalFormatting>
  <conditionalFormatting sqref="I14:U15">
    <cfRule type="expression" dxfId="1290" priority="44">
      <formula>IF(NoColor,1,0)</formula>
    </cfRule>
  </conditionalFormatting>
  <conditionalFormatting sqref="E17">
    <cfRule type="expression" dxfId="1289" priority="43">
      <formula>IF(NoColor,1,0)</formula>
    </cfRule>
  </conditionalFormatting>
  <conditionalFormatting sqref="H17">
    <cfRule type="expression" dxfId="1288" priority="42">
      <formula>IF(NoColor,1,0)</formula>
    </cfRule>
  </conditionalFormatting>
  <conditionalFormatting sqref="K17">
    <cfRule type="expression" dxfId="1287" priority="41">
      <formula>IF(NoColor,1,0)</formula>
    </cfRule>
  </conditionalFormatting>
  <conditionalFormatting sqref="R19:R22">
    <cfRule type="expression" dxfId="1286" priority="40">
      <formula>IF(NoColor,1,0)</formula>
    </cfRule>
  </conditionalFormatting>
  <conditionalFormatting sqref="T21:T22">
    <cfRule type="expression" dxfId="1285" priority="39">
      <formula>IF(NoColor,1,0)</formula>
    </cfRule>
  </conditionalFormatting>
  <conditionalFormatting sqref="T19">
    <cfRule type="expression" dxfId="1284" priority="38">
      <formula>IF(NoColor,1,0)</formula>
    </cfRule>
  </conditionalFormatting>
  <conditionalFormatting sqref="N17:U17">
    <cfRule type="expression" dxfId="1283" priority="37">
      <formula>IF(NoColor,1,0)</formula>
    </cfRule>
  </conditionalFormatting>
  <conditionalFormatting sqref="Q25">
    <cfRule type="expression" dxfId="1282" priority="36">
      <formula>IF(NoColor,1,0)</formula>
    </cfRule>
  </conditionalFormatting>
  <conditionalFormatting sqref="T25:U26 T30:U30">
    <cfRule type="expression" dxfId="1281" priority="35">
      <formula>IF(NoColor,1,0)</formula>
    </cfRule>
  </conditionalFormatting>
  <conditionalFormatting sqref="I33:I48">
    <cfRule type="expression" dxfId="1280" priority="34">
      <formula>IF(NoColor,1,0)</formula>
    </cfRule>
  </conditionalFormatting>
  <conditionalFormatting sqref="T33:U48">
    <cfRule type="expression" dxfId="1279" priority="33">
      <formula>IF(NoColor,1,0)</formula>
    </cfRule>
  </conditionalFormatting>
  <conditionalFormatting sqref="T55:U58 T49:U50">
    <cfRule type="expression" dxfId="1278" priority="32">
      <formula>IF(NoColor,1,0)</formula>
    </cfRule>
  </conditionalFormatting>
  <conditionalFormatting sqref="R61:R62">
    <cfRule type="expression" dxfId="1277" priority="31">
      <formula>IF(NoColor,1,0)</formula>
    </cfRule>
  </conditionalFormatting>
  <conditionalFormatting sqref="E70">
    <cfRule type="expression" dxfId="1276" priority="30">
      <formula>IF(NoColor,1,0)</formula>
    </cfRule>
  </conditionalFormatting>
  <conditionalFormatting sqref="H70">
    <cfRule type="expression" dxfId="1275" priority="29">
      <formula>IF(NoColor,1,0)</formula>
    </cfRule>
  </conditionalFormatting>
  <conditionalFormatting sqref="N70">
    <cfRule type="expression" dxfId="1274" priority="28">
      <formula>IF(NoColor,1,0)</formula>
    </cfRule>
  </conditionalFormatting>
  <conditionalFormatting sqref="N72">
    <cfRule type="expression" dxfId="1273" priority="27">
      <formula>IF(NoColor,1,0)</formula>
    </cfRule>
  </conditionalFormatting>
  <conditionalFormatting sqref="Q72">
    <cfRule type="expression" dxfId="1272" priority="26">
      <formula>IF(NoColor,1,0)</formula>
    </cfRule>
  </conditionalFormatting>
  <conditionalFormatting sqref="T74:U88">
    <cfRule type="expression" dxfId="1271" priority="25">
      <formula>IF(NoColor,1,0)</formula>
    </cfRule>
  </conditionalFormatting>
  <conditionalFormatting sqref="M100">
    <cfRule type="expression" dxfId="1270" priority="24">
      <formula>IF(NoColor,1,0)</formula>
    </cfRule>
  </conditionalFormatting>
  <conditionalFormatting sqref="M98">
    <cfRule type="expression" dxfId="1269" priority="23">
      <formula>IF(NoColor,1,0)</formula>
    </cfRule>
  </conditionalFormatting>
  <conditionalFormatting sqref="M102">
    <cfRule type="expression" dxfId="1268" priority="22">
      <formula>IF(NoColor,1,0)</formula>
    </cfRule>
  </conditionalFormatting>
  <conditionalFormatting sqref="M104">
    <cfRule type="expression" dxfId="1267" priority="21">
      <formula>IF(NoColor,1,0)</formula>
    </cfRule>
  </conditionalFormatting>
  <conditionalFormatting sqref="P100">
    <cfRule type="expression" dxfId="1266" priority="20">
      <formula>IF(NoColor,1,0)</formula>
    </cfRule>
  </conditionalFormatting>
  <conditionalFormatting sqref="P98">
    <cfRule type="expression" dxfId="1265" priority="19">
      <formula>IF(NoColor,1,0)</formula>
    </cfRule>
  </conditionalFormatting>
  <conditionalFormatting sqref="P102">
    <cfRule type="expression" dxfId="1264" priority="18">
      <formula>IF(NoColor,1,0)</formula>
    </cfRule>
  </conditionalFormatting>
  <conditionalFormatting sqref="P104">
    <cfRule type="expression" dxfId="1263" priority="17">
      <formula>IF(NoColor,1,0)</formula>
    </cfRule>
  </conditionalFormatting>
  <conditionalFormatting sqref="O93:S93">
    <cfRule type="expression" dxfId="1262" priority="16">
      <formula>IF(NoColor,1,0)</formula>
    </cfRule>
  </conditionalFormatting>
  <conditionalFormatting sqref="D96">
    <cfRule type="expression" dxfId="1261" priority="15">
      <formula>IF(NoColor,1,0)</formula>
    </cfRule>
  </conditionalFormatting>
  <conditionalFormatting sqref="J96">
    <cfRule type="expression" dxfId="1260" priority="14">
      <formula>IF(NoColor,1,0)</formula>
    </cfRule>
  </conditionalFormatting>
  <conditionalFormatting sqref="J96:L96">
    <cfRule type="expression" dxfId="1259" priority="13">
      <formula>IF(NoColor,1,0)</formula>
    </cfRule>
  </conditionalFormatting>
  <conditionalFormatting sqref="Q96:S96">
    <cfRule type="expression" dxfId="1258" priority="12">
      <formula>IF(NoColor,1,0)</formula>
    </cfRule>
  </conditionalFormatting>
  <conditionalFormatting sqref="B107:U115">
    <cfRule type="expression" dxfId="1257" priority="11">
      <formula>IF(NoColor,1,0)</formula>
    </cfRule>
  </conditionalFormatting>
  <conditionalFormatting sqref="T116:U116">
    <cfRule type="expression" dxfId="1256" priority="10">
      <formula>IF(NoColor,1,0)</formula>
    </cfRule>
  </conditionalFormatting>
  <conditionalFormatting sqref="T52:U54">
    <cfRule type="expression" dxfId="1255" priority="8">
      <formula>IF(NoColor,1,0)</formula>
    </cfRule>
  </conditionalFormatting>
  <conditionalFormatting sqref="H54:K54">
    <cfRule type="expression" dxfId="1254" priority="2">
      <formula>IF(NoColor,1,0)</formula>
    </cfRule>
  </conditionalFormatting>
  <conditionalFormatting sqref="T31:U31">
    <cfRule type="expression" dxfId="1253" priority="6">
      <formula>IF(NoColor,1,0)</formula>
    </cfRule>
  </conditionalFormatting>
  <conditionalFormatting sqref="T29:U29">
    <cfRule type="expression" dxfId="1252" priority="5">
      <formula>IF(NoColor,1,0)</formula>
    </cfRule>
  </conditionalFormatting>
  <conditionalFormatting sqref="T27:U28">
    <cfRule type="expression" dxfId="1251" priority="4">
      <formula>IF(NoColor,1,0)</formula>
    </cfRule>
  </conditionalFormatting>
  <conditionalFormatting sqref="M53:Q53">
    <cfRule type="expression" dxfId="1250" priority="3">
      <formula>IF(NoColor,1,0)</formula>
    </cfRule>
  </conditionalFormatting>
  <conditionalFormatting sqref="T51:U51">
    <cfRule type="expression" dxfId="1249" priority="1">
      <formula>IF(NoColor,1,0)</formula>
    </cfRule>
  </conditionalFormatting>
  <hyperlinks>
    <hyperlink ref="C121:G121" r:id="rId1" display="Download Form 1040 Schedule C"/>
    <hyperlink ref="C123:G123" r:id="rId2" display="Download Form 1040 Schedule C Instructions"/>
  </hyperlinks>
  <printOptions horizontalCentered="1"/>
  <pageMargins left="0.25" right="0.2" top="0.25" bottom="0.27" header="0" footer="0"/>
  <pageSetup scale="89" fitToHeight="0" orientation="portrait" horizontalDpi="120" verticalDpi="144" r:id="rId3"/>
  <headerFooter alignWithMargins="0"/>
  <rowBreaks count="1" manualBreakCount="1">
    <brk id="65" min="1" max="20"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73"/>
  <sheetViews>
    <sheetView zoomScaleNormal="100" workbookViewId="0">
      <pane ySplit="1" topLeftCell="A2" activePane="bottomLeft" state="frozen"/>
      <selection activeCell="D26" sqref="D26"/>
      <selection pane="bottomLeft" activeCell="H55" sqref="H55"/>
    </sheetView>
  </sheetViews>
  <sheetFormatPr defaultRowHeight="12.75"/>
  <cols>
    <col min="1" max="1" width="6.28515625" style="418" customWidth="1"/>
    <col min="2" max="2" width="36" customWidth="1"/>
    <col min="3" max="6" width="19.42578125" customWidth="1"/>
    <col min="7" max="7" width="13" customWidth="1"/>
    <col min="8" max="8" width="12" customWidth="1"/>
    <col min="9" max="9" width="2.140625" customWidth="1"/>
    <col min="10" max="10" width="13.5703125" style="1148" customWidth="1"/>
    <col min="11" max="11" width="24" customWidth="1"/>
    <col min="12" max="12" width="4.28515625" style="1148" customWidth="1"/>
    <col min="13" max="13" width="3.7109375" style="1148" customWidth="1"/>
    <col min="14" max="15" width="3.42578125" style="1148" customWidth="1"/>
  </cols>
  <sheetData>
    <row r="1" spans="1:15" ht="36.75" customHeight="1" thickBot="1">
      <c r="A1" s="678"/>
      <c r="B1" s="678" t="s">
        <v>262</v>
      </c>
      <c r="C1" s="679"/>
      <c r="D1" s="680"/>
      <c r="E1" s="2920"/>
      <c r="F1" s="680"/>
      <c r="G1" s="680"/>
      <c r="H1" s="680"/>
      <c r="I1" s="680"/>
      <c r="J1" s="1259"/>
      <c r="K1" s="660"/>
      <c r="L1" s="1254"/>
      <c r="M1" s="1254"/>
      <c r="N1" s="1254"/>
    </row>
    <row r="2" spans="1:15" ht="36.75" customHeight="1" thickTop="1" thickBot="1">
      <c r="A2" s="526"/>
      <c r="B2" s="2607" t="str">
        <f>IF(Name_1st_Yours="","Enter your name on Form 1040",NameYours)</f>
        <v>Enter your name on Form 1040</v>
      </c>
      <c r="C2" s="3805" t="s">
        <v>2393</v>
      </c>
      <c r="D2" s="3806" t="s">
        <v>381</v>
      </c>
      <c r="E2" s="3806" t="s">
        <v>382</v>
      </c>
      <c r="F2" s="3806" t="s">
        <v>334</v>
      </c>
      <c r="G2" s="526" t="s">
        <v>335</v>
      </c>
      <c r="H2" s="527" t="s">
        <v>336</v>
      </c>
      <c r="I2" s="570"/>
      <c r="J2" s="1257" t="s">
        <v>543</v>
      </c>
      <c r="K2" s="1705" t="s">
        <v>1277</v>
      </c>
      <c r="L2" s="1255"/>
      <c r="M2" s="1255"/>
      <c r="N2" s="1255"/>
      <c r="O2" s="1255"/>
    </row>
    <row r="3" spans="1:15" ht="19.5" customHeight="1" thickBot="1">
      <c r="A3" s="1217" t="s">
        <v>243</v>
      </c>
      <c r="B3" s="529" t="s">
        <v>276</v>
      </c>
      <c r="C3" s="3770"/>
      <c r="D3" s="3771"/>
      <c r="E3" s="3771"/>
      <c r="F3" s="3772"/>
      <c r="G3" s="530">
        <f t="shared" ref="G3:G23" si="0">SUM(C3:F3)</f>
        <v>0</v>
      </c>
      <c r="H3" s="447"/>
      <c r="I3" s="447"/>
      <c r="J3" s="1258">
        <f>SUM(L3:O3)</f>
        <v>0</v>
      </c>
      <c r="K3" s="1263">
        <v>118500</v>
      </c>
      <c r="L3" s="1256">
        <f>IF(C3&lt;&gt;"",1,0)</f>
        <v>0</v>
      </c>
      <c r="M3" s="1256">
        <f>IF(D3&lt;&gt;"",1,0)</f>
        <v>0</v>
      </c>
      <c r="N3" s="1256">
        <f>IF(E3&lt;&gt;"",1,0)</f>
        <v>0</v>
      </c>
      <c r="O3" s="1256">
        <f>IF(F3&lt;&gt;"",1,0)</f>
        <v>0</v>
      </c>
    </row>
    <row r="4" spans="1:15">
      <c r="A4" s="418">
        <v>2</v>
      </c>
      <c r="B4" s="529" t="s">
        <v>277</v>
      </c>
      <c r="C4" s="3773"/>
      <c r="D4" s="3774"/>
      <c r="E4" s="3774"/>
      <c r="F4" s="3775"/>
      <c r="G4" s="530">
        <f t="shared" si="0"/>
        <v>0</v>
      </c>
      <c r="H4" s="447"/>
      <c r="I4" s="447"/>
      <c r="J4" s="715">
        <f>TaxYear</f>
        <v>2016</v>
      </c>
      <c r="K4" s="1704">
        <v>6.2E-2</v>
      </c>
      <c r="L4" s="1256"/>
      <c r="M4" s="1256"/>
      <c r="N4" s="1256"/>
      <c r="O4" s="1256"/>
    </row>
    <row r="5" spans="1:15" ht="13.5" thickBot="1">
      <c r="A5" s="418">
        <v>3</v>
      </c>
      <c r="B5" s="2855" t="s">
        <v>493</v>
      </c>
      <c r="C5" s="3773"/>
      <c r="D5" s="3774"/>
      <c r="E5" s="3774"/>
      <c r="F5" s="3775"/>
      <c r="G5" s="530">
        <f t="shared" si="0"/>
        <v>0</v>
      </c>
      <c r="H5" s="446"/>
      <c r="I5" s="446"/>
      <c r="J5" s="572" t="s">
        <v>121</v>
      </c>
      <c r="K5" s="534"/>
      <c r="L5" s="10"/>
      <c r="M5" s="10"/>
      <c r="N5" s="10"/>
      <c r="O5" s="10"/>
    </row>
    <row r="6" spans="1:15" ht="13.5" thickBot="1">
      <c r="A6" s="418">
        <v>4</v>
      </c>
      <c r="B6" s="2855" t="s">
        <v>494</v>
      </c>
      <c r="C6" s="3773"/>
      <c r="D6" s="3774"/>
      <c r="E6" s="3774"/>
      <c r="F6" s="3775"/>
      <c r="G6" s="530">
        <f t="shared" si="0"/>
        <v>0</v>
      </c>
      <c r="H6" s="446">
        <f>IF(K6&lt;2,0,IF(AND(K6&gt;1,SUM(G6,-MaxSSTax)&gt;0),SUM(G6,-MaxSSTax),0))</f>
        <v>0</v>
      </c>
      <c r="I6" s="446"/>
      <c r="J6" s="1263">
        <f>MaxSSTaxEarnings*K4</f>
        <v>7347</v>
      </c>
      <c r="K6" s="535">
        <f>SUM(L6:O6)</f>
        <v>0</v>
      </c>
      <c r="L6" s="10">
        <f>IF(C6&lt;&gt;"",1,0)</f>
        <v>0</v>
      </c>
      <c r="M6" s="10">
        <f>IF(D6&lt;&gt;"",1,0)</f>
        <v>0</v>
      </c>
      <c r="N6" s="10">
        <f>IF(E6&lt;&gt;"",1,0)</f>
        <v>0</v>
      </c>
      <c r="O6" s="10">
        <f>IF(F6&lt;&gt;"",1,0)</f>
        <v>0</v>
      </c>
    </row>
    <row r="7" spans="1:15">
      <c r="A7" s="418">
        <v>5</v>
      </c>
      <c r="B7" s="2855" t="s">
        <v>495</v>
      </c>
      <c r="C7" s="3773"/>
      <c r="D7" s="3774"/>
      <c r="E7" s="3774"/>
      <c r="F7" s="3775"/>
      <c r="G7" s="530">
        <f t="shared" si="0"/>
        <v>0</v>
      </c>
      <c r="H7" s="446"/>
      <c r="I7" s="446"/>
      <c r="J7" s="1704"/>
      <c r="K7" s="1705"/>
      <c r="L7" s="10"/>
      <c r="M7" s="10"/>
      <c r="N7" s="10"/>
      <c r="O7" s="10"/>
    </row>
    <row r="8" spans="1:15">
      <c r="A8" s="418">
        <v>6</v>
      </c>
      <c r="B8" s="2855" t="s">
        <v>496</v>
      </c>
      <c r="C8" s="3773" t="str">
        <f t="shared" ref="C8:E8" si="1">IF(C7&lt;&gt;"",0.0145*C7,"")</f>
        <v/>
      </c>
      <c r="D8" s="4201"/>
      <c r="E8" s="3773" t="str">
        <f t="shared" si="1"/>
        <v/>
      </c>
      <c r="F8" s="3773"/>
      <c r="G8" s="530">
        <f t="shared" si="0"/>
        <v>0</v>
      </c>
      <c r="H8" s="446"/>
      <c r="I8" s="446"/>
      <c r="J8" s="2856" t="s">
        <v>1394</v>
      </c>
      <c r="K8" s="1705"/>
      <c r="L8" s="10"/>
      <c r="M8" s="10"/>
      <c r="N8" s="10"/>
      <c r="O8" s="10"/>
    </row>
    <row r="9" spans="1:15">
      <c r="A9" s="418">
        <v>7</v>
      </c>
      <c r="B9" s="2855" t="s">
        <v>809</v>
      </c>
      <c r="C9" s="3773"/>
      <c r="D9" s="3774"/>
      <c r="E9" s="3774"/>
      <c r="F9" s="3775"/>
      <c r="G9" s="530">
        <f t="shared" si="0"/>
        <v>0</v>
      </c>
      <c r="H9" s="446"/>
      <c r="I9" s="446"/>
      <c r="J9" s="1261"/>
      <c r="K9" s="534"/>
      <c r="L9" s="10"/>
      <c r="M9" s="10"/>
      <c r="N9" s="10"/>
      <c r="O9" s="10"/>
    </row>
    <row r="10" spans="1:15">
      <c r="A10" s="418">
        <v>8</v>
      </c>
      <c r="B10" s="2854" t="s">
        <v>810</v>
      </c>
      <c r="C10" s="3773"/>
      <c r="D10" s="3774"/>
      <c r="E10" s="3774"/>
      <c r="F10" s="3775"/>
      <c r="G10" s="530">
        <f t="shared" si="0"/>
        <v>0</v>
      </c>
      <c r="H10" s="446"/>
      <c r="I10" s="446"/>
      <c r="J10" s="1261"/>
      <c r="K10" s="534"/>
      <c r="L10" s="10"/>
      <c r="M10" s="10"/>
      <c r="N10" s="10"/>
      <c r="O10" s="10"/>
    </row>
    <row r="11" spans="1:15">
      <c r="A11" s="418">
        <v>9</v>
      </c>
      <c r="B11" s="2854" t="s">
        <v>811</v>
      </c>
      <c r="C11" s="3773"/>
      <c r="D11" s="3774"/>
      <c r="E11" s="3774"/>
      <c r="F11" s="3775"/>
      <c r="G11" s="530">
        <f t="shared" si="0"/>
        <v>0</v>
      </c>
      <c r="H11" s="446"/>
      <c r="I11" s="446"/>
      <c r="J11" s="1261"/>
      <c r="K11" s="534"/>
      <c r="L11" s="10"/>
      <c r="M11" s="10"/>
      <c r="N11" s="10"/>
      <c r="O11" s="10"/>
    </row>
    <row r="12" spans="1:15">
      <c r="A12" s="418">
        <v>10</v>
      </c>
      <c r="B12" s="2855" t="s">
        <v>812</v>
      </c>
      <c r="C12" s="3773"/>
      <c r="D12" s="3774"/>
      <c r="E12" s="3774"/>
      <c r="F12" s="3775"/>
      <c r="G12" s="530">
        <f t="shared" si="0"/>
        <v>0</v>
      </c>
      <c r="H12" s="446"/>
      <c r="I12" s="446"/>
      <c r="J12" s="1261"/>
      <c r="K12" s="534"/>
      <c r="L12" s="10"/>
      <c r="M12" s="10"/>
      <c r="N12" s="10"/>
      <c r="O12" s="10"/>
    </row>
    <row r="13" spans="1:15">
      <c r="A13" s="418">
        <v>11</v>
      </c>
      <c r="B13" s="2854" t="s">
        <v>813</v>
      </c>
      <c r="C13" s="3773"/>
      <c r="D13" s="3774"/>
      <c r="E13" s="3774"/>
      <c r="F13" s="3775"/>
      <c r="G13" s="530">
        <f t="shared" si="0"/>
        <v>0</v>
      </c>
      <c r="H13" s="446"/>
      <c r="I13" s="446"/>
      <c r="J13" s="1261"/>
      <c r="K13" s="534"/>
      <c r="L13" s="10"/>
      <c r="M13" s="10"/>
      <c r="N13" s="10"/>
      <c r="O13" s="10"/>
    </row>
    <row r="14" spans="1:15">
      <c r="A14" s="418" t="s">
        <v>815</v>
      </c>
      <c r="B14" s="2854" t="s">
        <v>814</v>
      </c>
      <c r="C14" s="3773"/>
      <c r="D14" s="3774"/>
      <c r="E14" s="3774"/>
      <c r="F14" s="3775"/>
      <c r="G14" s="530">
        <f t="shared" si="0"/>
        <v>0</v>
      </c>
      <c r="H14" s="446"/>
      <c r="I14" s="446"/>
      <c r="J14" s="1261"/>
      <c r="K14" s="534"/>
      <c r="L14" s="10"/>
      <c r="M14" s="10"/>
      <c r="N14" s="10"/>
      <c r="O14" s="10"/>
    </row>
    <row r="15" spans="1:15">
      <c r="A15" s="418" t="s">
        <v>816</v>
      </c>
      <c r="B15" s="4198"/>
      <c r="C15" s="3773"/>
      <c r="D15" s="3774"/>
      <c r="E15" s="3774"/>
      <c r="F15" s="3775"/>
      <c r="G15" s="530">
        <f t="shared" si="0"/>
        <v>0</v>
      </c>
      <c r="H15" s="446"/>
      <c r="I15" s="446"/>
      <c r="J15" s="1261"/>
      <c r="K15" s="534"/>
      <c r="L15" s="10"/>
      <c r="M15" s="10"/>
      <c r="N15" s="10"/>
      <c r="O15" s="10"/>
    </row>
    <row r="16" spans="1:15">
      <c r="A16" s="418" t="s">
        <v>817</v>
      </c>
      <c r="B16" s="4198"/>
      <c r="C16" s="3773"/>
      <c r="D16" s="3774"/>
      <c r="E16" s="3774"/>
      <c r="F16" s="3775"/>
      <c r="G16" s="530">
        <f t="shared" si="0"/>
        <v>0</v>
      </c>
      <c r="H16" s="446"/>
      <c r="I16" s="446"/>
      <c r="J16" s="1261"/>
      <c r="K16" s="534"/>
      <c r="L16" s="10"/>
      <c r="M16" s="10"/>
      <c r="N16" s="10"/>
      <c r="O16" s="10"/>
    </row>
    <row r="17" spans="1:15">
      <c r="A17" s="418" t="s">
        <v>818</v>
      </c>
      <c r="B17" s="4198"/>
      <c r="C17" s="3773"/>
      <c r="D17" s="3774"/>
      <c r="E17" s="3774"/>
      <c r="F17" s="3775"/>
      <c r="G17" s="530">
        <f t="shared" si="0"/>
        <v>0</v>
      </c>
      <c r="H17" s="446"/>
      <c r="I17" s="446"/>
      <c r="J17" s="1261"/>
      <c r="K17" s="534"/>
      <c r="L17" s="10"/>
      <c r="M17" s="10"/>
      <c r="N17" s="10"/>
      <c r="O17" s="10"/>
    </row>
    <row r="18" spans="1:15">
      <c r="A18" s="418">
        <v>13</v>
      </c>
      <c r="B18" s="2854" t="s">
        <v>819</v>
      </c>
      <c r="C18" s="3773"/>
      <c r="D18" s="3774"/>
      <c r="E18" s="3774"/>
      <c r="F18" s="3775"/>
      <c r="G18" s="530">
        <f t="shared" si="0"/>
        <v>0</v>
      </c>
      <c r="H18" s="446"/>
      <c r="I18" s="446"/>
      <c r="J18" s="1261"/>
      <c r="K18" s="534"/>
      <c r="L18" s="10"/>
      <c r="M18" s="10"/>
      <c r="N18" s="10"/>
      <c r="O18" s="10"/>
    </row>
    <row r="19" spans="1:15">
      <c r="A19" s="418">
        <v>14</v>
      </c>
      <c r="B19" s="2854" t="s">
        <v>645</v>
      </c>
      <c r="C19" s="3773"/>
      <c r="D19" s="3774"/>
      <c r="E19" s="3774"/>
      <c r="F19" s="3775"/>
      <c r="G19" s="530">
        <f t="shared" si="0"/>
        <v>0</v>
      </c>
      <c r="H19" s="446"/>
      <c r="I19" s="446"/>
      <c r="J19" s="1261"/>
      <c r="K19" s="534"/>
      <c r="L19" s="10"/>
      <c r="M19" s="10"/>
      <c r="N19" s="10"/>
      <c r="O19" s="10"/>
    </row>
    <row r="20" spans="1:15">
      <c r="A20" s="418">
        <v>16</v>
      </c>
      <c r="B20" s="2854" t="s">
        <v>820</v>
      </c>
      <c r="C20" s="3773"/>
      <c r="D20" s="3774"/>
      <c r="E20" s="3774"/>
      <c r="F20" s="3775"/>
      <c r="G20" s="530">
        <f t="shared" si="0"/>
        <v>0</v>
      </c>
      <c r="H20" s="446"/>
      <c r="I20" s="446"/>
      <c r="J20" s="1261"/>
      <c r="K20" s="534"/>
      <c r="L20" s="10"/>
      <c r="M20" s="10"/>
      <c r="N20" s="10"/>
      <c r="O20" s="10"/>
    </row>
    <row r="21" spans="1:15">
      <c r="A21" s="418">
        <v>17</v>
      </c>
      <c r="B21" s="2855" t="s">
        <v>305</v>
      </c>
      <c r="C21" s="3773"/>
      <c r="D21" s="3774"/>
      <c r="E21" s="3774"/>
      <c r="F21" s="3775"/>
      <c r="G21" s="530">
        <f>SUM(C21:F21)</f>
        <v>0</v>
      </c>
      <c r="H21" s="446"/>
      <c r="I21" s="446"/>
      <c r="J21" s="1261"/>
      <c r="K21" s="534"/>
      <c r="L21" s="10"/>
      <c r="M21" s="10"/>
      <c r="N21" s="10"/>
      <c r="O21" s="10"/>
    </row>
    <row r="22" spans="1:15">
      <c r="A22" s="418">
        <v>18</v>
      </c>
      <c r="B22" s="2854" t="s">
        <v>821</v>
      </c>
      <c r="C22" s="3773"/>
      <c r="D22" s="3774"/>
      <c r="E22" s="3774"/>
      <c r="F22" s="3775"/>
      <c r="G22" s="530">
        <f>SUM(C22:F22)</f>
        <v>0</v>
      </c>
      <c r="H22" s="446"/>
      <c r="I22" s="446"/>
      <c r="J22" s="1261"/>
      <c r="K22" s="534"/>
      <c r="L22" s="10"/>
      <c r="M22" s="10"/>
      <c r="N22" s="10"/>
      <c r="O22" s="10"/>
    </row>
    <row r="23" spans="1:15">
      <c r="A23" s="418">
        <v>19</v>
      </c>
      <c r="B23" s="2899" t="s">
        <v>798</v>
      </c>
      <c r="C23" s="3776"/>
      <c r="D23" s="3777"/>
      <c r="E23" s="3777"/>
      <c r="F23" s="3778"/>
      <c r="G23" s="530">
        <f t="shared" si="0"/>
        <v>0</v>
      </c>
      <c r="H23" s="571"/>
      <c r="I23" s="446"/>
      <c r="J23" s="1261"/>
      <c r="K23" s="534"/>
      <c r="L23" s="10"/>
      <c r="M23" s="10"/>
      <c r="N23" s="10"/>
      <c r="O23" s="10"/>
    </row>
    <row r="24" spans="1:15" s="304" customFormat="1" ht="15" customHeight="1">
      <c r="A24" s="4199"/>
      <c r="B24" s="1265"/>
      <c r="C24" s="1322" t="str">
        <f>IF(AND(G6&gt;MaxSSTax,K6=1),"Notify your employer that they withheld "&amp;TEXT(SUM(G6,-MaxSSTax),"$0.00")&amp;" too much Social Security Tax.","")</f>
        <v/>
      </c>
      <c r="D24" s="1265"/>
      <c r="E24" s="1265"/>
      <c r="F24" s="1265"/>
      <c r="G24" s="1265"/>
      <c r="H24" s="1265"/>
      <c r="I24" s="570"/>
      <c r="J24" s="1257"/>
      <c r="K24" s="528"/>
      <c r="L24" s="1266"/>
      <c r="M24" s="1266"/>
      <c r="N24" s="1266"/>
      <c r="O24" s="1266"/>
    </row>
    <row r="25" spans="1:15" s="304" customFormat="1" ht="15" customHeight="1">
      <c r="A25" s="4199"/>
      <c r="B25" s="4197" t="str">
        <f>IF(OR(AND(C7="",C8&lt;&gt;""),AND(D7="",D8&lt;&gt;""),AND(E7="",E8&lt;&gt;""),AND(F7="",F8&lt;&gt;"")),"CAUTION:  Entering an amount into Line 6 without entering an amount into Line 7 will result in a tax calculation error.","")</f>
        <v/>
      </c>
      <c r="C25" s="4197"/>
      <c r="D25" s="675"/>
      <c r="E25" s="675"/>
      <c r="F25" s="675"/>
      <c r="G25" s="675"/>
      <c r="H25" s="675"/>
      <c r="I25" s="570"/>
      <c r="J25" s="1257"/>
      <c r="K25" s="528"/>
      <c r="L25" s="1266"/>
      <c r="M25" s="1266"/>
      <c r="N25" s="1266"/>
      <c r="O25" s="1266"/>
    </row>
    <row r="26" spans="1:15" s="304" customFormat="1" ht="15" customHeight="1">
      <c r="A26" s="4199"/>
      <c r="B26" s="675"/>
      <c r="C26" s="1253"/>
      <c r="D26" s="1264"/>
      <c r="E26" s="1264"/>
      <c r="F26" s="1264"/>
      <c r="G26" s="675"/>
      <c r="H26" s="675"/>
      <c r="I26" s="570"/>
      <c r="J26" s="1257"/>
      <c r="K26" s="528"/>
      <c r="L26" s="1266"/>
      <c r="M26" s="1266"/>
      <c r="N26" s="1266"/>
      <c r="O26" s="1266"/>
    </row>
    <row r="27" spans="1:15" ht="36.75" customHeight="1">
      <c r="A27" s="452"/>
      <c r="B27" s="2608" t="str">
        <f>IF(Name_1st_Sp="","Enter spouse's name on Form 1040",NameSpouse)</f>
        <v>Enter spouse's name on Form 1040</v>
      </c>
      <c r="C27" s="3805" t="s">
        <v>2393</v>
      </c>
      <c r="D27" s="3806" t="s">
        <v>381</v>
      </c>
      <c r="E27" s="3806" t="s">
        <v>382</v>
      </c>
      <c r="F27" s="3806" t="s">
        <v>334</v>
      </c>
      <c r="G27" s="1264" t="s">
        <v>335</v>
      </c>
      <c r="H27" s="1264" t="s">
        <v>336</v>
      </c>
      <c r="I27" s="570"/>
      <c r="J27" s="1257" t="s">
        <v>543</v>
      </c>
      <c r="K27" s="528"/>
      <c r="L27" s="1255"/>
      <c r="M27" s="1255"/>
      <c r="N27" s="1255"/>
      <c r="O27" s="1255"/>
    </row>
    <row r="28" spans="1:15" ht="18" customHeight="1">
      <c r="A28" s="1217" t="s">
        <v>243</v>
      </c>
      <c r="B28" s="529" t="s">
        <v>276</v>
      </c>
      <c r="C28" s="3770"/>
      <c r="D28" s="3771"/>
      <c r="E28" s="3771"/>
      <c r="F28" s="3772"/>
      <c r="G28" s="530">
        <f t="shared" ref="G28:G48" si="2">SUM(C28:F28)</f>
        <v>0</v>
      </c>
      <c r="H28" s="447"/>
      <c r="I28" s="447"/>
      <c r="J28" s="1258">
        <f>SUM(L28:O28)</f>
        <v>0</v>
      </c>
      <c r="K28" s="531"/>
      <c r="L28" s="1256">
        <f>IF(C28&lt;&gt;"",1,0)</f>
        <v>0</v>
      </c>
      <c r="M28" s="1256">
        <f>IF(D28&lt;&gt;"",1,0)</f>
        <v>0</v>
      </c>
      <c r="N28" s="1256">
        <f>IF(E28&lt;&gt;"",1,0)</f>
        <v>0</v>
      </c>
      <c r="O28" s="1256">
        <f>IF(F28&lt;&gt;"",1,0)</f>
        <v>0</v>
      </c>
    </row>
    <row r="29" spans="1:15">
      <c r="A29" s="418">
        <v>2</v>
      </c>
      <c r="B29" s="529" t="s">
        <v>277</v>
      </c>
      <c r="C29" s="3773"/>
      <c r="D29" s="3774"/>
      <c r="E29" s="3774"/>
      <c r="F29" s="3775"/>
      <c r="G29" s="530">
        <f t="shared" si="2"/>
        <v>0</v>
      </c>
      <c r="H29" s="447"/>
      <c r="I29" s="447"/>
      <c r="J29" s="1262"/>
      <c r="K29" s="534"/>
      <c r="L29" s="1256"/>
      <c r="M29" s="1256"/>
      <c r="N29" s="1256"/>
      <c r="O29" s="1256"/>
    </row>
    <row r="30" spans="1:15">
      <c r="A30" s="418">
        <v>3</v>
      </c>
      <c r="B30" s="2855" t="s">
        <v>493</v>
      </c>
      <c r="C30" s="3773"/>
      <c r="D30" s="3774"/>
      <c r="E30" s="3774"/>
      <c r="F30" s="3775"/>
      <c r="G30" s="530">
        <f t="shared" si="2"/>
        <v>0</v>
      </c>
      <c r="H30" s="446"/>
      <c r="I30" s="446"/>
      <c r="J30" s="1260"/>
      <c r="K30" s="534"/>
      <c r="L30" s="10"/>
      <c r="M30" s="10"/>
      <c r="N30" s="10"/>
      <c r="O30" s="10"/>
    </row>
    <row r="31" spans="1:15">
      <c r="A31" s="418">
        <v>4</v>
      </c>
      <c r="B31" s="2855" t="s">
        <v>494</v>
      </c>
      <c r="C31" s="3773"/>
      <c r="D31" s="3774"/>
      <c r="E31" s="3774"/>
      <c r="F31" s="3775"/>
      <c r="G31" s="530">
        <f t="shared" si="2"/>
        <v>0</v>
      </c>
      <c r="H31" s="446">
        <f>IF(K31&lt;2,0,IF(AND(K31&gt;1,SUM(G31,-MaxSSTax)&gt;0),SUM(G31,-MaxSSTax),0))</f>
        <v>0</v>
      </c>
      <c r="I31" s="446"/>
      <c r="J31" s="1260"/>
      <c r="K31" s="535">
        <f>SUM(L31:O31)</f>
        <v>0</v>
      </c>
      <c r="L31" s="10">
        <f>IF(C31&lt;&gt;"",1,0)</f>
        <v>0</v>
      </c>
      <c r="M31" s="10">
        <f>IF(D31&lt;&gt;"",1,0)</f>
        <v>0</v>
      </c>
      <c r="N31" s="10">
        <f>IF(E31&lt;&gt;"",1,0)</f>
        <v>0</v>
      </c>
      <c r="O31" s="10">
        <f>IF(F31&lt;&gt;"",1,0)</f>
        <v>0</v>
      </c>
    </row>
    <row r="32" spans="1:15">
      <c r="A32" s="418">
        <v>5</v>
      </c>
      <c r="B32" s="2855" t="s">
        <v>495</v>
      </c>
      <c r="C32" s="3773"/>
      <c r="D32" s="4200"/>
      <c r="E32" s="3774"/>
      <c r="F32" s="3775"/>
      <c r="G32" s="530">
        <f t="shared" si="2"/>
        <v>0</v>
      </c>
      <c r="H32" s="446"/>
      <c r="I32" s="446"/>
      <c r="J32" s="1260"/>
      <c r="K32" s="534"/>
      <c r="L32" s="10"/>
      <c r="M32" s="10"/>
      <c r="N32" s="10"/>
      <c r="O32" s="10"/>
    </row>
    <row r="33" spans="1:15">
      <c r="A33" s="418">
        <v>6</v>
      </c>
      <c r="B33" s="2855" t="s">
        <v>496</v>
      </c>
      <c r="C33" s="3773" t="str">
        <f t="shared" ref="C33" si="3">IF(C32&lt;&gt;"",0.0145*C32,"")</f>
        <v/>
      </c>
      <c r="D33" s="3773"/>
      <c r="E33" s="3773"/>
      <c r="F33" s="3773"/>
      <c r="G33" s="530">
        <f t="shared" si="2"/>
        <v>0</v>
      </c>
      <c r="H33" s="425"/>
      <c r="I33" s="425"/>
      <c r="J33" s="2856" t="s">
        <v>1394</v>
      </c>
      <c r="K33" s="534"/>
      <c r="L33" s="10"/>
      <c r="M33" s="10"/>
      <c r="N33" s="10"/>
      <c r="O33" s="10"/>
    </row>
    <row r="34" spans="1:15">
      <c r="A34" s="418">
        <v>7</v>
      </c>
      <c r="B34" s="2855" t="s">
        <v>809</v>
      </c>
      <c r="C34" s="3773"/>
      <c r="D34" s="3774"/>
      <c r="E34" s="3774"/>
      <c r="F34" s="3775"/>
      <c r="G34" s="530">
        <f t="shared" si="2"/>
        <v>0</v>
      </c>
      <c r="H34" s="446"/>
      <c r="I34" s="446"/>
      <c r="J34" s="1261"/>
      <c r="K34" s="534"/>
      <c r="L34" s="10"/>
      <c r="M34" s="10"/>
      <c r="N34" s="10"/>
      <c r="O34" s="10"/>
    </row>
    <row r="35" spans="1:15">
      <c r="A35" s="418">
        <v>8</v>
      </c>
      <c r="B35" s="2854" t="s">
        <v>810</v>
      </c>
      <c r="C35" s="3773"/>
      <c r="D35" s="3774"/>
      <c r="E35" s="3774"/>
      <c r="F35" s="3775"/>
      <c r="G35" s="530">
        <f t="shared" si="2"/>
        <v>0</v>
      </c>
      <c r="H35" s="446"/>
      <c r="I35" s="446"/>
      <c r="J35" s="1261"/>
      <c r="K35" s="534"/>
      <c r="L35" s="10"/>
      <c r="M35" s="10"/>
      <c r="N35" s="10"/>
      <c r="O35" s="10"/>
    </row>
    <row r="36" spans="1:15">
      <c r="A36" s="418">
        <v>9</v>
      </c>
      <c r="B36" s="2854" t="s">
        <v>811</v>
      </c>
      <c r="C36" s="3773"/>
      <c r="D36" s="3774"/>
      <c r="E36" s="3774"/>
      <c r="F36" s="3775"/>
      <c r="G36" s="530">
        <f t="shared" si="2"/>
        <v>0</v>
      </c>
      <c r="H36" s="446"/>
      <c r="I36" s="446"/>
      <c r="J36" s="1261"/>
      <c r="K36" s="534"/>
      <c r="L36" s="10"/>
      <c r="M36" s="10"/>
      <c r="N36" s="10"/>
      <c r="O36" s="10"/>
    </row>
    <row r="37" spans="1:15">
      <c r="A37" s="418">
        <v>10</v>
      </c>
      <c r="B37" s="2855" t="s">
        <v>812</v>
      </c>
      <c r="C37" s="3773"/>
      <c r="D37" s="3774"/>
      <c r="E37" s="3774"/>
      <c r="F37" s="3775"/>
      <c r="G37" s="530">
        <f t="shared" si="2"/>
        <v>0</v>
      </c>
      <c r="H37" s="446"/>
      <c r="I37" s="446"/>
      <c r="J37" s="1261"/>
      <c r="K37" s="534"/>
      <c r="L37" s="10"/>
      <c r="M37" s="10"/>
      <c r="N37" s="10"/>
      <c r="O37" s="10"/>
    </row>
    <row r="38" spans="1:15">
      <c r="A38" s="418">
        <v>11</v>
      </c>
      <c r="B38" s="2854" t="s">
        <v>813</v>
      </c>
      <c r="C38" s="3773"/>
      <c r="D38" s="3774"/>
      <c r="E38" s="3774"/>
      <c r="F38" s="3775"/>
      <c r="G38" s="530">
        <f t="shared" si="2"/>
        <v>0</v>
      </c>
      <c r="H38" s="446"/>
      <c r="I38" s="446"/>
      <c r="J38" s="1261"/>
      <c r="K38" s="534"/>
      <c r="L38" s="10"/>
      <c r="M38" s="10"/>
      <c r="N38" s="10"/>
      <c r="O38" s="10"/>
    </row>
    <row r="39" spans="1:15">
      <c r="A39" s="418" t="s">
        <v>815</v>
      </c>
      <c r="B39" s="2854" t="s">
        <v>814</v>
      </c>
      <c r="C39" s="3773"/>
      <c r="D39" s="3774"/>
      <c r="E39" s="3774"/>
      <c r="F39" s="3775"/>
      <c r="G39" s="530">
        <f t="shared" si="2"/>
        <v>0</v>
      </c>
      <c r="H39" s="446"/>
      <c r="I39" s="446"/>
      <c r="J39" s="1261"/>
      <c r="K39" s="534"/>
      <c r="L39" s="10"/>
      <c r="M39" s="10"/>
      <c r="N39" s="10"/>
      <c r="O39" s="10"/>
    </row>
    <row r="40" spans="1:15">
      <c r="A40" s="418" t="s">
        <v>816</v>
      </c>
      <c r="B40" s="4198"/>
      <c r="C40" s="3773"/>
      <c r="D40" s="3774"/>
      <c r="E40" s="3774"/>
      <c r="F40" s="3775"/>
      <c r="G40" s="530">
        <f t="shared" si="2"/>
        <v>0</v>
      </c>
      <c r="H40" s="446"/>
      <c r="I40" s="446"/>
      <c r="J40" s="1261"/>
      <c r="K40" s="534"/>
      <c r="L40" s="10"/>
      <c r="M40" s="10"/>
      <c r="N40" s="10"/>
      <c r="O40" s="10"/>
    </row>
    <row r="41" spans="1:15">
      <c r="A41" s="418" t="s">
        <v>817</v>
      </c>
      <c r="B41" s="4198"/>
      <c r="C41" s="3773"/>
      <c r="D41" s="3774"/>
      <c r="E41" s="3774"/>
      <c r="F41" s="3775"/>
      <c r="G41" s="530">
        <f t="shared" si="2"/>
        <v>0</v>
      </c>
      <c r="H41" s="446"/>
      <c r="I41" s="446"/>
      <c r="J41" s="1261"/>
      <c r="K41" s="534"/>
      <c r="L41" s="10"/>
      <c r="M41" s="10"/>
      <c r="N41" s="10"/>
      <c r="O41" s="10"/>
    </row>
    <row r="42" spans="1:15">
      <c r="A42" s="418" t="s">
        <v>818</v>
      </c>
      <c r="B42" s="4198"/>
      <c r="C42" s="3773"/>
      <c r="D42" s="3774"/>
      <c r="E42" s="3774"/>
      <c r="F42" s="3775"/>
      <c r="G42" s="530">
        <f t="shared" si="2"/>
        <v>0</v>
      </c>
      <c r="H42" s="446"/>
      <c r="I42" s="446"/>
      <c r="J42" s="1261"/>
      <c r="K42" s="534"/>
      <c r="L42" s="10"/>
      <c r="M42" s="10"/>
      <c r="N42" s="10"/>
      <c r="O42" s="10"/>
    </row>
    <row r="43" spans="1:15">
      <c r="A43" s="418">
        <v>13</v>
      </c>
      <c r="B43" s="2854" t="s">
        <v>819</v>
      </c>
      <c r="C43" s="3773"/>
      <c r="D43" s="3774"/>
      <c r="E43" s="3774"/>
      <c r="F43" s="3775"/>
      <c r="G43" s="530">
        <f t="shared" si="2"/>
        <v>0</v>
      </c>
      <c r="H43" s="446"/>
      <c r="I43" s="446"/>
      <c r="J43" s="1261"/>
      <c r="K43" s="534"/>
      <c r="L43" s="10"/>
      <c r="M43" s="10"/>
      <c r="N43" s="10"/>
      <c r="O43" s="10"/>
    </row>
    <row r="44" spans="1:15">
      <c r="A44" s="418">
        <v>14</v>
      </c>
      <c r="B44" s="2854" t="s">
        <v>645</v>
      </c>
      <c r="C44" s="3773"/>
      <c r="D44" s="3774"/>
      <c r="E44" s="3774"/>
      <c r="F44" s="3775"/>
      <c r="G44" s="530">
        <f t="shared" si="2"/>
        <v>0</v>
      </c>
      <c r="H44" s="446"/>
      <c r="I44" s="446"/>
      <c r="J44" s="1261"/>
      <c r="K44" s="534"/>
      <c r="L44" s="10"/>
      <c r="M44" s="10"/>
      <c r="N44" s="10"/>
      <c r="O44" s="10"/>
    </row>
    <row r="45" spans="1:15">
      <c r="A45" s="418">
        <v>16</v>
      </c>
      <c r="B45" s="2854" t="s">
        <v>820</v>
      </c>
      <c r="C45" s="3773"/>
      <c r="D45" s="3774"/>
      <c r="E45" s="3774"/>
      <c r="F45" s="3775"/>
      <c r="G45" s="530">
        <f t="shared" si="2"/>
        <v>0</v>
      </c>
      <c r="H45" s="446"/>
      <c r="I45" s="446"/>
      <c r="J45" s="1261"/>
      <c r="K45" s="534"/>
      <c r="L45" s="10"/>
      <c r="M45" s="10"/>
      <c r="N45" s="10"/>
      <c r="O45" s="10"/>
    </row>
    <row r="46" spans="1:15">
      <c r="A46" s="418">
        <v>17</v>
      </c>
      <c r="B46" s="2855" t="s">
        <v>305</v>
      </c>
      <c r="C46" s="3773"/>
      <c r="D46" s="3774"/>
      <c r="E46" s="3774"/>
      <c r="F46" s="3775"/>
      <c r="G46" s="530">
        <f t="shared" si="2"/>
        <v>0</v>
      </c>
      <c r="H46" s="425"/>
      <c r="I46" s="425"/>
      <c r="J46" s="1261"/>
      <c r="K46" s="534"/>
      <c r="L46" s="10"/>
      <c r="M46" s="10"/>
      <c r="N46" s="10"/>
      <c r="O46" s="10"/>
    </row>
    <row r="47" spans="1:15">
      <c r="A47" s="418">
        <v>18</v>
      </c>
      <c r="B47" s="2854" t="s">
        <v>821</v>
      </c>
      <c r="C47" s="3773"/>
      <c r="D47" s="3774"/>
      <c r="E47" s="3774"/>
      <c r="F47" s="3775"/>
      <c r="G47" s="530">
        <f>SUM(C47:F47)</f>
        <v>0</v>
      </c>
      <c r="H47" s="446"/>
      <c r="I47" s="446"/>
      <c r="J47" s="1261"/>
      <c r="K47" s="534"/>
      <c r="L47" s="10"/>
      <c r="M47" s="10"/>
      <c r="N47" s="10"/>
      <c r="O47" s="10"/>
    </row>
    <row r="48" spans="1:15">
      <c r="A48" s="418">
        <v>19</v>
      </c>
      <c r="B48" s="2899" t="s">
        <v>798</v>
      </c>
      <c r="C48" s="3776"/>
      <c r="D48" s="3777"/>
      <c r="E48" s="3777"/>
      <c r="F48" s="3778"/>
      <c r="G48" s="530">
        <f t="shared" si="2"/>
        <v>0</v>
      </c>
      <c r="H48" s="571"/>
      <c r="I48" s="446"/>
      <c r="J48" s="1261"/>
      <c r="K48" s="534"/>
      <c r="L48" s="10"/>
      <c r="M48" s="10"/>
      <c r="N48" s="10"/>
      <c r="O48" s="10"/>
    </row>
    <row r="49" spans="1:15" s="304" customFormat="1" ht="15" customHeight="1">
      <c r="A49" s="4199"/>
      <c r="B49" s="1265"/>
      <c r="C49" s="1322" t="str">
        <f>IF(AND(G31&gt;MaxSSTax,K31=1),"Notify your employer that they withheld "&amp;TEXT(SUM(G31,-MaxSSTax),"$0.00")&amp;" too much Social Security Tax.","")</f>
        <v/>
      </c>
      <c r="D49" s="1265"/>
      <c r="E49" s="1265"/>
      <c r="F49" s="1265"/>
      <c r="G49" s="1265"/>
      <c r="H49" s="1265"/>
      <c r="I49" s="570"/>
      <c r="J49" s="1257"/>
      <c r="K49" s="528"/>
      <c r="L49" s="1266"/>
      <c r="M49" s="1266"/>
      <c r="N49" s="1266"/>
      <c r="O49" s="1266"/>
    </row>
    <row r="50" spans="1:15" s="304" customFormat="1" ht="15" customHeight="1">
      <c r="A50" s="4199"/>
      <c r="B50" s="4197" t="str">
        <f>IF(OR(AND(C32="",C33&lt;&gt;""),AND(D32="",D33&lt;&gt;""),AND(E32="",E33&lt;&gt;""),AND(F32="",F33&lt;&gt;"")),"CAUTION:  Entering an amount into Line 6 without entering an amount into Line 7 will resutl in a tax calculation error.","")</f>
        <v/>
      </c>
      <c r="C50" s="4197"/>
      <c r="D50" s="675"/>
      <c r="E50" s="675"/>
      <c r="F50" s="675"/>
      <c r="G50" s="675"/>
      <c r="H50" s="675"/>
      <c r="I50" s="570"/>
      <c r="J50" s="1257"/>
      <c r="K50" s="528"/>
      <c r="L50" s="1266"/>
      <c r="M50" s="1266"/>
      <c r="N50" s="1266"/>
      <c r="O50" s="1266"/>
    </row>
    <row r="51" spans="1:15" ht="33" customHeight="1">
      <c r="A51" s="4070"/>
      <c r="B51" s="1267" t="s">
        <v>750</v>
      </c>
      <c r="C51" s="1264" t="s">
        <v>750</v>
      </c>
      <c r="D51" s="1264"/>
      <c r="E51" s="1264"/>
      <c r="F51" s="1264"/>
      <c r="G51" s="1264"/>
      <c r="H51" s="1264"/>
      <c r="I51" s="570"/>
      <c r="J51" s="1257"/>
      <c r="K51" s="534"/>
      <c r="L51" s="1255"/>
      <c r="M51" s="1255"/>
      <c r="N51" s="1255"/>
      <c r="O51" s="1255"/>
    </row>
    <row r="52" spans="1:15" ht="18" customHeight="1">
      <c r="A52" s="1217" t="s">
        <v>243</v>
      </c>
      <c r="B52" s="529" t="s">
        <v>276</v>
      </c>
      <c r="C52" s="530">
        <f t="shared" ref="C52:C72" si="4">SUM(G3,G28)</f>
        <v>0</v>
      </c>
      <c r="D52" s="530"/>
      <c r="E52" s="530"/>
      <c r="F52" s="530"/>
      <c r="G52" s="530"/>
      <c r="H52" s="447"/>
      <c r="I52" s="447"/>
      <c r="J52" s="1262"/>
      <c r="K52" s="534"/>
      <c r="L52" s="1256"/>
      <c r="M52" s="1256"/>
      <c r="N52" s="1256"/>
      <c r="O52" s="1256"/>
    </row>
    <row r="53" spans="1:15">
      <c r="A53" s="418">
        <v>2</v>
      </c>
      <c r="B53" s="529" t="s">
        <v>277</v>
      </c>
      <c r="C53" s="530">
        <f t="shared" si="4"/>
        <v>0</v>
      </c>
      <c r="D53" s="530"/>
      <c r="E53" s="530"/>
      <c r="F53" s="530"/>
      <c r="G53" s="530"/>
      <c r="H53" s="447"/>
      <c r="I53" s="447"/>
      <c r="J53" s="1262"/>
      <c r="K53" s="531"/>
      <c r="L53" s="1256"/>
      <c r="M53" s="1256"/>
      <c r="N53" s="1256"/>
      <c r="O53" s="1256"/>
    </row>
    <row r="54" spans="1:15">
      <c r="A54" s="418">
        <v>3</v>
      </c>
      <c r="B54" s="2855" t="s">
        <v>493</v>
      </c>
      <c r="C54" s="530">
        <f t="shared" si="4"/>
        <v>0</v>
      </c>
      <c r="D54" s="530"/>
      <c r="E54" s="533"/>
      <c r="F54" s="530"/>
      <c r="G54" s="530"/>
      <c r="H54" s="446"/>
      <c r="I54" s="446"/>
      <c r="J54" s="1260"/>
      <c r="K54" s="534"/>
      <c r="L54" s="10"/>
      <c r="M54" s="10"/>
      <c r="N54" s="10"/>
      <c r="O54" s="10"/>
    </row>
    <row r="55" spans="1:15">
      <c r="A55" s="418">
        <v>4</v>
      </c>
      <c r="B55" s="2855" t="s">
        <v>494</v>
      </c>
      <c r="C55" s="530">
        <f t="shared" si="4"/>
        <v>0</v>
      </c>
      <c r="D55" s="530"/>
      <c r="E55" s="530"/>
      <c r="F55" s="530"/>
      <c r="G55" s="530"/>
      <c r="H55" s="3711">
        <f>ROUND(SUM(H6,H31),0)</f>
        <v>0</v>
      </c>
      <c r="I55" s="446"/>
      <c r="J55" s="1260"/>
      <c r="K55" s="534"/>
      <c r="L55" s="10"/>
      <c r="M55" s="10"/>
      <c r="N55" s="10"/>
      <c r="O55" s="10"/>
    </row>
    <row r="56" spans="1:15">
      <c r="A56" s="418">
        <v>5</v>
      </c>
      <c r="B56" s="2855" t="s">
        <v>495</v>
      </c>
      <c r="C56" s="530">
        <f t="shared" si="4"/>
        <v>0</v>
      </c>
      <c r="D56" s="530"/>
      <c r="E56" s="530"/>
      <c r="F56" s="530"/>
      <c r="G56" s="530"/>
      <c r="H56" s="446"/>
      <c r="I56" s="446"/>
      <c r="J56" s="1260"/>
      <c r="K56" s="534"/>
      <c r="L56" s="10"/>
      <c r="M56" s="10"/>
      <c r="N56" s="10"/>
      <c r="O56" s="10"/>
    </row>
    <row r="57" spans="1:15">
      <c r="A57" s="418">
        <v>6</v>
      </c>
      <c r="B57" s="2855" t="s">
        <v>496</v>
      </c>
      <c r="C57" s="530">
        <f t="shared" si="4"/>
        <v>0</v>
      </c>
      <c r="D57" s="530"/>
      <c r="E57" s="530"/>
      <c r="F57" s="530"/>
      <c r="G57" s="530"/>
      <c r="H57" s="446"/>
      <c r="I57" s="446"/>
      <c r="J57" s="2856" t="s">
        <v>1394</v>
      </c>
      <c r="K57" s="534"/>
      <c r="L57" s="10"/>
      <c r="M57" s="10"/>
      <c r="N57" s="10"/>
      <c r="O57" s="10"/>
    </row>
    <row r="58" spans="1:15">
      <c r="A58" s="418">
        <v>7</v>
      </c>
      <c r="B58" s="2855" t="s">
        <v>809</v>
      </c>
      <c r="C58" s="530">
        <f t="shared" si="4"/>
        <v>0</v>
      </c>
      <c r="D58" s="530"/>
      <c r="E58" s="530"/>
      <c r="F58" s="530"/>
      <c r="G58" s="530"/>
      <c r="H58" s="446"/>
      <c r="I58" s="446"/>
      <c r="J58" s="1261"/>
      <c r="K58" s="534"/>
      <c r="L58" s="10"/>
      <c r="M58" s="10"/>
      <c r="N58" s="10"/>
      <c r="O58" s="10"/>
    </row>
    <row r="59" spans="1:15">
      <c r="A59" s="418">
        <v>8</v>
      </c>
      <c r="B59" s="2854" t="s">
        <v>810</v>
      </c>
      <c r="C59" s="530">
        <f t="shared" si="4"/>
        <v>0</v>
      </c>
      <c r="D59" s="530"/>
      <c r="E59" s="530"/>
      <c r="F59" s="530"/>
      <c r="G59" s="530"/>
      <c r="H59" s="446"/>
      <c r="I59" s="446"/>
      <c r="J59" s="1261"/>
      <c r="K59" s="534"/>
      <c r="L59" s="10"/>
      <c r="M59" s="10"/>
      <c r="N59" s="10"/>
      <c r="O59" s="10"/>
    </row>
    <row r="60" spans="1:15">
      <c r="A60" s="418">
        <v>9</v>
      </c>
      <c r="B60" s="2854" t="s">
        <v>811</v>
      </c>
      <c r="C60" s="530">
        <f t="shared" si="4"/>
        <v>0</v>
      </c>
      <c r="D60" s="530"/>
      <c r="E60" s="530"/>
      <c r="F60" s="530"/>
      <c r="G60" s="530"/>
      <c r="H60" s="446"/>
      <c r="I60" s="446"/>
      <c r="J60" s="1261"/>
      <c r="K60" s="534"/>
      <c r="L60" s="10"/>
      <c r="M60" s="10"/>
      <c r="N60" s="10"/>
      <c r="O60" s="10"/>
    </row>
    <row r="61" spans="1:15">
      <c r="A61" s="418">
        <v>10</v>
      </c>
      <c r="B61" s="2855" t="s">
        <v>812</v>
      </c>
      <c r="C61" s="530">
        <f t="shared" si="4"/>
        <v>0</v>
      </c>
      <c r="D61" s="530"/>
      <c r="E61" s="530"/>
      <c r="F61" s="530"/>
      <c r="G61" s="530"/>
      <c r="H61" s="446"/>
      <c r="I61" s="446"/>
      <c r="J61" s="1261"/>
      <c r="K61" s="534"/>
      <c r="L61" s="10"/>
      <c r="M61" s="10"/>
      <c r="N61" s="10"/>
      <c r="O61" s="10"/>
    </row>
    <row r="62" spans="1:15">
      <c r="A62" s="418">
        <v>11</v>
      </c>
      <c r="B62" s="2854" t="s">
        <v>813</v>
      </c>
      <c r="C62" s="530">
        <f t="shared" si="4"/>
        <v>0</v>
      </c>
      <c r="D62" s="530"/>
      <c r="E62" s="530"/>
      <c r="F62" s="530"/>
      <c r="G62" s="530"/>
      <c r="H62" s="446"/>
      <c r="I62" s="446"/>
      <c r="J62" s="1261"/>
      <c r="K62" s="534"/>
      <c r="L62" s="10"/>
      <c r="M62" s="10"/>
      <c r="N62" s="10"/>
      <c r="O62" s="10"/>
    </row>
    <row r="63" spans="1:15">
      <c r="A63" s="418" t="s">
        <v>815</v>
      </c>
      <c r="B63" s="2854" t="s">
        <v>814</v>
      </c>
      <c r="C63" s="530">
        <f t="shared" si="4"/>
        <v>0</v>
      </c>
      <c r="D63" s="530"/>
      <c r="E63" s="530"/>
      <c r="F63" s="530"/>
      <c r="G63" s="530"/>
      <c r="H63" s="446"/>
      <c r="I63" s="446"/>
      <c r="J63" s="1261"/>
      <c r="K63" s="534"/>
      <c r="L63" s="10"/>
      <c r="M63" s="10"/>
      <c r="N63" s="10"/>
      <c r="O63" s="10"/>
    </row>
    <row r="64" spans="1:15">
      <c r="A64" s="418" t="s">
        <v>816</v>
      </c>
      <c r="B64" s="2854"/>
      <c r="C64" s="530">
        <f t="shared" si="4"/>
        <v>0</v>
      </c>
      <c r="D64" s="530"/>
      <c r="E64" s="530"/>
      <c r="F64" s="530"/>
      <c r="G64" s="530"/>
      <c r="H64" s="446"/>
      <c r="I64" s="446"/>
      <c r="J64" s="1261"/>
      <c r="K64" s="534"/>
      <c r="L64" s="10"/>
      <c r="M64" s="10"/>
      <c r="N64" s="10"/>
      <c r="O64" s="10"/>
    </row>
    <row r="65" spans="1:15">
      <c r="A65" s="418" t="s">
        <v>817</v>
      </c>
      <c r="B65" s="2854"/>
      <c r="C65" s="530">
        <f t="shared" si="4"/>
        <v>0</v>
      </c>
      <c r="D65" s="530"/>
      <c r="E65" s="530"/>
      <c r="F65" s="530"/>
      <c r="G65" s="530"/>
      <c r="H65" s="446"/>
      <c r="I65" s="446"/>
      <c r="J65" s="1261"/>
      <c r="K65" s="534"/>
      <c r="L65" s="10"/>
      <c r="M65" s="10"/>
      <c r="N65" s="10"/>
      <c r="O65" s="10"/>
    </row>
    <row r="66" spans="1:15">
      <c r="A66" s="418" t="s">
        <v>818</v>
      </c>
      <c r="B66" s="2854"/>
      <c r="C66" s="530">
        <f t="shared" si="4"/>
        <v>0</v>
      </c>
      <c r="D66" s="530"/>
      <c r="E66" s="530"/>
      <c r="F66" s="530"/>
      <c r="G66" s="530"/>
      <c r="H66" s="446"/>
      <c r="I66" s="446"/>
      <c r="J66" s="1261"/>
      <c r="K66" s="534"/>
      <c r="L66" s="10"/>
      <c r="M66" s="10"/>
      <c r="N66" s="10"/>
      <c r="O66" s="10"/>
    </row>
    <row r="67" spans="1:15">
      <c r="A67" s="418">
        <v>13</v>
      </c>
      <c r="B67" s="2854" t="s">
        <v>819</v>
      </c>
      <c r="C67" s="530">
        <f t="shared" si="4"/>
        <v>0</v>
      </c>
      <c r="D67" s="530"/>
      <c r="E67" s="530"/>
      <c r="F67" s="530"/>
      <c r="G67" s="530"/>
      <c r="H67" s="446"/>
      <c r="I67" s="446"/>
      <c r="J67" s="1261"/>
      <c r="K67" s="534"/>
      <c r="L67" s="10"/>
      <c r="M67" s="10"/>
      <c r="N67" s="10"/>
      <c r="O67" s="10"/>
    </row>
    <row r="68" spans="1:15">
      <c r="A68" s="418">
        <v>14</v>
      </c>
      <c r="B68" s="2854" t="s">
        <v>645</v>
      </c>
      <c r="C68" s="530">
        <f t="shared" si="4"/>
        <v>0</v>
      </c>
      <c r="D68" s="530"/>
      <c r="E68" s="530"/>
      <c r="F68" s="530"/>
      <c r="G68" s="530"/>
      <c r="H68" s="446"/>
      <c r="I68" s="446"/>
      <c r="J68" s="1261"/>
      <c r="K68" s="534"/>
      <c r="L68" s="10"/>
      <c r="M68" s="10"/>
      <c r="N68" s="10"/>
      <c r="O68" s="10"/>
    </row>
    <row r="69" spans="1:15">
      <c r="A69" s="418">
        <v>16</v>
      </c>
      <c r="B69" s="2854" t="s">
        <v>820</v>
      </c>
      <c r="C69" s="530">
        <f t="shared" si="4"/>
        <v>0</v>
      </c>
      <c r="D69" s="530"/>
      <c r="E69" s="530"/>
      <c r="F69" s="530"/>
      <c r="G69" s="530"/>
      <c r="H69" s="446"/>
      <c r="I69" s="446"/>
      <c r="J69" s="1261"/>
      <c r="K69" s="534"/>
      <c r="L69" s="10"/>
      <c r="M69" s="10"/>
      <c r="N69" s="10"/>
      <c r="O69" s="10"/>
    </row>
    <row r="70" spans="1:15">
      <c r="A70" s="418">
        <v>17</v>
      </c>
      <c r="B70" s="2855" t="s">
        <v>305</v>
      </c>
      <c r="C70" s="530">
        <f t="shared" si="4"/>
        <v>0</v>
      </c>
      <c r="D70" s="530"/>
      <c r="E70" s="530"/>
      <c r="F70" s="530"/>
      <c r="G70" s="530"/>
      <c r="H70" s="446"/>
      <c r="I70" s="446"/>
      <c r="J70" s="1260"/>
      <c r="K70" s="534"/>
      <c r="L70" s="10"/>
      <c r="M70" s="10"/>
      <c r="N70" s="10"/>
      <c r="O70" s="10"/>
    </row>
    <row r="71" spans="1:15">
      <c r="A71" s="418">
        <v>18</v>
      </c>
      <c r="B71" s="2854" t="s">
        <v>821</v>
      </c>
      <c r="C71" s="530">
        <f t="shared" si="4"/>
        <v>0</v>
      </c>
      <c r="D71" s="530"/>
      <c r="E71" s="530"/>
      <c r="F71" s="530"/>
      <c r="G71" s="530"/>
      <c r="H71" s="446"/>
      <c r="I71" s="446"/>
      <c r="J71" s="1260"/>
      <c r="K71" s="534"/>
      <c r="L71" s="10"/>
      <c r="M71" s="10"/>
      <c r="N71" s="10"/>
      <c r="O71" s="10"/>
    </row>
    <row r="72" spans="1:15">
      <c r="A72" s="418">
        <v>19</v>
      </c>
      <c r="B72" s="2899" t="s">
        <v>798</v>
      </c>
      <c r="C72" s="3727">
        <f t="shared" si="4"/>
        <v>0</v>
      </c>
      <c r="D72" s="571"/>
      <c r="E72" s="571"/>
      <c r="F72" s="571"/>
      <c r="G72" s="571"/>
      <c r="H72" s="536"/>
      <c r="I72" s="425"/>
      <c r="J72" s="1261"/>
      <c r="K72" s="534"/>
      <c r="L72" s="10"/>
      <c r="M72" s="10"/>
      <c r="N72" s="10"/>
      <c r="O72" s="10"/>
    </row>
    <row r="73" spans="1:15" ht="26.25" customHeight="1">
      <c r="A73" s="452"/>
      <c r="B73" s="389"/>
      <c r="C73" s="389"/>
      <c r="D73" s="389"/>
      <c r="E73" s="389"/>
      <c r="F73" s="389"/>
      <c r="G73" s="389"/>
      <c r="H73" s="389"/>
    </row>
  </sheetData>
  <sheetProtection password="F07E" sheet="1" objects="1" scenarios="1"/>
  <phoneticPr fontId="12" type="noConversion"/>
  <conditionalFormatting sqref="C3:F23">
    <cfRule type="expression" dxfId="1963" priority="10">
      <formula>IF(NoColor,1,0)</formula>
    </cfRule>
  </conditionalFormatting>
  <conditionalFormatting sqref="C28:F32 C43:F48 D41:F42 C34:F40">
    <cfRule type="expression" dxfId="1962" priority="9">
      <formula>IF(NoColor,1,0)</formula>
    </cfRule>
  </conditionalFormatting>
  <conditionalFormatting sqref="C2:F2">
    <cfRule type="expression" dxfId="1961" priority="8">
      <formula>IF(NoColor,1,0)</formula>
    </cfRule>
  </conditionalFormatting>
  <conditionalFormatting sqref="D27:F27">
    <cfRule type="expression" dxfId="1960" priority="7">
      <formula>IF(NoColor,1,0)</formula>
    </cfRule>
  </conditionalFormatting>
  <conditionalFormatting sqref="C27">
    <cfRule type="expression" dxfId="1959" priority="6">
      <formula>IF(NoColor,1,0)</formula>
    </cfRule>
  </conditionalFormatting>
  <conditionalFormatting sqref="C33:F33">
    <cfRule type="expression" dxfId="1958" priority="5">
      <formula>IF(NoColor,1,0)</formula>
    </cfRule>
  </conditionalFormatting>
  <conditionalFormatting sqref="C41">
    <cfRule type="expression" dxfId="1957" priority="2">
      <formula>IF(NoColor,1,0)</formula>
    </cfRule>
  </conditionalFormatting>
  <conditionalFormatting sqref="C42">
    <cfRule type="expression" dxfId="1956" priority="1">
      <formula>IF(NoColor,1,0)</formula>
    </cfRule>
  </conditionalFormatting>
  <printOptions gridLines="1" gridLinesSet="0"/>
  <pageMargins left="0.75" right="0.75" top="1" bottom="1" header="0.5" footer="0.5"/>
  <pageSetup scale="89" fitToHeight="0" orientation="landscape" horizontalDpi="360" verticalDpi="360" r:id="rId1"/>
  <headerFooter alignWithMargins="0">
    <oddHeader>&amp;A</oddHeader>
    <oddFooter>Page &amp;P</oddFooter>
  </headerFooter>
  <rowBreaks count="2" manualBreakCount="2">
    <brk id="23" min="1" max="7" man="1"/>
    <brk id="48" min="1" max="7"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S112"/>
  <sheetViews>
    <sheetView zoomScaleNormal="100" workbookViewId="0">
      <selection activeCell="H16" sqref="H16:I16"/>
    </sheetView>
  </sheetViews>
  <sheetFormatPr defaultRowHeight="12.75"/>
  <cols>
    <col min="1" max="1" width="3.140625" customWidth="1"/>
    <col min="2" max="2" width="3.5703125" customWidth="1"/>
    <col min="3" max="3" width="2.5703125" customWidth="1"/>
    <col min="4" max="4" width="3" customWidth="1"/>
    <col min="5" max="5" width="13.42578125" customWidth="1"/>
    <col min="6" max="6" width="10.42578125" customWidth="1"/>
    <col min="7" max="7" width="15.5703125" customWidth="1"/>
    <col min="8" max="8" width="8.5703125" customWidth="1"/>
    <col min="9" max="9" width="5.140625" customWidth="1"/>
    <col min="10" max="10" width="16" customWidth="1"/>
    <col min="11" max="11" width="2.42578125" customWidth="1"/>
    <col min="12" max="12" width="10.5703125" customWidth="1"/>
    <col min="13" max="13" width="4.140625" customWidth="1"/>
    <col min="14" max="14" width="3.5703125" customWidth="1"/>
    <col min="15" max="15" width="13.28515625" customWidth="1"/>
    <col min="16" max="16" width="1.42578125" customWidth="1"/>
    <col min="17" max="17" width="0.85546875" style="5" customWidth="1"/>
    <col min="18" max="18" width="13.28515625" customWidth="1"/>
    <col min="19" max="19" width="1.5703125" customWidth="1"/>
    <col min="20" max="23" width="15.140625" customWidth="1"/>
    <col min="24" max="25" width="4.28515625" customWidth="1"/>
    <col min="26" max="29" width="7.7109375" style="4" hidden="1" customWidth="1"/>
    <col min="30" max="30" width="4.28515625" hidden="1" customWidth="1"/>
    <col min="31" max="33" width="7.7109375" style="4" hidden="1" customWidth="1"/>
    <col min="34" max="34" width="4.28515625" hidden="1" customWidth="1"/>
    <col min="35" max="37" width="7.7109375" style="4" hidden="1" customWidth="1"/>
    <col min="38" max="38" width="4.28515625" hidden="1" customWidth="1"/>
    <col min="39" max="41" width="7.7109375" style="4" hidden="1" customWidth="1"/>
    <col min="42" max="42" width="4.28515625" hidden="1" customWidth="1"/>
    <col min="43" max="45" width="7.7109375" style="4" hidden="1" customWidth="1"/>
  </cols>
  <sheetData>
    <row r="1" spans="1:45" ht="11.25" customHeight="1">
      <c r="A1" s="112"/>
      <c r="B1" s="112"/>
      <c r="C1" s="112"/>
      <c r="D1" s="112"/>
      <c r="E1" s="112"/>
      <c r="F1" s="112"/>
      <c r="G1" s="112"/>
      <c r="H1" s="112"/>
      <c r="I1" s="112"/>
      <c r="J1" s="112"/>
      <c r="K1" s="112"/>
      <c r="L1" s="112"/>
      <c r="M1" s="112"/>
      <c r="N1" s="112"/>
      <c r="O1" s="112"/>
      <c r="P1" s="112"/>
      <c r="Q1" s="2431"/>
      <c r="R1" s="112"/>
      <c r="S1" s="112"/>
    </row>
    <row r="2" spans="1:45" ht="12.75" customHeight="1">
      <c r="A2" s="112"/>
      <c r="B2" s="1434" t="s">
        <v>643</v>
      </c>
      <c r="C2" s="885"/>
      <c r="D2" s="229"/>
      <c r="E2" s="222"/>
      <c r="F2" s="5261" t="s">
        <v>644</v>
      </c>
      <c r="G2" s="5262"/>
      <c r="H2" s="5262"/>
      <c r="I2" s="5262"/>
      <c r="J2" s="5262"/>
      <c r="K2" s="5262"/>
      <c r="L2" s="5263"/>
      <c r="M2" s="5272" t="s">
        <v>143</v>
      </c>
      <c r="N2" s="4721"/>
      <c r="O2" s="4721"/>
      <c r="P2" s="1671"/>
      <c r="Q2" s="2432"/>
      <c r="R2" s="1703" t="s">
        <v>149</v>
      </c>
      <c r="S2" s="112"/>
      <c r="T2" s="11"/>
      <c r="U2" s="11"/>
      <c r="V2" s="11"/>
      <c r="W2" s="306"/>
      <c r="X2" s="334"/>
      <c r="Z2" s="760"/>
      <c r="AA2" s="305"/>
      <c r="AB2" s="305"/>
      <c r="AE2" s="760"/>
      <c r="AF2" s="305"/>
      <c r="AG2" s="305"/>
      <c r="AI2" s="760"/>
      <c r="AJ2" s="305"/>
      <c r="AK2" s="305"/>
      <c r="AM2" s="760"/>
      <c r="AN2" s="305"/>
      <c r="AO2" s="305"/>
      <c r="AQ2" s="760"/>
      <c r="AR2" s="305"/>
      <c r="AS2" s="305"/>
    </row>
    <row r="3" spans="1:45" ht="14.25" customHeight="1">
      <c r="A3" s="112"/>
      <c r="B3" s="1434" t="s">
        <v>292</v>
      </c>
      <c r="C3" s="885"/>
      <c r="D3" s="229"/>
      <c r="E3" s="222"/>
      <c r="F3" s="5264"/>
      <c r="G3" s="5265"/>
      <c r="H3" s="5265"/>
      <c r="I3" s="5265"/>
      <c r="J3" s="5265"/>
      <c r="K3" s="5265"/>
      <c r="L3" s="5266"/>
      <c r="M3" s="5278">
        <f>TaxYear</f>
        <v>2016</v>
      </c>
      <c r="N3" s="5279"/>
      <c r="O3" s="5279"/>
      <c r="P3" s="85"/>
      <c r="Q3" s="2433"/>
      <c r="R3" s="1703" t="s">
        <v>661</v>
      </c>
      <c r="S3" s="112"/>
      <c r="T3" s="335"/>
      <c r="U3" s="335"/>
      <c r="V3" s="335"/>
      <c r="W3" s="336"/>
      <c r="X3" s="334"/>
      <c r="Z3" s="760"/>
      <c r="AA3" s="305"/>
      <c r="AB3" s="305"/>
      <c r="AE3" s="760"/>
      <c r="AF3" s="305"/>
      <c r="AG3" s="305"/>
      <c r="AI3" s="760"/>
      <c r="AJ3" s="305"/>
      <c r="AK3" s="305"/>
      <c r="AM3" s="760"/>
      <c r="AN3" s="305"/>
      <c r="AO3" s="305"/>
      <c r="AQ3" s="760"/>
      <c r="AR3" s="305"/>
      <c r="AS3" s="305"/>
    </row>
    <row r="4" spans="1:45" ht="14.25" customHeight="1">
      <c r="A4" s="112"/>
      <c r="B4" s="1434"/>
      <c r="C4" s="885"/>
      <c r="D4" s="222"/>
      <c r="E4" s="229"/>
      <c r="F4" s="5192" t="s">
        <v>1592</v>
      </c>
      <c r="G4" s="4724"/>
      <c r="H4" s="4724"/>
      <c r="I4" s="4724"/>
      <c r="J4" s="4724"/>
      <c r="K4" s="4724"/>
      <c r="L4" s="4946"/>
      <c r="M4" s="5280"/>
      <c r="N4" s="5281"/>
      <c r="O4" s="5281"/>
      <c r="P4" s="85"/>
      <c r="Q4" s="2433"/>
      <c r="R4" s="112"/>
      <c r="S4" s="112"/>
      <c r="T4" s="335"/>
      <c r="U4" s="335"/>
      <c r="V4" s="335"/>
      <c r="W4" s="336"/>
      <c r="X4" s="334"/>
      <c r="Z4" s="760"/>
      <c r="AA4" s="305"/>
      <c r="AB4" s="305"/>
      <c r="AE4" s="760"/>
      <c r="AF4" s="305"/>
      <c r="AG4" s="305"/>
      <c r="AI4" s="760"/>
      <c r="AJ4" s="305"/>
      <c r="AK4" s="305"/>
      <c r="AM4" s="760"/>
      <c r="AN4" s="305"/>
      <c r="AO4" s="305"/>
      <c r="AQ4" s="760"/>
      <c r="AR4" s="305"/>
      <c r="AS4" s="305"/>
    </row>
    <row r="5" spans="1:45" ht="12.75" customHeight="1">
      <c r="A5" s="112"/>
      <c r="B5" s="32" t="s">
        <v>293</v>
      </c>
      <c r="C5" s="32"/>
      <c r="D5" s="229"/>
      <c r="E5" s="222"/>
      <c r="F5" s="5192" t="s">
        <v>1591</v>
      </c>
      <c r="G5" s="4724"/>
      <c r="H5" s="4724"/>
      <c r="I5" s="4724"/>
      <c r="J5" s="4724"/>
      <c r="K5" s="4724"/>
      <c r="L5" s="4946"/>
      <c r="M5" s="5282" t="s">
        <v>1419</v>
      </c>
      <c r="N5" s="4979"/>
      <c r="O5" s="4979"/>
      <c r="P5" s="45"/>
      <c r="Q5" s="2434"/>
      <c r="R5" s="112"/>
      <c r="S5" s="112"/>
      <c r="T5" s="335"/>
      <c r="U5" s="335"/>
      <c r="V5" s="335"/>
      <c r="W5" s="336"/>
      <c r="X5" s="334"/>
      <c r="Z5" s="760"/>
      <c r="AA5" s="305"/>
      <c r="AB5" s="305"/>
      <c r="AE5" s="760"/>
      <c r="AF5" s="305"/>
      <c r="AG5" s="305"/>
      <c r="AI5" s="760"/>
      <c r="AJ5" s="305"/>
      <c r="AK5" s="305"/>
      <c r="AM5" s="760"/>
      <c r="AN5" s="305"/>
      <c r="AO5" s="305"/>
      <c r="AQ5" s="760"/>
      <c r="AR5" s="305"/>
      <c r="AS5" s="305"/>
    </row>
    <row r="6" spans="1:45" ht="13.5" customHeight="1" thickBot="1">
      <c r="A6" s="112"/>
      <c r="B6" s="1641" t="s">
        <v>364</v>
      </c>
      <c r="C6" s="219"/>
      <c r="D6" s="354"/>
      <c r="E6" s="321"/>
      <c r="F6" s="1640" t="s">
        <v>1590</v>
      </c>
      <c r="G6" s="1197"/>
      <c r="H6" s="1198"/>
      <c r="I6" s="1198"/>
      <c r="J6" s="1199"/>
      <c r="K6" s="1200"/>
      <c r="L6" s="1200"/>
      <c r="M6" s="5283"/>
      <c r="N6" s="5284"/>
      <c r="O6" s="5284"/>
      <c r="P6" s="1672"/>
      <c r="Q6" s="2435"/>
      <c r="R6" s="112"/>
      <c r="S6" s="112"/>
      <c r="T6" s="11"/>
      <c r="U6" s="11"/>
      <c r="V6" s="11"/>
      <c r="W6" s="306"/>
      <c r="X6" s="334"/>
      <c r="Z6" s="760"/>
      <c r="AA6" s="305"/>
      <c r="AB6" s="305"/>
      <c r="AE6" s="760"/>
      <c r="AF6" s="305"/>
      <c r="AG6" s="305"/>
      <c r="AI6" s="760"/>
      <c r="AJ6" s="305"/>
      <c r="AK6" s="305"/>
      <c r="AM6" s="760"/>
      <c r="AN6" s="305"/>
      <c r="AO6" s="305"/>
      <c r="AQ6" s="760"/>
      <c r="AR6" s="305"/>
      <c r="AS6" s="305"/>
    </row>
    <row r="7" spans="1:45" ht="11.25" customHeight="1">
      <c r="A7" s="112"/>
      <c r="B7" s="32" t="s">
        <v>147</v>
      </c>
      <c r="C7" s="32"/>
      <c r="D7" s="222"/>
      <c r="E7" s="222"/>
      <c r="F7" s="222"/>
      <c r="G7" s="189"/>
      <c r="H7" s="191"/>
      <c r="I7" s="191"/>
      <c r="J7" s="205"/>
      <c r="K7" s="191"/>
      <c r="L7" s="5267" t="s">
        <v>148</v>
      </c>
      <c r="M7" s="5268"/>
      <c r="N7" s="5268"/>
      <c r="O7" s="5268"/>
      <c r="P7" s="51"/>
      <c r="Q7" s="2436"/>
      <c r="R7" s="112"/>
      <c r="S7" s="112"/>
      <c r="T7" s="11"/>
      <c r="U7" s="11"/>
      <c r="V7" s="306"/>
      <c r="W7" s="334"/>
      <c r="X7" s="306"/>
      <c r="Z7" s="305"/>
      <c r="AA7" s="305"/>
      <c r="AB7" s="305"/>
      <c r="AE7" s="305"/>
      <c r="AF7" s="305"/>
      <c r="AG7" s="305"/>
      <c r="AI7" s="305"/>
      <c r="AJ7" s="305"/>
      <c r="AK7" s="305"/>
      <c r="AM7" s="305"/>
      <c r="AN7" s="305"/>
      <c r="AO7" s="305"/>
      <c r="AQ7" s="305"/>
      <c r="AR7" s="305"/>
      <c r="AS7" s="305"/>
    </row>
    <row r="8" spans="1:45" ht="14.25" customHeight="1">
      <c r="A8" s="112"/>
      <c r="B8" s="2672" t="str">
        <f>Names</f>
        <v/>
      </c>
      <c r="C8" s="2673"/>
      <c r="D8" s="2674"/>
      <c r="E8" s="2674"/>
      <c r="F8" s="2674"/>
      <c r="G8" s="2675"/>
      <c r="H8" s="2676"/>
      <c r="I8" s="2676"/>
      <c r="J8" s="2677"/>
      <c r="K8" s="2676"/>
      <c r="L8" s="5269">
        <f>SS_Yours</f>
        <v>0</v>
      </c>
      <c r="M8" s="5270"/>
      <c r="N8" s="5271"/>
      <c r="O8" s="5271"/>
      <c r="P8" s="1646"/>
      <c r="Q8" s="2437"/>
      <c r="R8" s="112"/>
      <c r="S8" s="112"/>
      <c r="T8" s="11"/>
      <c r="U8" s="11"/>
      <c r="V8" s="306"/>
      <c r="W8" s="334"/>
      <c r="X8" s="306"/>
      <c r="Z8" s="5235" t="s">
        <v>1553</v>
      </c>
      <c r="AA8" s="5235"/>
      <c r="AB8" s="5235"/>
      <c r="AC8" s="4962"/>
      <c r="AE8" s="5235" t="s">
        <v>1549</v>
      </c>
      <c r="AF8" s="5235"/>
      <c r="AG8" s="5235"/>
      <c r="AI8" s="5235" t="s">
        <v>1550</v>
      </c>
      <c r="AJ8" s="5236"/>
      <c r="AK8" s="5236"/>
      <c r="AM8" s="5235" t="s">
        <v>1551</v>
      </c>
      <c r="AN8" s="5236"/>
      <c r="AO8" s="5236"/>
      <c r="AQ8" s="5235" t="s">
        <v>1552</v>
      </c>
      <c r="AR8" s="5236"/>
      <c r="AS8" s="5236"/>
    </row>
    <row r="9" spans="1:45" ht="15">
      <c r="A9" s="112"/>
      <c r="B9" s="751" t="s">
        <v>525</v>
      </c>
      <c r="C9" s="909"/>
      <c r="D9" s="290"/>
      <c r="E9" s="290" t="s">
        <v>720</v>
      </c>
      <c r="F9" s="290"/>
      <c r="G9" s="241"/>
      <c r="H9" s="290" t="str">
        <f>"-–  Assets Held One Year or Less"</f>
        <v>-–  Assets Held One Year or Less</v>
      </c>
      <c r="I9" s="767"/>
      <c r="J9" s="290"/>
      <c r="K9" s="242"/>
      <c r="L9" s="242"/>
      <c r="M9" s="242"/>
      <c r="N9" s="242"/>
      <c r="O9" s="242"/>
      <c r="P9" s="1673"/>
      <c r="Q9" s="2438"/>
      <c r="R9" s="112"/>
      <c r="S9" s="112"/>
      <c r="T9" s="112"/>
      <c r="U9" s="112"/>
      <c r="V9" s="112"/>
      <c r="W9" s="112"/>
      <c r="X9" s="1703"/>
      <c r="Z9" s="305"/>
      <c r="AA9" s="305"/>
      <c r="AB9" s="305"/>
      <c r="AE9" s="305"/>
      <c r="AF9" s="305"/>
      <c r="AG9" s="305"/>
      <c r="AI9" s="305"/>
      <c r="AJ9" s="305"/>
      <c r="AK9" s="305"/>
      <c r="AM9" s="305"/>
      <c r="AN9" s="305"/>
      <c r="AO9" s="305"/>
      <c r="AQ9" s="305"/>
      <c r="AR9" s="305"/>
      <c r="AS9" s="305"/>
    </row>
    <row r="10" spans="1:45" ht="16.5" customHeight="1">
      <c r="A10" s="112"/>
      <c r="B10" s="5202" t="s">
        <v>1593</v>
      </c>
      <c r="C10" s="5011"/>
      <c r="D10" s="5011"/>
      <c r="E10" s="5011"/>
      <c r="F10" s="5011"/>
      <c r="G10" s="5012"/>
      <c r="H10" s="5208" t="s">
        <v>3178</v>
      </c>
      <c r="I10" s="5209"/>
      <c r="J10" s="5214" t="s">
        <v>3180</v>
      </c>
      <c r="K10" s="5217" t="s">
        <v>3181</v>
      </c>
      <c r="L10" s="5218"/>
      <c r="M10" s="5285"/>
      <c r="N10" s="5217" t="s">
        <v>3019</v>
      </c>
      <c r="O10" s="5273"/>
      <c r="P10" s="1674"/>
      <c r="Q10" s="2439"/>
      <c r="R10" s="112"/>
      <c r="S10" s="112"/>
      <c r="T10" s="5292" t="s">
        <v>1421</v>
      </c>
      <c r="U10" s="5249" t="s">
        <v>2443</v>
      </c>
      <c r="V10" s="5214" t="s">
        <v>1420</v>
      </c>
      <c r="W10" s="5214" t="s">
        <v>3019</v>
      </c>
      <c r="X10" s="1703"/>
      <c r="Z10" s="305"/>
      <c r="AA10" s="305"/>
      <c r="AB10" s="305"/>
      <c r="AE10" s="305"/>
      <c r="AF10" s="305"/>
      <c r="AG10" s="305"/>
      <c r="AI10" s="305"/>
      <c r="AJ10" s="305"/>
      <c r="AK10" s="305"/>
      <c r="AM10" s="305"/>
      <c r="AN10" s="305"/>
      <c r="AO10" s="305"/>
      <c r="AQ10" s="305"/>
      <c r="AR10" s="305"/>
      <c r="AS10" s="305"/>
    </row>
    <row r="11" spans="1:45" ht="16.5" customHeight="1">
      <c r="A11" s="112"/>
      <c r="B11" s="5203"/>
      <c r="C11" s="4773"/>
      <c r="D11" s="4773"/>
      <c r="E11" s="4773"/>
      <c r="F11" s="4773"/>
      <c r="G11" s="5204"/>
      <c r="H11" s="5210"/>
      <c r="I11" s="5211"/>
      <c r="J11" s="5215"/>
      <c r="K11" s="5286"/>
      <c r="L11" s="5287"/>
      <c r="M11" s="5288"/>
      <c r="N11" s="5274"/>
      <c r="O11" s="5275"/>
      <c r="P11" s="1675"/>
      <c r="Q11" s="2440"/>
      <c r="R11" s="1703" t="s">
        <v>1151</v>
      </c>
      <c r="S11" s="112"/>
      <c r="T11" s="5293"/>
      <c r="U11" s="5250"/>
      <c r="V11" s="5259"/>
      <c r="W11" s="5259"/>
      <c r="X11" s="1703"/>
      <c r="Z11" s="305"/>
      <c r="AA11" s="305"/>
      <c r="AB11" s="305"/>
      <c r="AE11" s="305"/>
      <c r="AF11" s="305"/>
      <c r="AG11" s="305"/>
      <c r="AI11" s="305"/>
      <c r="AJ11" s="305"/>
      <c r="AK11" s="305"/>
      <c r="AM11" s="305"/>
      <c r="AN11" s="305"/>
      <c r="AO11" s="305"/>
      <c r="AQ11" s="305"/>
      <c r="AR11" s="305"/>
      <c r="AS11" s="305"/>
    </row>
    <row r="12" spans="1:45" ht="16.5" customHeight="1">
      <c r="A12" s="112"/>
      <c r="B12" s="5205"/>
      <c r="C12" s="5206"/>
      <c r="D12" s="5206"/>
      <c r="E12" s="5206"/>
      <c r="F12" s="5206"/>
      <c r="G12" s="5207"/>
      <c r="H12" s="5212"/>
      <c r="I12" s="5213"/>
      <c r="J12" s="5216"/>
      <c r="K12" s="5289"/>
      <c r="L12" s="5290"/>
      <c r="M12" s="5291"/>
      <c r="N12" s="5276"/>
      <c r="O12" s="5277"/>
      <c r="P12" s="1676"/>
      <c r="Q12" s="2441"/>
      <c r="R12" s="112"/>
      <c r="S12" s="112"/>
      <c r="T12" s="5294"/>
      <c r="U12" s="5251"/>
      <c r="V12" s="5260"/>
      <c r="W12" s="5260"/>
      <c r="X12" s="1703"/>
      <c r="Z12" s="338" t="s">
        <v>1546</v>
      </c>
      <c r="AA12" s="338" t="s">
        <v>1547</v>
      </c>
      <c r="AB12" s="338" t="s">
        <v>1548</v>
      </c>
      <c r="AE12" s="338" t="s">
        <v>1546</v>
      </c>
      <c r="AF12" s="338" t="s">
        <v>1547</v>
      </c>
      <c r="AG12" s="338" t="s">
        <v>1548</v>
      </c>
      <c r="AI12" s="338" t="s">
        <v>1546</v>
      </c>
      <c r="AJ12" s="338" t="s">
        <v>1547</v>
      </c>
      <c r="AK12" s="338" t="s">
        <v>1548</v>
      </c>
      <c r="AM12" s="338" t="s">
        <v>1546</v>
      </c>
      <c r="AN12" s="338" t="s">
        <v>1547</v>
      </c>
      <c r="AO12" s="338" t="s">
        <v>1548</v>
      </c>
      <c r="AQ12" s="338" t="s">
        <v>1546</v>
      </c>
      <c r="AR12" s="338" t="s">
        <v>1547</v>
      </c>
      <c r="AS12" s="338" t="s">
        <v>1548</v>
      </c>
    </row>
    <row r="13" spans="1:45" ht="46.5" customHeight="1">
      <c r="A13" s="112"/>
      <c r="B13" s="2426" t="s">
        <v>18</v>
      </c>
      <c r="C13" s="5227" t="s">
        <v>1598</v>
      </c>
      <c r="D13" s="5228"/>
      <c r="E13" s="5228"/>
      <c r="F13" s="5228"/>
      <c r="G13" s="5229"/>
      <c r="H13" s="2661"/>
      <c r="I13" s="2662"/>
      <c r="J13" s="2663"/>
      <c r="K13" s="2668"/>
      <c r="L13" s="2669"/>
      <c r="M13" s="2670"/>
      <c r="N13" s="2664"/>
      <c r="O13" s="2665"/>
      <c r="P13" s="1676"/>
      <c r="Q13" s="2441"/>
      <c r="R13" s="112"/>
      <c r="S13" s="112"/>
      <c r="T13" s="2643"/>
      <c r="U13" s="2642"/>
      <c r="V13" s="2666"/>
      <c r="W13" s="2641"/>
      <c r="X13" s="1703"/>
      <c r="Z13" s="338"/>
      <c r="AA13" s="338"/>
      <c r="AB13" s="338"/>
      <c r="AE13" s="338"/>
      <c r="AF13" s="338"/>
      <c r="AG13" s="338"/>
      <c r="AI13" s="338"/>
      <c r="AJ13" s="338"/>
      <c r="AK13" s="338"/>
      <c r="AM13" s="338"/>
      <c r="AN13" s="338"/>
      <c r="AO13" s="338"/>
      <c r="AQ13" s="338"/>
      <c r="AR13" s="338"/>
      <c r="AS13" s="338"/>
    </row>
    <row r="14" spans="1:45" ht="15.75" customHeight="1">
      <c r="A14" s="112"/>
      <c r="B14" s="2660"/>
      <c r="C14" s="5115"/>
      <c r="D14" s="5115"/>
      <c r="E14" s="5115"/>
      <c r="F14" s="5115"/>
      <c r="G14" s="5116"/>
      <c r="H14" s="5132"/>
      <c r="I14" s="5188"/>
      <c r="J14" s="2429"/>
      <c r="K14" s="5189"/>
      <c r="L14" s="5190"/>
      <c r="M14" s="5191"/>
      <c r="N14" s="5121" t="str">
        <f>IF(W14&lt;&gt;"",W14,IF(OR(H14&lt;&gt;"",J14&lt;&gt;""),ROUND(SUM(H14,-J14),0),""))</f>
        <v/>
      </c>
      <c r="O14" s="5122"/>
      <c r="P14" s="1676"/>
      <c r="Q14" s="2441"/>
      <c r="R14" s="112"/>
      <c r="S14" s="112"/>
      <c r="T14" s="2643" t="str">
        <f>"---"</f>
        <v>---</v>
      </c>
      <c r="U14" s="2643" t="str">
        <f>"---"</f>
        <v>---</v>
      </c>
      <c r="V14" s="2667"/>
      <c r="W14" s="2428"/>
      <c r="X14" s="1703"/>
      <c r="Z14" s="338"/>
      <c r="AA14" s="338"/>
      <c r="AB14" s="338"/>
      <c r="AE14" s="338"/>
      <c r="AF14" s="338"/>
      <c r="AG14" s="338"/>
      <c r="AI14" s="338"/>
      <c r="AJ14" s="338"/>
      <c r="AK14" s="338"/>
      <c r="AM14" s="338"/>
      <c r="AN14" s="338"/>
      <c r="AO14" s="338"/>
      <c r="AQ14" s="338"/>
      <c r="AR14" s="338"/>
      <c r="AS14" s="338"/>
    </row>
    <row r="15" spans="1:45" ht="12.75" customHeight="1">
      <c r="A15" s="112"/>
      <c r="B15" s="2426" t="s">
        <v>21</v>
      </c>
      <c r="C15" s="5197" t="s">
        <v>1594</v>
      </c>
      <c r="D15" s="5198"/>
      <c r="E15" s="5198"/>
      <c r="F15" s="5198"/>
      <c r="G15" s="5199"/>
      <c r="H15" s="5193">
        <f>SUM(AE16:AG16)</f>
        <v>0</v>
      </c>
      <c r="I15" s="5194"/>
      <c r="J15" s="2578">
        <f>SUM(AI16:AK16)</f>
        <v>0</v>
      </c>
      <c r="K15" s="5193">
        <f>SUM(AM16:AO16)</f>
        <v>0</v>
      </c>
      <c r="L15" s="5195"/>
      <c r="M15" s="5196"/>
      <c r="N15" s="5193">
        <f>SUM(AQ16:AS16)</f>
        <v>0</v>
      </c>
      <c r="O15" s="5195"/>
      <c r="P15" s="1677"/>
      <c r="Q15" s="2442"/>
      <c r="R15" s="112"/>
      <c r="S15" s="112"/>
      <c r="T15" s="2586"/>
      <c r="U15" s="2587"/>
      <c r="V15" s="2588"/>
      <c r="W15" s="2586"/>
      <c r="X15" s="1703"/>
      <c r="Z15" s="305"/>
      <c r="AA15" s="305"/>
      <c r="AB15" s="305"/>
      <c r="AE15" s="305"/>
      <c r="AF15" s="305"/>
      <c r="AG15" s="305"/>
      <c r="AI15" s="305"/>
      <c r="AJ15" s="305"/>
      <c r="AK15" s="305"/>
      <c r="AM15" s="305"/>
      <c r="AN15" s="305"/>
      <c r="AO15" s="305"/>
      <c r="AQ15" s="305"/>
      <c r="AR15" s="305"/>
      <c r="AS15" s="305"/>
    </row>
    <row r="16" spans="1:45" ht="13.5" customHeight="1">
      <c r="A16" s="112"/>
      <c r="B16" s="2427"/>
      <c r="C16" s="5200"/>
      <c r="D16" s="5200"/>
      <c r="E16" s="5200"/>
      <c r="F16" s="5200"/>
      <c r="G16" s="5201"/>
      <c r="H16" s="5121" t="str">
        <f>IF(T16&lt;&gt;"",T16,IF($AC16,ROUND(H15,0),""))</f>
        <v/>
      </c>
      <c r="I16" s="5226"/>
      <c r="J16" s="2671" t="str">
        <f>IF(U16&lt;&gt;"",U16,IF($AC16,ROUND(J15,0),""))</f>
        <v/>
      </c>
      <c r="K16" s="5121" t="str">
        <f>IF(V16&lt;&gt;"",V16,IF($AC16,ROUND(K15,0),""))</f>
        <v/>
      </c>
      <c r="L16" s="5122"/>
      <c r="M16" s="5226"/>
      <c r="N16" s="5121" t="str">
        <f>IF(W16&lt;&gt;"",W16,IF($AC16,ROUND(N15,0),""))</f>
        <v/>
      </c>
      <c r="O16" s="5122"/>
      <c r="P16" s="1677"/>
      <c r="Q16" s="2442"/>
      <c r="R16" s="112"/>
      <c r="S16" s="112"/>
      <c r="T16" s="2428"/>
      <c r="U16" s="2429"/>
      <c r="V16" s="2430"/>
      <c r="W16" s="2428"/>
      <c r="X16" s="1703"/>
      <c r="Z16" s="305">
        <f>IF(F8949ASBOXA&lt;&gt;"",F8949AST,0)</f>
        <v>0</v>
      </c>
      <c r="AA16" s="305">
        <f>IF(F8949BSBOXA&lt;&gt;"",F8949BST,0)</f>
        <v>0</v>
      </c>
      <c r="AB16" s="305">
        <f>IF(F8949CSBOXA&lt;&gt;"",F8949CST,0)</f>
        <v>0</v>
      </c>
      <c r="AC16" s="4" t="b">
        <f>IF(SUM(Z16:AB16)&gt;0,TRUE,FALSE)</f>
        <v>0</v>
      </c>
      <c r="AE16" s="305">
        <f>IF(F8949ASBOXA&lt;&gt;"",F8949ASTD,0)</f>
        <v>0</v>
      </c>
      <c r="AF16" s="305">
        <f>IF(F8949BSBOXA&lt;&gt;"",F8949BSTD,0)</f>
        <v>0</v>
      </c>
      <c r="AG16" s="305">
        <f>IF(F8949CSBOXA&lt;&gt;"",F8949CSTD,0)</f>
        <v>0</v>
      </c>
      <c r="AI16" s="305">
        <f>IF(F8949ASBOXA&lt;&gt;"",F8949ASTE,0)</f>
        <v>0</v>
      </c>
      <c r="AJ16" s="305">
        <f>IF(F8949BSBOXA&lt;&gt;"",F8949BSTE,0)</f>
        <v>0</v>
      </c>
      <c r="AK16" s="305">
        <f>IF(F8949CSBOXA&lt;&gt;"",F8949CSTE,0)</f>
        <v>0</v>
      </c>
      <c r="AM16" s="305">
        <f>IF(F8949ASBOXA&lt;&gt;"",F8949ASTG,0)</f>
        <v>0</v>
      </c>
      <c r="AN16" s="305">
        <f>IF(F8949BSBOXA&lt;&gt;"",F8949BSTG,0)</f>
        <v>0</v>
      </c>
      <c r="AO16" s="305">
        <f>IF(F8949CSBOXA&lt;&gt;"",F8949CSTG,0)</f>
        <v>0</v>
      </c>
      <c r="AQ16" s="305">
        <f>IF(F8949ASBOXA&lt;&gt;"",F8949ASTH,0)</f>
        <v>0</v>
      </c>
      <c r="AR16" s="305">
        <f>IF(F8949BSBOXA&lt;&gt;"",F8949BSTH,0)</f>
        <v>0</v>
      </c>
      <c r="AS16" s="305">
        <f>IF(F8949CSBOXA&lt;&gt;"",F8949CSTH,0)</f>
        <v>0</v>
      </c>
    </row>
    <row r="17" spans="1:45" ht="13.5" customHeight="1">
      <c r="A17" s="112"/>
      <c r="B17" s="2426">
        <v>2</v>
      </c>
      <c r="C17" s="5197" t="s">
        <v>1595</v>
      </c>
      <c r="D17" s="5198"/>
      <c r="E17" s="5198"/>
      <c r="F17" s="5198"/>
      <c r="G17" s="5199"/>
      <c r="H17" s="5193">
        <f>SUM(AE18:AG18)</f>
        <v>0</v>
      </c>
      <c r="I17" s="5194"/>
      <c r="J17" s="2578">
        <f>SUM(AI18:AK18)</f>
        <v>0</v>
      </c>
      <c r="K17" s="5193">
        <f>SUM(AM18:AO18)</f>
        <v>0</v>
      </c>
      <c r="L17" s="5195"/>
      <c r="M17" s="5196"/>
      <c r="N17" s="5193">
        <f>SUM(AQ18:AS18)</f>
        <v>0</v>
      </c>
      <c r="O17" s="5195"/>
      <c r="P17" s="1677"/>
      <c r="Q17" s="2442"/>
      <c r="R17" s="112"/>
      <c r="S17" s="112"/>
      <c r="T17" s="2586"/>
      <c r="U17" s="2587"/>
      <c r="V17" s="2588"/>
      <c r="W17" s="2586"/>
      <c r="X17" s="1703"/>
      <c r="Z17" s="305"/>
      <c r="AA17" s="305"/>
      <c r="AB17" s="305"/>
      <c r="AE17" s="305"/>
      <c r="AF17" s="305"/>
      <c r="AG17" s="305"/>
      <c r="AI17" s="305"/>
      <c r="AJ17" s="305"/>
      <c r="AK17" s="305"/>
      <c r="AM17" s="305"/>
      <c r="AN17" s="305"/>
      <c r="AO17" s="305"/>
      <c r="AQ17" s="305"/>
      <c r="AR17" s="305"/>
      <c r="AS17" s="305"/>
    </row>
    <row r="18" spans="1:45" ht="13.5" customHeight="1">
      <c r="A18" s="112"/>
      <c r="B18" s="2427"/>
      <c r="C18" s="5200"/>
      <c r="D18" s="5200"/>
      <c r="E18" s="5200"/>
      <c r="F18" s="5200"/>
      <c r="G18" s="5201"/>
      <c r="H18" s="5121" t="str">
        <f>IF(T18&lt;&gt;"",T18,IF($AC18,ROUND(H17,0),""))</f>
        <v/>
      </c>
      <c r="I18" s="5226"/>
      <c r="J18" s="2671" t="str">
        <f>IF(U18&lt;&gt;"",U18,IF($AC18,ROUND(J17,0),""))</f>
        <v/>
      </c>
      <c r="K18" s="5121" t="str">
        <f>IF(V18&lt;&gt;"",V18,IF($AC18,ROUND(K17,0),""))</f>
        <v/>
      </c>
      <c r="L18" s="5122"/>
      <c r="M18" s="5226"/>
      <c r="N18" s="5121" t="str">
        <f>IF(W18&lt;&gt;"",W18,IF($AC18,ROUND(N17,0),""))</f>
        <v/>
      </c>
      <c r="O18" s="5122"/>
      <c r="P18" s="1677"/>
      <c r="Q18" s="2442"/>
      <c r="R18" s="112"/>
      <c r="S18" s="112"/>
      <c r="T18" s="2428"/>
      <c r="U18" s="2429"/>
      <c r="V18" s="4211"/>
      <c r="W18" s="2428"/>
      <c r="X18" s="1703"/>
      <c r="Z18" s="305">
        <f>IF(F8949ASBOXB&lt;&gt;"",F8949AST,0)</f>
        <v>0</v>
      </c>
      <c r="AA18" s="305">
        <f>IF(F8949BSBOXB&lt;&gt;"",F8949BST,0)</f>
        <v>0</v>
      </c>
      <c r="AB18" s="305">
        <f>IF(F8949CSBOXB&lt;&gt;"",F8949CST,0)</f>
        <v>0</v>
      </c>
      <c r="AC18" s="4" t="b">
        <f>IF(SUM(Z18:AB18)&gt;0,TRUE,FALSE)</f>
        <v>0</v>
      </c>
      <c r="AE18" s="305">
        <f>IF(F8949ASBOXB&lt;&gt;"",F8949ASTD,0)</f>
        <v>0</v>
      </c>
      <c r="AF18" s="305">
        <f>IF(F8949BSBOXB&lt;&gt;"",F8949BSTD,0)</f>
        <v>0</v>
      </c>
      <c r="AG18" s="305">
        <f>IF(F8949CSBOXB&lt;&gt;"",F8949CSTD,0)</f>
        <v>0</v>
      </c>
      <c r="AI18" s="305">
        <f>IF(F8949ASBOXB&lt;&gt;"",F8949ASTE,0)</f>
        <v>0</v>
      </c>
      <c r="AJ18" s="305">
        <f>IF(F8949BSBOXB&lt;&gt;"",F8949BSTE,0)</f>
        <v>0</v>
      </c>
      <c r="AK18" s="305">
        <f>IF(F8949CSBOXB&lt;&gt;"",F8949CSTE,0)</f>
        <v>0</v>
      </c>
      <c r="AM18" s="305">
        <f>IF(F8949ASBOXB&lt;&gt;"",F8949ASTG,0)</f>
        <v>0</v>
      </c>
      <c r="AN18" s="305">
        <f>IF(F8949BSBOXB&lt;&gt;"",F8949BSTG,0)</f>
        <v>0</v>
      </c>
      <c r="AO18" s="305">
        <f>IF(F8949CSBOXB&lt;&gt;"",F8949CSTG,0)</f>
        <v>0</v>
      </c>
      <c r="AQ18" s="305">
        <f>IF(F8949ASBOXB&lt;&gt;"",F8949ASTH,0)</f>
        <v>0</v>
      </c>
      <c r="AR18" s="305">
        <f>IF(F8949BSBOXB&lt;&gt;"",F8949BSTH,0)</f>
        <v>0</v>
      </c>
      <c r="AS18" s="305">
        <f>IF(F8949CSBOXB&lt;&gt;"",F8949CSTH,0)</f>
        <v>0</v>
      </c>
    </row>
    <row r="19" spans="1:45" ht="13.5" customHeight="1">
      <c r="A19" s="112"/>
      <c r="B19" s="2426">
        <v>3</v>
      </c>
      <c r="C19" s="5197" t="s">
        <v>1596</v>
      </c>
      <c r="D19" s="5198"/>
      <c r="E19" s="5198"/>
      <c r="F19" s="5198"/>
      <c r="G19" s="5199"/>
      <c r="H19" s="5193">
        <f>SUM(AE20:AG20)</f>
        <v>0</v>
      </c>
      <c r="I19" s="5194"/>
      <c r="J19" s="2578">
        <f>SUM(AI20:AK20)</f>
        <v>0</v>
      </c>
      <c r="K19" s="5193">
        <f>SUM(AM20:AO20)</f>
        <v>0</v>
      </c>
      <c r="L19" s="5195"/>
      <c r="M19" s="5196"/>
      <c r="N19" s="5193">
        <f>SUM(AQ20:AS20)</f>
        <v>0</v>
      </c>
      <c r="O19" s="5195"/>
      <c r="P19" s="1677"/>
      <c r="Q19" s="2442"/>
      <c r="R19" s="112"/>
      <c r="S19" s="112"/>
      <c r="T19" s="2586"/>
      <c r="U19" s="2587"/>
      <c r="V19" s="2588"/>
      <c r="W19" s="2586"/>
      <c r="X19" s="1703"/>
      <c r="Z19" s="305"/>
      <c r="AA19" s="305"/>
      <c r="AB19" s="305"/>
      <c r="AE19" s="305"/>
      <c r="AF19" s="305"/>
      <c r="AG19" s="305"/>
      <c r="AI19" s="305"/>
      <c r="AJ19" s="305"/>
      <c r="AK19" s="305"/>
      <c r="AM19" s="305"/>
      <c r="AN19" s="305"/>
      <c r="AO19" s="305"/>
      <c r="AQ19" s="305"/>
      <c r="AR19" s="305"/>
      <c r="AS19" s="305"/>
    </row>
    <row r="20" spans="1:45" ht="12.75" customHeight="1">
      <c r="A20" s="112"/>
      <c r="B20" s="2427"/>
      <c r="C20" s="5200"/>
      <c r="D20" s="5200"/>
      <c r="E20" s="5200"/>
      <c r="F20" s="5200"/>
      <c r="G20" s="5201"/>
      <c r="H20" s="5121" t="str">
        <f>IF(T20&lt;&gt;"",T20,IF($AC20,ROUND(H19,0),""))</f>
        <v/>
      </c>
      <c r="I20" s="5226"/>
      <c r="J20" s="2671" t="str">
        <f>IF(U20&lt;&gt;"",U20,IF($AC20,ROUND(J19,0),""))</f>
        <v/>
      </c>
      <c r="K20" s="5121" t="str">
        <f>IF(V20&lt;&gt;"",V20,IF($AC20,ROUND(K19,0),""))</f>
        <v/>
      </c>
      <c r="L20" s="5122"/>
      <c r="M20" s="5226"/>
      <c r="N20" s="5121" t="str">
        <f>IF(W20&lt;&gt;"",W20,IF($AC20,ROUND(N19,0),""))</f>
        <v/>
      </c>
      <c r="O20" s="5122"/>
      <c r="P20" s="1677"/>
      <c r="Q20" s="2442"/>
      <c r="R20" s="112"/>
      <c r="S20" s="112"/>
      <c r="T20" s="2428"/>
      <c r="U20" s="2429"/>
      <c r="V20" s="4211"/>
      <c r="W20" s="2428"/>
      <c r="X20" s="1703"/>
      <c r="Z20" s="305">
        <f>IF(F8949ASBOXC&lt;&gt;"",F8949AST,0)</f>
        <v>0</v>
      </c>
      <c r="AA20" s="305">
        <f>IF(F8949BSBOXC&lt;&gt;"",F8949BST,0)</f>
        <v>0</v>
      </c>
      <c r="AB20" s="305">
        <f>IF(F8949CSBOXC&lt;&gt;"",F8949CST,0)</f>
        <v>0</v>
      </c>
      <c r="AC20" s="4" t="b">
        <f>IF(SUM(Z20:AB20)&gt;0,TRUE,FALSE)</f>
        <v>0</v>
      </c>
      <c r="AE20" s="305">
        <f>IF(F8949ASBOXC&lt;&gt;"",F8949ASTD,0)</f>
        <v>0</v>
      </c>
      <c r="AF20" s="305">
        <f>IF(F8949BSBOXC&lt;&gt;"",F8949BSTD,0)</f>
        <v>0</v>
      </c>
      <c r="AG20" s="305">
        <f>IF(F8949CSBOXC&lt;&gt;"",F8949CSTD,0)</f>
        <v>0</v>
      </c>
      <c r="AI20" s="305">
        <f>IF(F8949ASBOXC&lt;&gt;"",F8949ASTE,0)</f>
        <v>0</v>
      </c>
      <c r="AJ20" s="305">
        <f>IF(F8949BSBOXC&lt;&gt;"",F8949BSTE,0)</f>
        <v>0</v>
      </c>
      <c r="AK20" s="305">
        <f>IF(F8949CSBOXC&lt;&gt;"",F8949CSTE,0)</f>
        <v>0</v>
      </c>
      <c r="AM20" s="305">
        <f>IF(F8949ASBOXC&lt;&gt;"",F8949ASTG,0)</f>
        <v>0</v>
      </c>
      <c r="AN20" s="305">
        <f>IF(F8949BSBOXC&lt;&gt;"",F8949BSTG,0)</f>
        <v>0</v>
      </c>
      <c r="AO20" s="305">
        <f>IF(F8949CSBOXC&lt;&gt;"",F8949CSTG,0)</f>
        <v>0</v>
      </c>
      <c r="AQ20" s="305">
        <f>IF(F8949ASBOXC&lt;&gt;"",F8949ASTH,0)</f>
        <v>0</v>
      </c>
      <c r="AR20" s="305">
        <f>IF(F8949BSBOXC&lt;&gt;"",F8949BSTH,0)</f>
        <v>0</v>
      </c>
      <c r="AS20" s="305">
        <f>IF(F8949CSBOXC&lt;&gt;"",F8949CSTH,0)</f>
        <v>0</v>
      </c>
    </row>
    <row r="21" spans="1:45" ht="12" customHeight="1">
      <c r="A21" s="112"/>
      <c r="B21" s="237"/>
      <c r="C21" s="225"/>
      <c r="D21" s="225"/>
      <c r="E21" s="225"/>
      <c r="F21" s="225"/>
      <c r="G21" s="291"/>
      <c r="H21" s="189"/>
      <c r="I21" s="189"/>
      <c r="J21" s="189"/>
      <c r="K21" s="237"/>
      <c r="L21" s="302"/>
      <c r="M21" s="1010"/>
      <c r="N21" s="5247"/>
      <c r="O21" s="5234"/>
      <c r="P21" s="1677"/>
      <c r="Q21" s="2442"/>
      <c r="R21" s="112"/>
      <c r="S21" s="112"/>
      <c r="T21" s="112"/>
      <c r="U21" s="112"/>
      <c r="V21" s="112"/>
      <c r="W21" s="112"/>
      <c r="X21" s="1703"/>
      <c r="Z21" s="305"/>
      <c r="AA21" s="305"/>
      <c r="AB21" s="305"/>
      <c r="AE21" s="305"/>
      <c r="AF21" s="305"/>
      <c r="AG21" s="305"/>
      <c r="AI21" s="305"/>
      <c r="AJ21" s="305"/>
      <c r="AK21" s="305"/>
      <c r="AM21" s="305"/>
      <c r="AN21" s="305"/>
      <c r="AO21" s="305"/>
      <c r="AQ21" s="305"/>
      <c r="AR21" s="305"/>
      <c r="AS21" s="305"/>
    </row>
    <row r="22" spans="1:45" ht="12" customHeight="1">
      <c r="A22" s="112"/>
      <c r="B22" s="237" t="str">
        <f>"4"</f>
        <v>4</v>
      </c>
      <c r="C22" s="225" t="s">
        <v>1423</v>
      </c>
      <c r="D22" s="225"/>
      <c r="E22" s="225"/>
      <c r="F22" s="225"/>
      <c r="G22" s="291"/>
      <c r="H22" s="189"/>
      <c r="I22" s="189"/>
      <c r="J22" s="189"/>
      <c r="K22" s="237"/>
      <c r="L22" s="237" t="s">
        <v>1597</v>
      </c>
      <c r="M22" s="322" t="str">
        <f>B22</f>
        <v>4</v>
      </c>
      <c r="N22" s="5132"/>
      <c r="O22" s="4746"/>
      <c r="P22" s="1677"/>
      <c r="Q22" s="2442"/>
      <c r="R22" s="112"/>
      <c r="S22" s="112"/>
      <c r="T22" s="112"/>
      <c r="U22" s="112"/>
      <c r="V22" s="112"/>
      <c r="W22" s="112"/>
      <c r="X22" s="1703"/>
      <c r="Z22" s="305"/>
      <c r="AA22" s="305"/>
      <c r="AB22" s="305"/>
      <c r="AE22" s="305"/>
      <c r="AF22" s="305"/>
      <c r="AG22" s="305"/>
      <c r="AI22" s="305"/>
      <c r="AJ22" s="305"/>
      <c r="AK22" s="305"/>
      <c r="AM22" s="305"/>
      <c r="AN22" s="305"/>
      <c r="AO22" s="305"/>
      <c r="AQ22" s="305"/>
      <c r="AR22" s="305"/>
      <c r="AS22" s="305"/>
    </row>
    <row r="23" spans="1:45">
      <c r="A23" s="112"/>
      <c r="B23" s="237" t="str">
        <f>"5"</f>
        <v>5</v>
      </c>
      <c r="C23" s="225" t="s">
        <v>296</v>
      </c>
      <c r="D23" s="225"/>
      <c r="E23" s="225"/>
      <c r="F23" s="225"/>
      <c r="G23" s="291"/>
      <c r="H23" s="189"/>
      <c r="I23" s="189"/>
      <c r="J23" s="189"/>
      <c r="K23" s="237"/>
      <c r="L23" s="237"/>
      <c r="M23" s="1010"/>
      <c r="N23" s="5247"/>
      <c r="O23" s="5234"/>
      <c r="P23" s="1677"/>
      <c r="Q23" s="2442"/>
      <c r="R23" s="2456" t="str">
        <f>IF(N26="","",IF(N26&gt;0,"The amount entered",""))</f>
        <v/>
      </c>
      <c r="S23" s="112"/>
      <c r="T23" s="11"/>
      <c r="U23" s="11"/>
      <c r="V23" s="11"/>
      <c r="W23" s="11"/>
      <c r="X23" s="11"/>
      <c r="Z23" s="305"/>
      <c r="AA23" s="305"/>
      <c r="AB23" s="305"/>
      <c r="AE23" s="305"/>
      <c r="AF23" s="305"/>
      <c r="AG23" s="305"/>
      <c r="AI23" s="305"/>
      <c r="AJ23" s="305"/>
      <c r="AK23" s="305"/>
      <c r="AM23" s="305"/>
      <c r="AN23" s="305"/>
      <c r="AO23" s="305"/>
      <c r="AQ23" s="305"/>
      <c r="AR23" s="305"/>
      <c r="AS23" s="305"/>
    </row>
    <row r="24" spans="1:45" ht="12.75" customHeight="1">
      <c r="A24" s="112"/>
      <c r="B24" s="185"/>
      <c r="C24" s="225" t="s">
        <v>797</v>
      </c>
      <c r="D24" s="225"/>
      <c r="E24" s="225"/>
      <c r="F24" s="225"/>
      <c r="G24" s="291"/>
      <c r="H24" s="189"/>
      <c r="I24" s="189"/>
      <c r="J24" s="189"/>
      <c r="K24" s="237"/>
      <c r="L24" s="302" t="s">
        <v>481</v>
      </c>
      <c r="M24" s="322" t="str">
        <f>B23</f>
        <v>5</v>
      </c>
      <c r="N24" s="5132"/>
      <c r="O24" s="4746"/>
      <c r="P24" s="1678"/>
      <c r="Q24" s="2443"/>
      <c r="R24" s="2456" t="str">
        <f>IF(N26="","",IF(N26&gt;0,"on Line 6 must be",""))</f>
        <v/>
      </c>
      <c r="S24" s="112"/>
      <c r="T24" s="11"/>
      <c r="U24" s="11"/>
      <c r="V24" s="11"/>
      <c r="W24" s="11"/>
      <c r="X24" s="11"/>
      <c r="Z24" s="305"/>
      <c r="AA24" s="305"/>
      <c r="AB24" s="305"/>
      <c r="AE24" s="305"/>
      <c r="AF24" s="305"/>
      <c r="AG24" s="305"/>
      <c r="AI24" s="305"/>
      <c r="AJ24" s="305"/>
      <c r="AK24" s="305"/>
      <c r="AM24" s="305"/>
      <c r="AN24" s="305"/>
      <c r="AO24" s="305"/>
      <c r="AQ24" s="305"/>
      <c r="AR24" s="305"/>
      <c r="AS24" s="305"/>
    </row>
    <row r="25" spans="1:45">
      <c r="A25" s="112"/>
      <c r="B25" s="237" t="str">
        <f>"6"</f>
        <v>6</v>
      </c>
      <c r="C25" s="225" t="s">
        <v>1111</v>
      </c>
      <c r="D25" s="225"/>
      <c r="E25" s="225"/>
      <c r="F25" s="225"/>
      <c r="G25" s="291"/>
      <c r="H25" s="291"/>
      <c r="I25" s="291"/>
      <c r="J25" s="189"/>
      <c r="K25" s="191"/>
      <c r="L25" s="191"/>
      <c r="M25" s="1650"/>
      <c r="N25" s="5247"/>
      <c r="O25" s="5234"/>
      <c r="P25" s="1679"/>
      <c r="Q25" s="2444"/>
      <c r="R25" s="2456" t="str">
        <f>IF(N26="","",IF(N26&gt;0,"a negative amount.",""))</f>
        <v/>
      </c>
      <c r="S25" s="112"/>
      <c r="T25" s="11"/>
      <c r="U25" s="11"/>
      <c r="V25" s="11"/>
      <c r="W25" s="11"/>
      <c r="X25" s="11"/>
      <c r="Z25" s="305"/>
      <c r="AA25" s="305"/>
      <c r="AB25" s="305"/>
      <c r="AE25" s="305"/>
      <c r="AF25" s="305"/>
      <c r="AG25" s="305"/>
      <c r="AI25" s="305"/>
      <c r="AJ25" s="305"/>
      <c r="AK25" s="305"/>
      <c r="AM25" s="305"/>
      <c r="AN25" s="305"/>
      <c r="AO25" s="305"/>
      <c r="AQ25" s="305"/>
      <c r="AR25" s="305"/>
      <c r="AS25" s="305"/>
    </row>
    <row r="26" spans="1:45" ht="13.5" customHeight="1">
      <c r="A26" s="112"/>
      <c r="B26" s="185"/>
      <c r="C26" s="355" t="s">
        <v>1112</v>
      </c>
      <c r="D26" s="355"/>
      <c r="E26" s="355"/>
      <c r="F26" s="257"/>
      <c r="G26" s="291"/>
      <c r="H26" s="291"/>
      <c r="I26" s="291"/>
      <c r="J26" s="189"/>
      <c r="K26" s="237"/>
      <c r="L26" s="302" t="s">
        <v>1113</v>
      </c>
      <c r="M26" s="322" t="str">
        <f>B25</f>
        <v>6</v>
      </c>
      <c r="N26" s="5248" t="str">
        <f>IF(R26&lt;&gt;"",ROUND(R26,0),IF('Sch. D WS'!P26="","",-'Sch. D WS'!P26))</f>
        <v/>
      </c>
      <c r="O26" s="4763"/>
      <c r="P26" s="1679"/>
      <c r="Q26" s="2444"/>
      <c r="R26" s="2684"/>
      <c r="S26" s="112"/>
      <c r="T26" s="11"/>
      <c r="U26" s="11"/>
      <c r="V26" s="11"/>
      <c r="W26" s="11"/>
      <c r="X26" s="11"/>
      <c r="Z26" s="305"/>
      <c r="AA26" s="305"/>
      <c r="AB26" s="305"/>
      <c r="AE26" s="305"/>
      <c r="AF26" s="305"/>
      <c r="AG26" s="305"/>
      <c r="AI26" s="305"/>
      <c r="AJ26" s="305"/>
      <c r="AK26" s="305"/>
      <c r="AM26" s="305"/>
      <c r="AN26" s="305"/>
      <c r="AO26" s="305"/>
      <c r="AQ26" s="305"/>
      <c r="AR26" s="305"/>
      <c r="AS26" s="305"/>
    </row>
    <row r="27" spans="1:45" ht="13.5" customHeight="1">
      <c r="A27" s="112"/>
      <c r="B27" s="1649">
        <v>7</v>
      </c>
      <c r="C27" s="5182" t="s">
        <v>3184</v>
      </c>
      <c r="D27" s="5186"/>
      <c r="E27" s="5186"/>
      <c r="F27" s="5186"/>
      <c r="G27" s="5186"/>
      <c r="H27" s="5186"/>
      <c r="I27" s="5186"/>
      <c r="J27" s="5186"/>
      <c r="K27" s="5186"/>
      <c r="L27" s="4564"/>
      <c r="M27" s="1010"/>
      <c r="N27" s="5257"/>
      <c r="O27" s="5258"/>
      <c r="P27" s="1680"/>
      <c r="Q27" s="2445"/>
      <c r="R27" s="2456"/>
      <c r="S27" s="112"/>
      <c r="T27" s="11"/>
      <c r="U27" s="11"/>
      <c r="V27" s="11"/>
      <c r="W27" s="11"/>
      <c r="X27" s="11"/>
      <c r="Z27" s="305"/>
      <c r="AA27" s="305"/>
      <c r="AB27" s="305"/>
      <c r="AE27" s="305"/>
      <c r="AF27" s="305"/>
      <c r="AG27" s="305"/>
      <c r="AI27" s="305"/>
      <c r="AJ27" s="305"/>
      <c r="AK27" s="305"/>
      <c r="AM27" s="305"/>
      <c r="AN27" s="305"/>
      <c r="AO27" s="305"/>
      <c r="AQ27" s="305"/>
      <c r="AR27" s="305"/>
      <c r="AS27" s="305"/>
    </row>
    <row r="28" spans="1:45" ht="13.5" customHeight="1" thickBot="1">
      <c r="A28" s="112"/>
      <c r="B28" s="1651"/>
      <c r="C28" s="5187"/>
      <c r="D28" s="5187"/>
      <c r="E28" s="5187"/>
      <c r="F28" s="5187"/>
      <c r="G28" s="5187"/>
      <c r="H28" s="5187"/>
      <c r="I28" s="5187"/>
      <c r="J28" s="5187"/>
      <c r="K28" s="5187"/>
      <c r="L28" s="5185"/>
      <c r="M28" s="2455">
        <f>B27</f>
        <v>7</v>
      </c>
      <c r="N28" s="5245">
        <f>IF(R28&lt;&gt;"",R28,SUM(N14,N16,N18,N20,N22,N24,N26))</f>
        <v>0</v>
      </c>
      <c r="O28" s="5246"/>
      <c r="P28" s="1680"/>
      <c r="Q28" s="2445"/>
      <c r="R28" s="2684"/>
      <c r="S28" s="112"/>
      <c r="T28" s="11"/>
      <c r="U28" s="11"/>
      <c r="V28" s="11"/>
      <c r="W28" s="11"/>
      <c r="X28" s="11"/>
      <c r="Z28" s="305"/>
      <c r="AA28" s="305"/>
      <c r="AB28" s="305"/>
      <c r="AE28" s="305"/>
      <c r="AF28" s="305"/>
      <c r="AG28" s="305"/>
      <c r="AI28" s="305"/>
      <c r="AJ28" s="305"/>
      <c r="AK28" s="305"/>
      <c r="AM28" s="305"/>
      <c r="AN28" s="305"/>
      <c r="AO28" s="305"/>
      <c r="AQ28" s="305"/>
      <c r="AR28" s="305"/>
      <c r="AS28" s="305"/>
    </row>
    <row r="29" spans="1:45" ht="15">
      <c r="A29" s="112"/>
      <c r="B29" s="2460" t="s">
        <v>194</v>
      </c>
      <c r="C29" s="2460"/>
      <c r="D29" s="290"/>
      <c r="E29" s="290" t="s">
        <v>394</v>
      </c>
      <c r="F29" s="290"/>
      <c r="G29" s="27"/>
      <c r="H29" s="290" t="str">
        <f>"-–  Assets Held More Than One Year"</f>
        <v>-–  Assets Held More Than One Year</v>
      </c>
      <c r="I29" s="767"/>
      <c r="J29" s="290"/>
      <c r="K29" s="28"/>
      <c r="L29" s="28"/>
      <c r="M29" s="28"/>
      <c r="N29" s="28"/>
      <c r="O29" s="28"/>
      <c r="P29" s="1681"/>
      <c r="Q29" s="2446"/>
      <c r="R29" s="112"/>
      <c r="S29" s="112"/>
      <c r="T29" s="112"/>
      <c r="U29" s="112"/>
      <c r="V29" s="112"/>
      <c r="W29" s="112"/>
      <c r="X29" s="112"/>
      <c r="Z29" s="305"/>
      <c r="AA29" s="305"/>
      <c r="AB29" s="305"/>
      <c r="AE29" s="305"/>
      <c r="AF29" s="305"/>
      <c r="AG29" s="305"/>
      <c r="AI29" s="305"/>
      <c r="AJ29" s="305"/>
      <c r="AK29" s="305"/>
      <c r="AM29" s="305"/>
      <c r="AN29" s="305"/>
      <c r="AO29" s="305"/>
      <c r="AQ29" s="305"/>
      <c r="AR29" s="305"/>
      <c r="AS29" s="305"/>
    </row>
    <row r="30" spans="1:45" ht="16.5" customHeight="1">
      <c r="A30" s="112"/>
      <c r="B30" s="5202" t="s">
        <v>1593</v>
      </c>
      <c r="C30" s="5011"/>
      <c r="D30" s="5011"/>
      <c r="E30" s="5011"/>
      <c r="F30" s="5011"/>
      <c r="G30" s="5012"/>
      <c r="H30" s="5208" t="s">
        <v>3179</v>
      </c>
      <c r="I30" s="5209"/>
      <c r="J30" s="5214" t="s">
        <v>3180</v>
      </c>
      <c r="K30" s="5217" t="s">
        <v>3182</v>
      </c>
      <c r="L30" s="5218"/>
      <c r="M30" s="5219"/>
      <c r="N30" s="5217" t="s">
        <v>1422</v>
      </c>
      <c r="O30" s="5252"/>
      <c r="P30" s="1674"/>
      <c r="Q30" s="2439"/>
      <c r="R30" s="112"/>
      <c r="S30" s="112"/>
      <c r="T30" s="5292" t="s">
        <v>1424</v>
      </c>
      <c r="U30" s="5249" t="s">
        <v>2444</v>
      </c>
      <c r="V30" s="5214" t="s">
        <v>3743</v>
      </c>
      <c r="W30" s="5214" t="s">
        <v>1110</v>
      </c>
      <c r="X30" s="1703"/>
      <c r="Z30" s="305"/>
      <c r="AA30" s="305"/>
      <c r="AB30" s="305"/>
      <c r="AE30" s="305"/>
      <c r="AF30" s="305"/>
      <c r="AG30" s="305"/>
      <c r="AI30" s="305"/>
      <c r="AJ30" s="305"/>
      <c r="AK30" s="305"/>
      <c r="AM30" s="305"/>
      <c r="AN30" s="305"/>
      <c r="AO30" s="305"/>
      <c r="AQ30" s="305"/>
      <c r="AR30" s="305"/>
      <c r="AS30" s="305"/>
    </row>
    <row r="31" spans="1:45" ht="16.5" customHeight="1">
      <c r="A31" s="112"/>
      <c r="B31" s="5203"/>
      <c r="C31" s="4773"/>
      <c r="D31" s="4773"/>
      <c r="E31" s="4773"/>
      <c r="F31" s="4773"/>
      <c r="G31" s="5204"/>
      <c r="H31" s="5210"/>
      <c r="I31" s="5211"/>
      <c r="J31" s="5215"/>
      <c r="K31" s="5220"/>
      <c r="L31" s="5221"/>
      <c r="M31" s="5222"/>
      <c r="N31" s="5253"/>
      <c r="O31" s="5254"/>
      <c r="P31" s="1675"/>
      <c r="Q31" s="2440"/>
      <c r="R31" s="1703" t="s">
        <v>1151</v>
      </c>
      <c r="S31" s="112"/>
      <c r="T31" s="5293"/>
      <c r="U31" s="5250"/>
      <c r="V31" s="5243"/>
      <c r="W31" s="5243"/>
      <c r="X31" s="1703"/>
      <c r="Z31" s="305"/>
      <c r="AA31" s="305"/>
      <c r="AB31" s="305"/>
      <c r="AE31" s="305"/>
      <c r="AF31" s="305"/>
      <c r="AG31" s="305"/>
      <c r="AI31" s="305"/>
      <c r="AJ31" s="305"/>
      <c r="AK31" s="305"/>
      <c r="AM31" s="305"/>
      <c r="AN31" s="305"/>
      <c r="AO31" s="305"/>
      <c r="AQ31" s="305"/>
      <c r="AR31" s="305"/>
      <c r="AS31" s="305"/>
    </row>
    <row r="32" spans="1:45" ht="16.5" customHeight="1">
      <c r="A32" s="112"/>
      <c r="B32" s="5205"/>
      <c r="C32" s="5206"/>
      <c r="D32" s="5206"/>
      <c r="E32" s="5206"/>
      <c r="F32" s="5206"/>
      <c r="G32" s="5207"/>
      <c r="H32" s="5212"/>
      <c r="I32" s="5213"/>
      <c r="J32" s="5216"/>
      <c r="K32" s="5223"/>
      <c r="L32" s="5224"/>
      <c r="M32" s="5225"/>
      <c r="N32" s="5255"/>
      <c r="O32" s="5256"/>
      <c r="P32" s="1676"/>
      <c r="Q32" s="2441"/>
      <c r="R32" s="112"/>
      <c r="S32" s="112"/>
      <c r="T32" s="5294"/>
      <c r="U32" s="5251"/>
      <c r="V32" s="5244"/>
      <c r="W32" s="5244"/>
      <c r="X32" s="1703"/>
      <c r="Z32" s="338" t="s">
        <v>1546</v>
      </c>
      <c r="AA32" s="338" t="s">
        <v>1547</v>
      </c>
      <c r="AB32" s="338" t="s">
        <v>1548</v>
      </c>
      <c r="AE32" s="338" t="s">
        <v>1546</v>
      </c>
      <c r="AF32" s="338" t="s">
        <v>1547</v>
      </c>
      <c r="AG32" s="338" t="s">
        <v>1548</v>
      </c>
      <c r="AI32" s="338" t="s">
        <v>1546</v>
      </c>
      <c r="AJ32" s="338" t="s">
        <v>1547</v>
      </c>
      <c r="AK32" s="338" t="s">
        <v>1548</v>
      </c>
      <c r="AM32" s="338" t="s">
        <v>1546</v>
      </c>
      <c r="AN32" s="338" t="s">
        <v>1547</v>
      </c>
      <c r="AO32" s="338" t="s">
        <v>1548</v>
      </c>
      <c r="AQ32" s="338" t="s">
        <v>1546</v>
      </c>
      <c r="AR32" s="338" t="s">
        <v>1547</v>
      </c>
      <c r="AS32" s="338" t="s">
        <v>1548</v>
      </c>
    </row>
    <row r="33" spans="1:45" ht="46.5" customHeight="1">
      <c r="A33" s="112"/>
      <c r="B33" s="2426" t="s">
        <v>62</v>
      </c>
      <c r="C33" s="5227" t="s">
        <v>1876</v>
      </c>
      <c r="D33" s="5228"/>
      <c r="E33" s="5228"/>
      <c r="F33" s="5228"/>
      <c r="G33" s="5229"/>
      <c r="H33" s="2661"/>
      <c r="I33" s="2662"/>
      <c r="J33" s="2663"/>
      <c r="K33" s="2668"/>
      <c r="L33" s="2669"/>
      <c r="M33" s="2670"/>
      <c r="N33" s="2664"/>
      <c r="O33" s="2665"/>
      <c r="P33" s="1676"/>
      <c r="Q33" s="2441"/>
      <c r="R33" s="112"/>
      <c r="S33" s="112"/>
      <c r="T33" s="2643"/>
      <c r="U33" s="2642"/>
      <c r="V33" s="2666"/>
      <c r="W33" s="2641"/>
      <c r="X33" s="1703"/>
      <c r="Z33" s="338"/>
      <c r="AA33" s="338"/>
      <c r="AB33" s="338"/>
      <c r="AE33" s="338"/>
      <c r="AF33" s="338"/>
      <c r="AG33" s="338"/>
      <c r="AI33" s="338"/>
      <c r="AJ33" s="338"/>
      <c r="AK33" s="338"/>
      <c r="AM33" s="338"/>
      <c r="AN33" s="338"/>
      <c r="AO33" s="338"/>
      <c r="AQ33" s="338"/>
      <c r="AR33" s="338"/>
      <c r="AS33" s="338"/>
    </row>
    <row r="34" spans="1:45" ht="15.75" customHeight="1">
      <c r="A34" s="112"/>
      <c r="B34" s="2660"/>
      <c r="C34" s="5115"/>
      <c r="D34" s="5115"/>
      <c r="E34" s="5115"/>
      <c r="F34" s="5115"/>
      <c r="G34" s="5116"/>
      <c r="H34" s="5132"/>
      <c r="I34" s="5188"/>
      <c r="J34" s="2430"/>
      <c r="K34" s="5189"/>
      <c r="L34" s="5190"/>
      <c r="M34" s="5191"/>
      <c r="N34" s="5121" t="str">
        <f>IF(W34&lt;&gt;"",W34,IF(OR(H34&lt;&gt;"",J34&lt;&gt;""),ROUND(SUM(H34,-J34),0),""))</f>
        <v/>
      </c>
      <c r="O34" s="5122"/>
      <c r="P34" s="1676"/>
      <c r="Q34" s="2441"/>
      <c r="R34" s="112"/>
      <c r="S34" s="112"/>
      <c r="T34" s="2643" t="str">
        <f>"---"</f>
        <v>---</v>
      </c>
      <c r="U34" s="2643" t="str">
        <f>"---"</f>
        <v>---</v>
      </c>
      <c r="V34" s="2667"/>
      <c r="W34" s="2428"/>
      <c r="X34" s="1703"/>
      <c r="Z34" s="338"/>
      <c r="AA34" s="338"/>
      <c r="AB34" s="338"/>
      <c r="AE34" s="338"/>
      <c r="AF34" s="338"/>
      <c r="AG34" s="338"/>
      <c r="AI34" s="338"/>
      <c r="AJ34" s="338"/>
      <c r="AK34" s="338"/>
      <c r="AM34" s="338"/>
      <c r="AN34" s="338"/>
      <c r="AO34" s="338"/>
      <c r="AQ34" s="338"/>
      <c r="AR34" s="338"/>
      <c r="AS34" s="338"/>
    </row>
    <row r="35" spans="1:45" ht="13.5" customHeight="1">
      <c r="A35" s="112"/>
      <c r="B35" s="2426" t="s">
        <v>64</v>
      </c>
      <c r="C35" s="5197" t="s">
        <v>1747</v>
      </c>
      <c r="D35" s="5198"/>
      <c r="E35" s="5198"/>
      <c r="F35" s="5198"/>
      <c r="G35" s="5199"/>
      <c r="H35" s="5193">
        <f>SUM(AE36:AG36)</f>
        <v>0</v>
      </c>
      <c r="I35" s="5194"/>
      <c r="J35" s="2578">
        <f>SUM(AI36:AK36)</f>
        <v>0</v>
      </c>
      <c r="K35" s="5193">
        <f>SUM(AM36:AO36)</f>
        <v>0</v>
      </c>
      <c r="L35" s="5195"/>
      <c r="M35" s="5196"/>
      <c r="N35" s="5193">
        <f>SUM(AQ36:AS36)</f>
        <v>0</v>
      </c>
      <c r="O35" s="5195"/>
      <c r="P35" s="1677"/>
      <c r="Q35" s="2442"/>
      <c r="R35" s="112"/>
      <c r="S35" s="112"/>
      <c r="T35" s="2586"/>
      <c r="U35" s="2589"/>
      <c r="V35" s="2588"/>
      <c r="W35" s="2586"/>
      <c r="X35" s="1703"/>
      <c r="Z35" s="305"/>
      <c r="AA35" s="305"/>
      <c r="AB35" s="305"/>
      <c r="AE35" s="305"/>
      <c r="AF35" s="305"/>
      <c r="AG35" s="305"/>
      <c r="AI35" s="305"/>
      <c r="AJ35" s="305"/>
      <c r="AK35" s="305"/>
      <c r="AM35" s="305"/>
      <c r="AN35" s="305"/>
      <c r="AO35" s="305"/>
      <c r="AQ35" s="305"/>
      <c r="AR35" s="305"/>
      <c r="AS35" s="305"/>
    </row>
    <row r="36" spans="1:45" ht="13.5" customHeight="1">
      <c r="A36" s="112"/>
      <c r="B36" s="2427"/>
      <c r="C36" s="5200"/>
      <c r="D36" s="5200"/>
      <c r="E36" s="5200"/>
      <c r="F36" s="5200"/>
      <c r="G36" s="5201"/>
      <c r="H36" s="5121" t="str">
        <f>IF(T36&lt;&gt;"",T36,IF($AC36,ROUND(H35,0),""))</f>
        <v/>
      </c>
      <c r="I36" s="5226"/>
      <c r="J36" s="2671" t="str">
        <f>IF(U36&lt;&gt;"",U36,IF($AC36,ROUND(J35,0),""))</f>
        <v/>
      </c>
      <c r="K36" s="5121" t="str">
        <f>IF(V36&lt;&gt;"",V36,IF($AC36,ROUND(K35,0),""))</f>
        <v/>
      </c>
      <c r="L36" s="5122"/>
      <c r="M36" s="5226"/>
      <c r="N36" s="5121" t="str">
        <f>IF(W36&lt;&gt;"",W36,IF($AC36,ROUND(N35,0),""))</f>
        <v/>
      </c>
      <c r="O36" s="5122"/>
      <c r="P36" s="1677"/>
      <c r="Q36" s="2442"/>
      <c r="R36" s="112"/>
      <c r="S36" s="112"/>
      <c r="T36" s="2428"/>
      <c r="U36" s="2429"/>
      <c r="V36" s="4211"/>
      <c r="W36" s="2428"/>
      <c r="X36" s="1703"/>
      <c r="Z36" s="305">
        <f>IF(F8949ALBOXA&lt;&gt;"",F8949ALT,0)</f>
        <v>0</v>
      </c>
      <c r="AA36" s="305">
        <f>IF(F8949BLBOXA&lt;&gt;"",F8949BLT,0)</f>
        <v>0</v>
      </c>
      <c r="AB36" s="305">
        <f>IF(F8949CLBOXA&lt;&gt;"",F8949CLT,0)</f>
        <v>0</v>
      </c>
      <c r="AC36" s="4" t="b">
        <f>IF(SUM(Z36:AB36)&gt;0,TRUE,FALSE)</f>
        <v>0</v>
      </c>
      <c r="AE36" s="305">
        <f>IF(F8949ALBOXA&lt;&gt;"",F8949ALTD,0)</f>
        <v>0</v>
      </c>
      <c r="AF36" s="305">
        <f>IF(F8949BLBOXA&lt;&gt;"",F8949BLTD,0)</f>
        <v>0</v>
      </c>
      <c r="AG36" s="305">
        <f>IF(F8949CLBOXA&lt;&gt;"",F8949CLTD,0)</f>
        <v>0</v>
      </c>
      <c r="AI36" s="305">
        <f>IF(F8949ALBOXA&lt;&gt;"",F8949ALTE,0)</f>
        <v>0</v>
      </c>
      <c r="AJ36" s="305">
        <f>IF(F8949BLBOXA&lt;&gt;"",F8949BLTE,0)</f>
        <v>0</v>
      </c>
      <c r="AK36" s="305">
        <f>IF(F8949CLBOXA&lt;&gt;"",F8949CLTE,0)</f>
        <v>0</v>
      </c>
      <c r="AM36" s="305">
        <f>IF(F8949ALBOXA&lt;&gt;"",F8949ALTG,0)</f>
        <v>0</v>
      </c>
      <c r="AN36" s="305">
        <f>IF(F8949BLBOXA&lt;&gt;"",F8949BLTG,0)</f>
        <v>0</v>
      </c>
      <c r="AO36" s="305">
        <f>IF(F8949CLBOXA&lt;&gt;"",F8949CLTG,0)</f>
        <v>0</v>
      </c>
      <c r="AQ36" s="305">
        <f>IF(F8949ALBOXA&lt;&gt;"",F8949ALTH,0)</f>
        <v>0</v>
      </c>
      <c r="AR36" s="305">
        <f>IF(F8949BLBOXA&lt;&gt;"",F8949BLTH,0)</f>
        <v>0</v>
      </c>
      <c r="AS36" s="305">
        <f>IF(F8949CLBOXA&lt;&gt;"",F8949CLTH,0)</f>
        <v>0</v>
      </c>
    </row>
    <row r="37" spans="1:45" ht="13.5" customHeight="1">
      <c r="A37" s="112"/>
      <c r="B37" s="2426">
        <v>9</v>
      </c>
      <c r="C37" s="5197" t="s">
        <v>1748</v>
      </c>
      <c r="D37" s="5198"/>
      <c r="E37" s="5198"/>
      <c r="F37" s="5198"/>
      <c r="G37" s="5199"/>
      <c r="H37" s="5193">
        <f>SUM(AE38:AG38)</f>
        <v>0</v>
      </c>
      <c r="I37" s="5194"/>
      <c r="J37" s="2578">
        <f>SUM(AI38:AK38)</f>
        <v>0</v>
      </c>
      <c r="K37" s="5193">
        <f>SUM(AM38:AO38)</f>
        <v>0</v>
      </c>
      <c r="L37" s="5195"/>
      <c r="M37" s="5196"/>
      <c r="N37" s="5193">
        <f>SUM(AQ38:AS38)</f>
        <v>0</v>
      </c>
      <c r="O37" s="5195"/>
      <c r="P37" s="1677"/>
      <c r="Q37" s="2442"/>
      <c r="R37" s="112"/>
      <c r="S37" s="112"/>
      <c r="T37" s="2586"/>
      <c r="U37" s="2589"/>
      <c r="V37" s="2588"/>
      <c r="W37" s="2586"/>
      <c r="X37" s="1703"/>
      <c r="Z37" s="305"/>
      <c r="AA37" s="305"/>
      <c r="AB37" s="305"/>
      <c r="AE37" s="305"/>
      <c r="AF37" s="305"/>
      <c r="AG37" s="305"/>
      <c r="AI37" s="305"/>
      <c r="AJ37" s="305"/>
      <c r="AK37" s="305"/>
      <c r="AM37" s="305"/>
      <c r="AN37" s="305"/>
      <c r="AO37" s="305"/>
      <c r="AQ37" s="305"/>
      <c r="AR37" s="305"/>
      <c r="AS37" s="305"/>
    </row>
    <row r="38" spans="1:45" ht="12.75" customHeight="1">
      <c r="A38" s="112"/>
      <c r="B38" s="2427"/>
      <c r="C38" s="5200"/>
      <c r="D38" s="5200"/>
      <c r="E38" s="5200"/>
      <c r="F38" s="5200"/>
      <c r="G38" s="5201"/>
      <c r="H38" s="5121" t="str">
        <f>IF(T38&lt;&gt;"",T38,IF($AC38,ROUND(H37,0),""))</f>
        <v/>
      </c>
      <c r="I38" s="5226"/>
      <c r="J38" s="2671" t="str">
        <f>IF(U38&lt;&gt;"",U38,IF($AC38,ROUND(J37,0),""))</f>
        <v/>
      </c>
      <c r="K38" s="5121" t="str">
        <f>IF(V38&lt;&gt;"",V38,IF($AC38,ROUND(K37,0),""))</f>
        <v/>
      </c>
      <c r="L38" s="5122"/>
      <c r="M38" s="5226"/>
      <c r="N38" s="5121" t="str">
        <f>IF(W38&lt;&gt;"",W38,IF($AC38,ROUND(N37,0),""))</f>
        <v/>
      </c>
      <c r="O38" s="5122"/>
      <c r="P38" s="1677"/>
      <c r="Q38" s="2442"/>
      <c r="R38" s="112"/>
      <c r="S38" s="112"/>
      <c r="T38" s="2428"/>
      <c r="U38" s="2429"/>
      <c r="V38" s="4211"/>
      <c r="W38" s="2428"/>
      <c r="X38" s="1703"/>
      <c r="Z38" s="305">
        <f>IF(F8949ALBOXB&lt;&gt;"",F8949ALT,0)</f>
        <v>0</v>
      </c>
      <c r="AA38" s="305">
        <f>IF(F8949BLBOXB&lt;&gt;"",F8949BLT,0)</f>
        <v>0</v>
      </c>
      <c r="AB38" s="305">
        <f>IF(F8949CLBOXB&lt;&gt;"",F8949CLT,0)</f>
        <v>0</v>
      </c>
      <c r="AC38" s="4" t="b">
        <f>IF(SUM(Z38:AB38)&gt;0,TRUE,FALSE)</f>
        <v>0</v>
      </c>
      <c r="AE38" s="305">
        <f>IF(F8949ALBOXB&lt;&gt;"",F8949ALTD,0)</f>
        <v>0</v>
      </c>
      <c r="AF38" s="305">
        <f>IF(F8949BLBOXB&lt;&gt;"",F8949BLTD,0)</f>
        <v>0</v>
      </c>
      <c r="AG38" s="305">
        <f>IF(F8949CLBOXB&lt;&gt;"",F8949CLTD,0)</f>
        <v>0</v>
      </c>
      <c r="AI38" s="305">
        <f>IF(F8949ALBOXB&lt;&gt;"",F8949ALTE,0)</f>
        <v>0</v>
      </c>
      <c r="AJ38" s="305">
        <f>IF(F8949BLBOXB&lt;&gt;"",F8949BLTE,0)</f>
        <v>0</v>
      </c>
      <c r="AK38" s="305">
        <f>IF(F8949CLBOXB&lt;&gt;"",F8949CLTE,0)</f>
        <v>0</v>
      </c>
      <c r="AM38" s="305">
        <f>IF(F8949ALBOXB&lt;&gt;"",F8949ALTG,0)</f>
        <v>0</v>
      </c>
      <c r="AN38" s="305">
        <f>IF(F8949BLBOXB&lt;&gt;"",F8949BLTG,0)</f>
        <v>0</v>
      </c>
      <c r="AO38" s="305">
        <f>IF(F8949CLBOXB&lt;&gt;"",F8949CLTG,0)</f>
        <v>0</v>
      </c>
      <c r="AQ38" s="305">
        <f>IF(F8949ALBOXB&lt;&gt;"",F8949ALTH,0)</f>
        <v>0</v>
      </c>
      <c r="AR38" s="305">
        <f>IF(F8949BLBOXB&lt;&gt;"",F8949BLTH,0)</f>
        <v>0</v>
      </c>
      <c r="AS38" s="305">
        <f>IF(F8949CLBOXB&lt;&gt;"",F8949CLTH,0)</f>
        <v>0</v>
      </c>
    </row>
    <row r="39" spans="1:45" ht="12.75" customHeight="1">
      <c r="A39" s="112"/>
      <c r="B39" s="2426">
        <v>10</v>
      </c>
      <c r="C39" s="5197" t="s">
        <v>1749</v>
      </c>
      <c r="D39" s="5198"/>
      <c r="E39" s="5198"/>
      <c r="F39" s="5198"/>
      <c r="G39" s="5199"/>
      <c r="H39" s="5193">
        <f>SUM(AE40:AG40)</f>
        <v>0</v>
      </c>
      <c r="I39" s="5194"/>
      <c r="J39" s="2578">
        <f>SUM(AI40:AK40)</f>
        <v>0</v>
      </c>
      <c r="K39" s="5193">
        <f>SUM(AM40:AO40)</f>
        <v>0</v>
      </c>
      <c r="L39" s="5195"/>
      <c r="M39" s="5196"/>
      <c r="N39" s="5193">
        <f>SUM(AQ40:AS40)</f>
        <v>0</v>
      </c>
      <c r="O39" s="5195"/>
      <c r="P39" s="1677"/>
      <c r="Q39" s="2442"/>
      <c r="R39" s="112"/>
      <c r="S39" s="112"/>
      <c r="T39" s="2586"/>
      <c r="U39" s="2589"/>
      <c r="V39" s="2588"/>
      <c r="W39" s="2586"/>
      <c r="X39" s="1703"/>
      <c r="Z39" s="305"/>
      <c r="AA39" s="305"/>
      <c r="AB39" s="305"/>
      <c r="AE39" s="305"/>
      <c r="AF39" s="305"/>
      <c r="AG39" s="305"/>
      <c r="AI39" s="305"/>
      <c r="AJ39" s="305"/>
      <c r="AK39" s="305"/>
      <c r="AM39" s="305"/>
      <c r="AN39" s="305"/>
      <c r="AO39" s="305"/>
      <c r="AQ39" s="305"/>
      <c r="AR39" s="305"/>
      <c r="AS39" s="305"/>
    </row>
    <row r="40" spans="1:45" ht="12.75" customHeight="1">
      <c r="A40" s="112"/>
      <c r="B40" s="2427"/>
      <c r="C40" s="5200"/>
      <c r="D40" s="5200"/>
      <c r="E40" s="5200"/>
      <c r="F40" s="5200"/>
      <c r="G40" s="5201"/>
      <c r="H40" s="5121" t="str">
        <f>IF(T40&lt;&gt;"",T40,IF($AC40,ROUND(H39,0),""))</f>
        <v/>
      </c>
      <c r="I40" s="5226"/>
      <c r="J40" s="2671" t="str">
        <f>IF(U40&lt;&gt;"",U40,IF($AC40,ROUND(J39,0),""))</f>
        <v/>
      </c>
      <c r="K40" s="5121" t="str">
        <f>IF(V40&lt;&gt;"",V40,IF($AC40,ROUND(K39,0),""))</f>
        <v/>
      </c>
      <c r="L40" s="5122"/>
      <c r="M40" s="5226"/>
      <c r="N40" s="5121" t="str">
        <f>IF(W40&lt;&gt;"",W40,IF($AC40,ROUND(N39,0),""))</f>
        <v/>
      </c>
      <c r="O40" s="5122"/>
      <c r="P40" s="1677"/>
      <c r="Q40" s="2442"/>
      <c r="R40" s="112"/>
      <c r="S40" s="112"/>
      <c r="T40" s="2428"/>
      <c r="U40" s="2429"/>
      <c r="V40" s="4211"/>
      <c r="W40" s="2428"/>
      <c r="X40" s="1703"/>
      <c r="Z40" s="305">
        <f>IF(F8949ALBOXC&lt;&gt;"",F8949ALT,0)</f>
        <v>0</v>
      </c>
      <c r="AA40" s="305">
        <f>IF(F8949BLBOXC&lt;&gt;"",F8949BLT,0)</f>
        <v>0</v>
      </c>
      <c r="AB40" s="305">
        <f>IF(F8949CLBOXC&lt;&gt;"",F8949CLT,0)</f>
        <v>0</v>
      </c>
      <c r="AC40" s="4" t="b">
        <f>IF(SUM(Z40:AB40)&gt;0,TRUE,FALSE)</f>
        <v>0</v>
      </c>
      <c r="AE40" s="305">
        <f>IF(F8949ALBOXC&lt;&gt;"",F8949ALTD,0)</f>
        <v>0</v>
      </c>
      <c r="AF40" s="305">
        <f>IF(F8949BLBOXC&lt;&gt;"",F8949BLTD,0)</f>
        <v>0</v>
      </c>
      <c r="AG40" s="305">
        <f>IF(F8949CLBOXC&lt;&gt;"",F8949CLTD,0)</f>
        <v>0</v>
      </c>
      <c r="AI40" s="305">
        <f>IF(F8949ALBOXC&lt;&gt;"",F8949ALTE,0)</f>
        <v>0</v>
      </c>
      <c r="AJ40" s="305">
        <f>IF(F8949BLBOXC&lt;&gt;"",F8949BLTE,0)</f>
        <v>0</v>
      </c>
      <c r="AK40" s="305">
        <f>IF(F8949CLBOXC&lt;&gt;"",F8949CLTE,0)</f>
        <v>0</v>
      </c>
      <c r="AM40" s="305">
        <f>IF(F8949ALBOXC&lt;&gt;"",F8949ALTG,0)</f>
        <v>0</v>
      </c>
      <c r="AN40" s="305">
        <f>IF(F8949BLBOXC&lt;&gt;"",F8949BLTG,0)</f>
        <v>0</v>
      </c>
      <c r="AO40" s="305">
        <f>IF(F8949CLBOXC&lt;&gt;"",F8949CLTG,0)</f>
        <v>0</v>
      </c>
      <c r="AQ40" s="305">
        <f>IF(F8949ALBOXC&lt;&gt;"",F8949ALTH,0)</f>
        <v>0</v>
      </c>
      <c r="AR40" s="305">
        <f>IF(F8949BLBOXC&lt;&gt;"",F8949BLTH,0)</f>
        <v>0</v>
      </c>
      <c r="AS40" s="305">
        <f>IF(F8949CLBOXC&lt;&gt;"",F8949CLTH,0)</f>
        <v>0</v>
      </c>
    </row>
    <row r="41" spans="1:45" ht="12.75" customHeight="1">
      <c r="A41" s="112"/>
      <c r="B41" s="1649">
        <v>11</v>
      </c>
      <c r="C41" s="5232" t="s">
        <v>1431</v>
      </c>
      <c r="D41" s="5228"/>
      <c r="E41" s="5228"/>
      <c r="F41" s="5228"/>
      <c r="G41" s="5228"/>
      <c r="H41" s="5228"/>
      <c r="I41" s="5228"/>
      <c r="J41" s="5228"/>
      <c r="K41" s="5228"/>
      <c r="L41" s="5229"/>
      <c r="M41" s="1010"/>
      <c r="N41" s="5230"/>
      <c r="O41" s="5231"/>
      <c r="P41" s="1677"/>
      <c r="Q41" s="2442"/>
      <c r="R41" s="112"/>
      <c r="S41" s="112"/>
      <c r="T41" s="112"/>
      <c r="U41" s="112"/>
      <c r="V41" s="112"/>
      <c r="W41" s="112"/>
      <c r="X41" s="112"/>
      <c r="Z41" s="305"/>
      <c r="AA41" s="305"/>
      <c r="AB41" s="305"/>
      <c r="AE41" s="305"/>
      <c r="AF41" s="305"/>
      <c r="AG41" s="305"/>
      <c r="AI41" s="305"/>
      <c r="AJ41" s="305"/>
      <c r="AK41" s="305"/>
      <c r="AM41" s="305"/>
      <c r="AN41" s="305"/>
      <c r="AO41" s="305"/>
      <c r="AQ41" s="305"/>
      <c r="AR41" s="305"/>
      <c r="AS41" s="305"/>
    </row>
    <row r="42" spans="1:45" ht="13.5" customHeight="1">
      <c r="A42" s="112"/>
      <c r="B42" s="1649"/>
      <c r="C42" s="4714"/>
      <c r="D42" s="4714"/>
      <c r="E42" s="4714"/>
      <c r="F42" s="4714"/>
      <c r="G42" s="4714"/>
      <c r="H42" s="4714"/>
      <c r="I42" s="4714"/>
      <c r="J42" s="4714"/>
      <c r="K42" s="4714"/>
      <c r="L42" s="5114"/>
      <c r="M42" s="322">
        <f>B41</f>
        <v>11</v>
      </c>
      <c r="N42" s="5132"/>
      <c r="O42" s="4746"/>
      <c r="P42" s="1677"/>
      <c r="Q42" s="2442"/>
      <c r="R42" s="112"/>
      <c r="S42" s="112"/>
      <c r="T42" s="112"/>
      <c r="U42" s="112"/>
      <c r="V42" s="112"/>
      <c r="W42" s="112"/>
      <c r="X42" s="112"/>
      <c r="Z42" s="305"/>
      <c r="AA42" s="305"/>
      <c r="AB42" s="305"/>
      <c r="AE42" s="305"/>
      <c r="AF42" s="305"/>
      <c r="AG42" s="305"/>
      <c r="AI42" s="305"/>
      <c r="AJ42" s="305"/>
      <c r="AK42" s="305"/>
      <c r="AM42" s="305"/>
      <c r="AN42" s="305"/>
      <c r="AO42" s="305"/>
      <c r="AQ42" s="305"/>
      <c r="AR42" s="305"/>
      <c r="AS42" s="305"/>
    </row>
    <row r="43" spans="1:45">
      <c r="A43" s="112"/>
      <c r="B43" s="237"/>
      <c r="C43" s="225"/>
      <c r="D43" s="225"/>
      <c r="E43" s="225"/>
      <c r="F43" s="225"/>
      <c r="G43" s="291"/>
      <c r="H43" s="189"/>
      <c r="I43" s="189"/>
      <c r="J43" s="189"/>
      <c r="K43" s="237"/>
      <c r="L43" s="237"/>
      <c r="M43" s="1010"/>
      <c r="N43" s="2453"/>
      <c r="O43" s="2454"/>
      <c r="P43" s="1677"/>
      <c r="Q43" s="2442"/>
      <c r="R43" s="112"/>
      <c r="S43" s="112"/>
      <c r="T43" s="11"/>
      <c r="U43" s="11"/>
      <c r="V43" s="11"/>
      <c r="W43" s="11"/>
      <c r="X43" s="11"/>
      <c r="Z43" s="305"/>
      <c r="AA43" s="305"/>
      <c r="AB43" s="305"/>
      <c r="AE43" s="305"/>
      <c r="AF43" s="305"/>
      <c r="AG43" s="305"/>
      <c r="AI43" s="305"/>
      <c r="AJ43" s="305"/>
      <c r="AK43" s="305"/>
      <c r="AM43" s="305"/>
      <c r="AN43" s="305"/>
      <c r="AO43" s="305"/>
      <c r="AQ43" s="305"/>
      <c r="AR43" s="305"/>
      <c r="AS43" s="305"/>
    </row>
    <row r="44" spans="1:45" ht="12.75" customHeight="1">
      <c r="A44" s="112"/>
      <c r="B44" s="237">
        <v>12</v>
      </c>
      <c r="C44" s="225" t="s">
        <v>1425</v>
      </c>
      <c r="D44" s="225"/>
      <c r="E44" s="225"/>
      <c r="F44" s="225"/>
      <c r="G44" s="291"/>
      <c r="H44" s="189"/>
      <c r="I44" s="189"/>
      <c r="J44" s="189"/>
      <c r="K44" s="237"/>
      <c r="L44" s="302"/>
      <c r="M44" s="322">
        <f>B44</f>
        <v>12</v>
      </c>
      <c r="N44" s="5132"/>
      <c r="O44" s="4746"/>
      <c r="P44" s="1678"/>
      <c r="Q44" s="2443"/>
      <c r="R44" s="112"/>
      <c r="S44" s="112"/>
      <c r="T44" s="11"/>
      <c r="U44" s="11"/>
      <c r="V44" s="11"/>
      <c r="W44" s="11"/>
      <c r="X44" s="11"/>
      <c r="Z44" s="305"/>
      <c r="AA44" s="305"/>
      <c r="AB44" s="305"/>
      <c r="AE44" s="305"/>
      <c r="AF44" s="305"/>
      <c r="AG44" s="305"/>
      <c r="AI44" s="305"/>
      <c r="AJ44" s="305"/>
      <c r="AK44" s="305"/>
      <c r="AM44" s="305"/>
      <c r="AN44" s="305"/>
      <c r="AO44" s="305"/>
      <c r="AQ44" s="305"/>
      <c r="AR44" s="305"/>
      <c r="AS44" s="305"/>
    </row>
    <row r="45" spans="1:45" ht="13.5" customHeight="1">
      <c r="A45" s="112"/>
      <c r="B45" s="237"/>
      <c r="C45" s="225"/>
      <c r="D45" s="225"/>
      <c r="E45" s="225"/>
      <c r="F45" s="225"/>
      <c r="G45" s="291"/>
      <c r="H45" s="291"/>
      <c r="I45" s="291"/>
      <c r="J45" s="189"/>
      <c r="K45" s="191"/>
      <c r="L45" s="191"/>
      <c r="M45" s="1650"/>
      <c r="N45" s="5233"/>
      <c r="O45" s="5234"/>
      <c r="P45" s="1679"/>
      <c r="Q45" s="2444"/>
      <c r="R45" s="2456" t="str">
        <f>IF(N48="","",IF(N48&gt;0,"The amount entered",""))</f>
        <v/>
      </c>
      <c r="S45" s="112"/>
      <c r="T45" s="11"/>
      <c r="U45" s="11"/>
      <c r="V45" s="11"/>
      <c r="W45" s="11"/>
      <c r="X45" s="11"/>
      <c r="Z45" s="305"/>
      <c r="AA45" s="305"/>
      <c r="AB45" s="305"/>
      <c r="AE45" s="305"/>
      <c r="AF45" s="305"/>
      <c r="AG45" s="305"/>
      <c r="AI45" s="305"/>
      <c r="AJ45" s="305"/>
      <c r="AK45" s="305"/>
      <c r="AM45" s="305"/>
      <c r="AN45" s="305"/>
      <c r="AO45" s="305"/>
      <c r="AQ45" s="305"/>
      <c r="AR45" s="305"/>
      <c r="AS45" s="305"/>
    </row>
    <row r="46" spans="1:45" ht="13.5" customHeight="1">
      <c r="A46" s="112"/>
      <c r="B46" s="185">
        <v>13</v>
      </c>
      <c r="C46" s="1532" t="s">
        <v>1115</v>
      </c>
      <c r="D46" s="355"/>
      <c r="E46" s="355"/>
      <c r="F46" s="257"/>
      <c r="G46" s="291"/>
      <c r="H46" s="291"/>
      <c r="I46" s="291"/>
      <c r="J46" s="189"/>
      <c r="K46" s="237"/>
      <c r="L46" s="237" t="s">
        <v>1193</v>
      </c>
      <c r="M46" s="322">
        <f>B46</f>
        <v>13</v>
      </c>
      <c r="N46" s="5132"/>
      <c r="O46" s="4746"/>
      <c r="P46" s="1679"/>
      <c r="Q46" s="2444"/>
      <c r="R46" s="2456" t="str">
        <f>IF(N48="","",IF(N48&gt;0,"on Line 14 must be",""))</f>
        <v/>
      </c>
      <c r="S46" s="112"/>
      <c r="T46" s="11"/>
      <c r="U46" s="11"/>
      <c r="V46" s="11"/>
      <c r="W46" s="11"/>
      <c r="X46" s="11"/>
      <c r="Z46" s="305"/>
      <c r="AA46" s="305"/>
      <c r="AB46" s="305"/>
      <c r="AE46" s="305"/>
      <c r="AF46" s="305"/>
      <c r="AG46" s="305"/>
      <c r="AI46" s="305"/>
      <c r="AJ46" s="305"/>
      <c r="AK46" s="305"/>
      <c r="AM46" s="305"/>
      <c r="AN46" s="305"/>
      <c r="AO46" s="305"/>
      <c r="AQ46" s="305"/>
      <c r="AR46" s="305"/>
      <c r="AS46" s="305"/>
    </row>
    <row r="47" spans="1:45">
      <c r="A47" s="112"/>
      <c r="B47" s="237">
        <v>14</v>
      </c>
      <c r="C47" s="225" t="s">
        <v>1114</v>
      </c>
      <c r="D47" s="225"/>
      <c r="E47" s="225"/>
      <c r="F47" s="225"/>
      <c r="G47" s="291"/>
      <c r="H47" s="291"/>
      <c r="I47" s="291"/>
      <c r="J47" s="189"/>
      <c r="K47" s="191"/>
      <c r="L47" s="191"/>
      <c r="M47" s="1650"/>
      <c r="N47" s="5233"/>
      <c r="O47" s="5234"/>
      <c r="P47" s="1679"/>
      <c r="Q47" s="2444"/>
      <c r="R47" s="2456" t="str">
        <f>IF(N48="","",IF(N48&gt;0,"as negative amount.",""))</f>
        <v/>
      </c>
      <c r="S47" s="112"/>
      <c r="T47" s="11"/>
      <c r="U47" s="11"/>
      <c r="V47" s="11"/>
      <c r="W47" s="11"/>
      <c r="X47" s="11"/>
      <c r="Z47" s="305"/>
      <c r="AA47" s="305"/>
      <c r="AB47" s="305"/>
      <c r="AE47" s="305"/>
      <c r="AF47" s="305"/>
      <c r="AG47" s="305"/>
      <c r="AI47" s="305"/>
      <c r="AJ47" s="305"/>
      <c r="AK47" s="305"/>
      <c r="AM47" s="305"/>
      <c r="AN47" s="305"/>
      <c r="AO47" s="305"/>
      <c r="AQ47" s="305"/>
      <c r="AR47" s="305"/>
      <c r="AS47" s="305"/>
    </row>
    <row r="48" spans="1:45" ht="13.5" customHeight="1">
      <c r="A48" s="112"/>
      <c r="B48" s="185"/>
      <c r="C48" s="355" t="s">
        <v>1112</v>
      </c>
      <c r="D48" s="355"/>
      <c r="E48" s="355"/>
      <c r="F48" s="257"/>
      <c r="G48" s="291"/>
      <c r="H48" s="291"/>
      <c r="I48" s="291"/>
      <c r="J48" s="189"/>
      <c r="K48" s="237"/>
      <c r="L48" s="302" t="s">
        <v>1113</v>
      </c>
      <c r="M48" s="322">
        <f>B47</f>
        <v>14</v>
      </c>
      <c r="N48" s="5248" t="str">
        <f>IF(R48&lt;&gt;"",ROUND(R48,0),IF('Sch. D WS'!P33="","",-'Sch. D WS'!P33))</f>
        <v/>
      </c>
      <c r="O48" s="4763"/>
      <c r="P48" s="1679"/>
      <c r="Q48" s="2444"/>
      <c r="R48" s="2684"/>
      <c r="S48" s="112"/>
      <c r="T48" s="11"/>
      <c r="U48" s="11"/>
      <c r="V48" s="11"/>
      <c r="W48" s="11"/>
      <c r="X48" s="11"/>
      <c r="Z48" s="305"/>
      <c r="AA48" s="305"/>
      <c r="AB48" s="305"/>
      <c r="AE48" s="305"/>
      <c r="AF48" s="305"/>
      <c r="AG48" s="305"/>
      <c r="AI48" s="305"/>
      <c r="AJ48" s="305"/>
      <c r="AK48" s="305"/>
      <c r="AM48" s="305"/>
      <c r="AN48" s="305"/>
      <c r="AO48" s="305"/>
      <c r="AQ48" s="305"/>
      <c r="AR48" s="305"/>
      <c r="AS48" s="305"/>
    </row>
    <row r="49" spans="1:45" ht="12.75" customHeight="1">
      <c r="A49" s="112"/>
      <c r="B49" s="1649">
        <v>15</v>
      </c>
      <c r="C49" s="5182" t="s">
        <v>3183</v>
      </c>
      <c r="D49" s="5183"/>
      <c r="E49" s="5183"/>
      <c r="F49" s="5183"/>
      <c r="G49" s="5183"/>
      <c r="H49" s="5183"/>
      <c r="I49" s="5183"/>
      <c r="J49" s="5183"/>
      <c r="K49" s="5183"/>
      <c r="L49" s="4564"/>
      <c r="M49" s="1010"/>
      <c r="N49" s="5257"/>
      <c r="O49" s="5234"/>
      <c r="P49" s="1680"/>
      <c r="Q49" s="2445"/>
      <c r="R49" s="2456"/>
      <c r="S49" s="112"/>
      <c r="T49" s="11"/>
      <c r="U49" s="11"/>
      <c r="V49" s="11"/>
      <c r="W49" s="11"/>
      <c r="X49" s="11"/>
      <c r="Z49" s="305"/>
      <c r="AA49" s="305"/>
      <c r="AB49" s="305"/>
      <c r="AE49" s="305"/>
      <c r="AF49" s="305"/>
      <c r="AG49" s="305"/>
      <c r="AI49" s="305"/>
      <c r="AJ49" s="305"/>
      <c r="AK49" s="305"/>
      <c r="AM49" s="305"/>
      <c r="AN49" s="305"/>
      <c r="AO49" s="305"/>
      <c r="AQ49" s="305"/>
      <c r="AR49" s="305"/>
      <c r="AS49" s="305"/>
    </row>
    <row r="50" spans="1:45" ht="12.75" customHeight="1" thickBot="1">
      <c r="A50" s="112"/>
      <c r="B50" s="1651"/>
      <c r="C50" s="5184"/>
      <c r="D50" s="5184"/>
      <c r="E50" s="5184"/>
      <c r="F50" s="5184"/>
      <c r="G50" s="5184"/>
      <c r="H50" s="5184"/>
      <c r="I50" s="5184"/>
      <c r="J50" s="5184"/>
      <c r="K50" s="5184"/>
      <c r="L50" s="5185"/>
      <c r="M50" s="2455">
        <f>B49</f>
        <v>15</v>
      </c>
      <c r="N50" s="5245">
        <f>IF(R50&lt;&gt;"",R50,SUM(N34,N36,N38,N40,N42,N44,N46,N48))</f>
        <v>0</v>
      </c>
      <c r="O50" s="5173"/>
      <c r="P50" s="1680"/>
      <c r="Q50" s="2445"/>
      <c r="R50" s="2684"/>
      <c r="S50" s="112"/>
      <c r="T50" s="11"/>
      <c r="U50" s="11"/>
      <c r="V50" s="11"/>
      <c r="W50" s="11"/>
      <c r="X50" s="11"/>
      <c r="Z50" s="305"/>
      <c r="AA50" s="305"/>
      <c r="AB50" s="305"/>
      <c r="AE50" s="305"/>
      <c r="AF50" s="305"/>
      <c r="AG50" s="305"/>
      <c r="AI50" s="305"/>
      <c r="AJ50" s="305"/>
      <c r="AK50" s="305"/>
      <c r="AM50" s="305"/>
      <c r="AN50" s="305"/>
      <c r="AO50" s="305"/>
      <c r="AQ50" s="305"/>
      <c r="AR50" s="305"/>
      <c r="AS50" s="305"/>
    </row>
    <row r="51" spans="1:45" ht="12" customHeight="1">
      <c r="A51" s="112"/>
      <c r="B51" s="294" t="s">
        <v>779</v>
      </c>
      <c r="C51" s="222"/>
      <c r="D51" s="294"/>
      <c r="E51" s="294"/>
      <c r="F51" s="294"/>
      <c r="G51" s="294"/>
      <c r="H51" s="294"/>
      <c r="I51" s="294"/>
      <c r="J51" s="296"/>
      <c r="K51" s="634" t="s">
        <v>896</v>
      </c>
      <c r="L51" s="295"/>
      <c r="M51" s="295"/>
      <c r="N51" s="295"/>
      <c r="O51" s="329" t="str">
        <f>"Schedule D (Form 1040)   "&amp;TaxYear</f>
        <v>Schedule D (Form 1040)   2016</v>
      </c>
      <c r="P51" s="1682"/>
      <c r="Q51" s="2447"/>
      <c r="R51" s="112"/>
      <c r="S51" s="112"/>
      <c r="T51" s="339"/>
      <c r="U51" s="339"/>
      <c r="V51" s="339"/>
      <c r="W51" s="339"/>
      <c r="X51" s="339"/>
      <c r="Z51" s="760"/>
      <c r="AA51" s="760"/>
      <c r="AB51" s="760"/>
      <c r="AE51" s="760"/>
      <c r="AF51" s="760"/>
      <c r="AG51" s="760"/>
      <c r="AI51" s="760"/>
      <c r="AJ51" s="760"/>
      <c r="AK51" s="760"/>
      <c r="AM51" s="760"/>
      <c r="AN51" s="760"/>
      <c r="AO51" s="760"/>
      <c r="AQ51" s="760"/>
      <c r="AR51" s="760"/>
      <c r="AS51" s="760"/>
    </row>
    <row r="52" spans="1:45" ht="15" customHeight="1">
      <c r="A52" s="112"/>
      <c r="B52" s="222"/>
      <c r="C52" s="222"/>
      <c r="D52" s="294"/>
      <c r="E52" s="294"/>
      <c r="F52" s="294"/>
      <c r="G52" s="294"/>
      <c r="H52" s="294"/>
      <c r="I52" s="294"/>
      <c r="J52" s="296"/>
      <c r="K52" s="296"/>
      <c r="L52" s="295"/>
      <c r="M52" s="295"/>
      <c r="N52" s="295"/>
      <c r="O52" s="888"/>
      <c r="P52" s="1683"/>
      <c r="Q52" s="2448"/>
      <c r="R52" s="112"/>
      <c r="S52" s="112"/>
      <c r="T52" s="339"/>
      <c r="U52" s="339"/>
      <c r="V52" s="339"/>
      <c r="W52" s="339"/>
      <c r="X52" s="339"/>
      <c r="Z52" s="760"/>
      <c r="AA52" s="760"/>
      <c r="AB52" s="760"/>
      <c r="AE52" s="760"/>
      <c r="AF52" s="760"/>
      <c r="AG52" s="760"/>
      <c r="AI52" s="760"/>
      <c r="AJ52" s="760"/>
      <c r="AK52" s="760"/>
      <c r="AM52" s="760"/>
      <c r="AN52" s="760"/>
      <c r="AO52" s="760"/>
      <c r="AQ52" s="760"/>
      <c r="AR52" s="760"/>
      <c r="AS52" s="760"/>
    </row>
    <row r="53" spans="1:45" ht="15" customHeight="1" thickBot="1">
      <c r="A53" s="112"/>
      <c r="B53" s="32" t="str">
        <f>"Schedule D (1040)  "&amp;TaxYear</f>
        <v>Schedule D (1040)  2016</v>
      </c>
      <c r="C53" s="32"/>
      <c r="D53" s="294"/>
      <c r="E53" s="294"/>
      <c r="F53" s="294"/>
      <c r="G53" s="294"/>
      <c r="H53" s="294"/>
      <c r="I53" s="294"/>
      <c r="J53" s="295"/>
      <c r="K53" s="295"/>
      <c r="L53" s="295"/>
      <c r="M53" s="295"/>
      <c r="N53" s="295"/>
      <c r="O53" s="324" t="s">
        <v>718</v>
      </c>
      <c r="P53" s="1682"/>
      <c r="Q53" s="2447"/>
      <c r="R53" s="112"/>
      <c r="S53" s="112"/>
      <c r="T53" s="339"/>
      <c r="U53" s="339"/>
      <c r="V53" s="339"/>
      <c r="W53" s="339"/>
      <c r="X53" s="339"/>
      <c r="Z53" s="760"/>
      <c r="AA53" s="760"/>
      <c r="AB53" s="760"/>
      <c r="AE53" s="760"/>
      <c r="AF53" s="760"/>
      <c r="AG53" s="760"/>
      <c r="AI53" s="760"/>
      <c r="AJ53" s="760"/>
      <c r="AK53" s="760"/>
      <c r="AM53" s="760"/>
      <c r="AN53" s="760"/>
      <c r="AO53" s="760"/>
      <c r="AQ53" s="760"/>
      <c r="AR53" s="760"/>
      <c r="AS53" s="760"/>
    </row>
    <row r="54" spans="1:45" ht="3" customHeight="1">
      <c r="A54" s="112"/>
      <c r="B54" s="422"/>
      <c r="C54" s="422"/>
      <c r="D54" s="341"/>
      <c r="E54" s="341"/>
      <c r="F54" s="341"/>
      <c r="G54" s="341"/>
      <c r="H54" s="341"/>
      <c r="I54" s="341"/>
      <c r="J54" s="825"/>
      <c r="K54" s="825"/>
      <c r="L54" s="825"/>
      <c r="M54" s="825"/>
      <c r="N54" s="825"/>
      <c r="O54" s="827"/>
      <c r="P54" s="1683"/>
      <c r="Q54" s="2448"/>
      <c r="R54" s="112"/>
      <c r="S54" s="112"/>
      <c r="T54" s="339"/>
      <c r="U54" s="339"/>
      <c r="V54" s="339"/>
      <c r="W54" s="339"/>
      <c r="X54" s="339"/>
      <c r="Z54" s="760"/>
      <c r="AA54" s="760"/>
      <c r="AB54" s="760"/>
      <c r="AE54" s="760"/>
      <c r="AF54" s="760"/>
      <c r="AG54" s="760"/>
      <c r="AI54" s="760"/>
      <c r="AJ54" s="760"/>
      <c r="AK54" s="760"/>
      <c r="AM54" s="760"/>
      <c r="AN54" s="760"/>
      <c r="AO54" s="760"/>
      <c r="AQ54" s="760"/>
      <c r="AR54" s="760"/>
      <c r="AS54" s="760"/>
    </row>
    <row r="55" spans="1:45" s="907" customFormat="1" ht="20.25" customHeight="1">
      <c r="A55" s="112"/>
      <c r="B55" s="5297" t="s">
        <v>499</v>
      </c>
      <c r="C55" s="5297"/>
      <c r="D55" s="4979"/>
      <c r="E55" s="903" t="s">
        <v>410</v>
      </c>
      <c r="F55" s="903"/>
      <c r="G55" s="904"/>
      <c r="H55" s="904"/>
      <c r="I55" s="904"/>
      <c r="J55" s="905"/>
      <c r="K55" s="905"/>
      <c r="L55" s="905"/>
      <c r="M55" s="905"/>
      <c r="N55" s="905"/>
      <c r="O55" s="905"/>
      <c r="P55" s="1682"/>
      <c r="Q55" s="2447"/>
      <c r="R55" s="112"/>
      <c r="S55" s="112"/>
      <c r="T55" s="906"/>
      <c r="U55" s="906"/>
      <c r="V55" s="906"/>
      <c r="W55" s="906"/>
      <c r="X55" s="906"/>
      <c r="Y55" s="2581"/>
      <c r="Z55" s="2575"/>
      <c r="AA55" s="2575"/>
      <c r="AB55" s="2575"/>
      <c r="AC55" s="2582"/>
      <c r="AD55" s="2581"/>
      <c r="AE55" s="2575"/>
      <c r="AF55" s="2575"/>
      <c r="AG55" s="2575"/>
      <c r="AH55" s="2572"/>
      <c r="AI55" s="2575"/>
      <c r="AJ55" s="2575"/>
      <c r="AK55" s="2575"/>
      <c r="AL55" s="2572"/>
      <c r="AM55" s="2575"/>
      <c r="AN55" s="2575"/>
      <c r="AO55" s="2575"/>
      <c r="AP55" s="2581"/>
      <c r="AQ55" s="2575"/>
      <c r="AR55" s="2575"/>
      <c r="AS55" s="2575"/>
    </row>
    <row r="56" spans="1:45" ht="3.75" customHeight="1">
      <c r="A56" s="112"/>
      <c r="B56" s="209"/>
      <c r="C56" s="209"/>
      <c r="D56" s="207"/>
      <c r="E56" s="207"/>
      <c r="F56" s="207"/>
      <c r="G56" s="207"/>
      <c r="H56" s="207"/>
      <c r="I56" s="207"/>
      <c r="J56" s="889"/>
      <c r="K56" s="889"/>
      <c r="L56" s="297"/>
      <c r="M56" s="297"/>
      <c r="N56" s="297"/>
      <c r="O56" s="822"/>
      <c r="P56" s="1683"/>
      <c r="Q56" s="2448"/>
      <c r="R56" s="112"/>
      <c r="S56" s="112"/>
      <c r="T56" s="339"/>
      <c r="U56" s="339"/>
      <c r="V56" s="339"/>
      <c r="W56" s="339"/>
      <c r="X56" s="339"/>
      <c r="Z56" s="760"/>
      <c r="AA56" s="760"/>
      <c r="AB56" s="760"/>
      <c r="AE56" s="760"/>
      <c r="AF56" s="760"/>
      <c r="AG56" s="760"/>
      <c r="AI56" s="760"/>
      <c r="AJ56" s="760"/>
      <c r="AK56" s="760"/>
      <c r="AM56" s="760"/>
      <c r="AN56" s="760"/>
      <c r="AO56" s="760"/>
      <c r="AQ56" s="760"/>
      <c r="AR56" s="760"/>
      <c r="AS56" s="760"/>
    </row>
    <row r="57" spans="1:45" ht="12.75" customHeight="1">
      <c r="A57" s="112"/>
      <c r="B57" s="318"/>
      <c r="C57" s="257"/>
      <c r="D57" s="891"/>
      <c r="E57" s="891"/>
      <c r="F57" s="257"/>
      <c r="G57" s="291"/>
      <c r="H57" s="189"/>
      <c r="I57" s="189"/>
      <c r="J57" s="189"/>
      <c r="K57" s="237"/>
      <c r="L57" s="237"/>
      <c r="M57" s="1010"/>
      <c r="N57" s="5299"/>
      <c r="O57" s="5300"/>
      <c r="P57" s="1683"/>
      <c r="Q57" s="2448"/>
      <c r="R57" s="112"/>
      <c r="S57" s="112"/>
      <c r="T57" s="11"/>
      <c r="U57" s="11"/>
      <c r="V57" s="11"/>
      <c r="W57" s="11"/>
      <c r="X57" s="11"/>
      <c r="Z57" s="305"/>
      <c r="AA57" s="305"/>
      <c r="AB57" s="305"/>
      <c r="AE57" s="305"/>
      <c r="AF57" s="305"/>
      <c r="AG57" s="305"/>
      <c r="AI57" s="305"/>
      <c r="AJ57" s="305"/>
      <c r="AK57" s="305"/>
      <c r="AM57" s="305"/>
      <c r="AN57" s="305"/>
      <c r="AO57" s="305"/>
      <c r="AQ57" s="305"/>
      <c r="AR57" s="305"/>
      <c r="AS57" s="305"/>
    </row>
    <row r="58" spans="1:45" ht="12.75" customHeight="1">
      <c r="A58" s="112"/>
      <c r="B58" s="318">
        <v>16</v>
      </c>
      <c r="C58" s="257" t="s">
        <v>118</v>
      </c>
      <c r="D58" s="891"/>
      <c r="E58" s="891"/>
      <c r="F58" s="257"/>
      <c r="G58" s="291"/>
      <c r="H58" s="189"/>
      <c r="I58" s="189"/>
      <c r="J58" s="189"/>
      <c r="K58" s="237"/>
      <c r="L58" s="237" t="s">
        <v>1128</v>
      </c>
      <c r="M58" s="322">
        <f>B58</f>
        <v>16</v>
      </c>
      <c r="N58" s="5295">
        <f>SUM(N28,N50)</f>
        <v>0</v>
      </c>
      <c r="O58" s="5298"/>
      <c r="P58" s="1683"/>
      <c r="Q58" s="2448"/>
      <c r="R58" s="112"/>
      <c r="S58" s="112"/>
      <c r="T58" s="11"/>
      <c r="U58" s="11"/>
      <c r="V58" s="11"/>
      <c r="W58" s="11"/>
      <c r="X58" s="11"/>
      <c r="Z58" s="305"/>
      <c r="AA58" s="305"/>
      <c r="AB58" s="305"/>
      <c r="AE58" s="305"/>
      <c r="AF58" s="305"/>
      <c r="AG58" s="305"/>
      <c r="AI58" s="305"/>
      <c r="AJ58" s="305"/>
      <c r="AK58" s="305"/>
      <c r="AM58" s="305"/>
      <c r="AN58" s="305"/>
      <c r="AO58" s="305"/>
      <c r="AQ58" s="305"/>
      <c r="AR58" s="305"/>
      <c r="AS58" s="305"/>
    </row>
    <row r="59" spans="1:45" ht="6" customHeight="1">
      <c r="A59" s="112"/>
      <c r="B59" s="318"/>
      <c r="C59" s="257"/>
      <c r="D59" s="891"/>
      <c r="E59" s="891"/>
      <c r="F59" s="257"/>
      <c r="G59" s="291"/>
      <c r="H59" s="189"/>
      <c r="I59" s="189"/>
      <c r="J59" s="189"/>
      <c r="K59" s="237"/>
      <c r="L59" s="237"/>
      <c r="M59" s="2457"/>
      <c r="N59" s="913"/>
      <c r="O59" s="1652"/>
      <c r="P59" s="1683"/>
      <c r="Q59" s="2448"/>
      <c r="R59" s="112"/>
      <c r="S59" s="112"/>
      <c r="T59" s="11"/>
      <c r="U59" s="11"/>
      <c r="V59" s="11"/>
      <c r="W59" s="11"/>
      <c r="X59" s="11"/>
      <c r="Z59" s="305"/>
      <c r="AA59" s="305"/>
      <c r="AB59" s="305"/>
      <c r="AE59" s="305"/>
      <c r="AF59" s="305"/>
      <c r="AG59" s="305"/>
      <c r="AI59" s="305"/>
      <c r="AJ59" s="305"/>
      <c r="AK59" s="305"/>
      <c r="AM59" s="305"/>
      <c r="AN59" s="305"/>
      <c r="AO59" s="305"/>
      <c r="AQ59" s="305"/>
      <c r="AR59" s="305"/>
      <c r="AS59" s="305"/>
    </row>
    <row r="60" spans="1:45" s="893" customFormat="1" ht="11.25" customHeight="1">
      <c r="A60" s="2629" t="b">
        <f>IF(SchDLine16&gt;0,TRUE,FALSE)</f>
        <v>0</v>
      </c>
      <c r="B60" s="1498" t="s">
        <v>198</v>
      </c>
      <c r="C60" s="507" t="s">
        <v>1117</v>
      </c>
      <c r="D60" s="507"/>
      <c r="E60" s="355"/>
      <c r="F60" s="355"/>
      <c r="G60" s="355"/>
      <c r="H60" s="355"/>
      <c r="I60" s="355"/>
      <c r="J60" s="259"/>
      <c r="K60" s="259"/>
      <c r="L60" s="892"/>
      <c r="M60" s="2457"/>
      <c r="N60" s="913"/>
      <c r="O60" s="1652"/>
      <c r="P60" s="1682"/>
      <c r="Q60" s="2447"/>
      <c r="R60" s="112"/>
      <c r="S60" s="112"/>
      <c r="T60" s="306"/>
      <c r="U60" s="306"/>
      <c r="V60" s="306"/>
      <c r="W60" s="306"/>
      <c r="X60" s="306"/>
      <c r="Z60" s="760"/>
      <c r="AA60" s="760"/>
      <c r="AB60" s="760"/>
      <c r="AC60" s="4"/>
      <c r="AE60" s="760"/>
      <c r="AF60" s="760"/>
      <c r="AG60" s="760"/>
      <c r="AI60" s="760"/>
      <c r="AJ60" s="760"/>
      <c r="AK60" s="760"/>
      <c r="AM60" s="760"/>
      <c r="AN60" s="760"/>
      <c r="AO60" s="760"/>
      <c r="AQ60" s="760"/>
      <c r="AR60" s="760"/>
      <c r="AS60" s="760"/>
    </row>
    <row r="61" spans="1:45" s="893" customFormat="1" ht="11.25" customHeight="1">
      <c r="A61" s="112"/>
      <c r="B61" s="1277"/>
      <c r="C61" s="507" t="s">
        <v>1116</v>
      </c>
      <c r="D61" s="507"/>
      <c r="E61" s="355"/>
      <c r="F61" s="355"/>
      <c r="G61" s="355"/>
      <c r="H61" s="355"/>
      <c r="I61" s="355"/>
      <c r="J61" s="259"/>
      <c r="K61" s="259"/>
      <c r="L61" s="892"/>
      <c r="M61" s="2457"/>
      <c r="N61" s="913"/>
      <c r="O61" s="1652"/>
      <c r="P61" s="1682"/>
      <c r="Q61" s="2447"/>
      <c r="R61" s="112"/>
      <c r="S61" s="112"/>
      <c r="T61" s="306"/>
      <c r="U61" s="306"/>
      <c r="V61" s="306"/>
      <c r="W61" s="306"/>
      <c r="X61" s="306"/>
      <c r="Z61" s="760"/>
      <c r="AA61" s="760"/>
      <c r="AB61" s="760"/>
      <c r="AC61" s="4"/>
      <c r="AE61" s="760"/>
      <c r="AF61" s="760"/>
      <c r="AG61" s="760"/>
      <c r="AI61" s="760"/>
      <c r="AJ61" s="760"/>
      <c r="AK61" s="760"/>
      <c r="AM61" s="760"/>
      <c r="AN61" s="760"/>
      <c r="AO61" s="760"/>
      <c r="AQ61" s="760"/>
      <c r="AR61" s="760"/>
      <c r="AS61" s="760"/>
    </row>
    <row r="62" spans="1:45" s="893" customFormat="1" ht="15" customHeight="1">
      <c r="A62" s="1944" t="b">
        <f>IF(SchDLine16&lt;0,TRUE,FALSE)</f>
        <v>0</v>
      </c>
      <c r="B62" s="1498" t="s">
        <v>198</v>
      </c>
      <c r="C62" s="507" t="s">
        <v>899</v>
      </c>
      <c r="D62" s="507"/>
      <c r="E62" s="355"/>
      <c r="F62" s="355"/>
      <c r="G62" s="355"/>
      <c r="H62" s="355"/>
      <c r="I62" s="355"/>
      <c r="J62" s="259"/>
      <c r="K62" s="259"/>
      <c r="L62" s="892"/>
      <c r="M62" s="2457"/>
      <c r="N62" s="913"/>
      <c r="O62" s="1652"/>
      <c r="P62" s="1682"/>
      <c r="Q62" s="2447"/>
      <c r="R62" s="112"/>
      <c r="S62" s="112"/>
      <c r="T62" s="306"/>
      <c r="U62" s="306"/>
      <c r="V62" s="306"/>
      <c r="W62" s="306"/>
      <c r="X62" s="306"/>
      <c r="Z62" s="760"/>
      <c r="AA62" s="760"/>
      <c r="AB62" s="760"/>
      <c r="AC62" s="4"/>
      <c r="AE62" s="760"/>
      <c r="AF62" s="760"/>
      <c r="AG62" s="760"/>
      <c r="AI62" s="760"/>
      <c r="AJ62" s="760"/>
      <c r="AK62" s="760"/>
      <c r="AM62" s="760"/>
      <c r="AN62" s="760"/>
      <c r="AO62" s="760"/>
      <c r="AQ62" s="760"/>
      <c r="AR62" s="760"/>
      <c r="AS62" s="760"/>
    </row>
    <row r="63" spans="1:45" s="893" customFormat="1" ht="13.5" customHeight="1">
      <c r="A63" s="112"/>
      <c r="B63" s="1277"/>
      <c r="C63" s="507" t="s">
        <v>897</v>
      </c>
      <c r="D63" s="507"/>
      <c r="E63" s="355"/>
      <c r="F63" s="355"/>
      <c r="G63" s="355"/>
      <c r="H63" s="355"/>
      <c r="I63" s="355"/>
      <c r="J63" s="259"/>
      <c r="K63" s="259"/>
      <c r="L63" s="892"/>
      <c r="M63" s="2457"/>
      <c r="N63" s="913"/>
      <c r="O63" s="1652"/>
      <c r="P63" s="1682"/>
      <c r="Q63" s="2447"/>
      <c r="R63" s="112"/>
      <c r="S63" s="112"/>
      <c r="T63" s="306"/>
      <c r="U63" s="306"/>
      <c r="V63" s="306"/>
      <c r="W63" s="306"/>
      <c r="X63" s="306"/>
      <c r="Z63" s="760"/>
      <c r="AA63" s="760"/>
      <c r="AB63" s="760"/>
      <c r="AC63" s="4"/>
      <c r="AE63" s="760"/>
      <c r="AF63" s="760"/>
      <c r="AG63" s="760"/>
      <c r="AI63" s="760"/>
      <c r="AJ63" s="760"/>
      <c r="AK63" s="760"/>
      <c r="AM63" s="760"/>
      <c r="AN63" s="760"/>
      <c r="AO63" s="760"/>
      <c r="AQ63" s="760"/>
      <c r="AR63" s="760"/>
      <c r="AS63" s="760"/>
    </row>
    <row r="64" spans="1:45" s="893" customFormat="1" ht="15" customHeight="1">
      <c r="A64" s="1944" t="b">
        <f>IF(SchDLine16=0,TRUE,FALSE)</f>
        <v>1</v>
      </c>
      <c r="B64" s="1498" t="s">
        <v>198</v>
      </c>
      <c r="C64" s="507" t="s">
        <v>900</v>
      </c>
      <c r="D64" s="507"/>
      <c r="E64" s="355"/>
      <c r="F64" s="355"/>
      <c r="G64" s="355"/>
      <c r="H64" s="355"/>
      <c r="I64" s="355"/>
      <c r="J64" s="259"/>
      <c r="K64" s="259"/>
      <c r="L64" s="892"/>
      <c r="M64" s="2457"/>
      <c r="N64" s="913"/>
      <c r="O64" s="1652"/>
      <c r="P64" s="1682"/>
      <c r="Q64" s="2447"/>
      <c r="R64" s="112"/>
      <c r="S64" s="112"/>
      <c r="T64" s="306"/>
      <c r="U64" s="306"/>
      <c r="V64" s="306"/>
      <c r="W64" s="306"/>
      <c r="X64" s="306"/>
      <c r="Z64" s="760"/>
      <c r="AA64" s="760"/>
      <c r="AB64" s="760"/>
      <c r="AC64" s="4"/>
      <c r="AE64" s="760"/>
      <c r="AF64" s="760"/>
      <c r="AG64" s="760"/>
      <c r="AI64" s="760"/>
      <c r="AJ64" s="760"/>
      <c r="AK64" s="760"/>
      <c r="AM64" s="760"/>
      <c r="AN64" s="760"/>
      <c r="AO64" s="760"/>
      <c r="AQ64" s="760"/>
      <c r="AR64" s="760"/>
      <c r="AS64" s="760"/>
    </row>
    <row r="65" spans="1:45" s="893" customFormat="1" ht="11.25" customHeight="1">
      <c r="A65" s="112"/>
      <c r="B65" s="1277"/>
      <c r="C65" s="507" t="s">
        <v>898</v>
      </c>
      <c r="D65" s="507"/>
      <c r="E65" s="355"/>
      <c r="F65" s="355"/>
      <c r="G65" s="355"/>
      <c r="H65" s="355"/>
      <c r="I65" s="355"/>
      <c r="J65" s="259"/>
      <c r="K65" s="259"/>
      <c r="L65" s="892"/>
      <c r="M65" s="2457"/>
      <c r="N65" s="913"/>
      <c r="O65" s="1652"/>
      <c r="P65" s="1682"/>
      <c r="Q65" s="2447"/>
      <c r="R65" s="112"/>
      <c r="S65" s="112"/>
      <c r="T65" s="306"/>
      <c r="U65" s="306"/>
      <c r="V65" s="306"/>
      <c r="W65" s="306"/>
      <c r="X65" s="306"/>
      <c r="Z65" s="760"/>
      <c r="AA65" s="760"/>
      <c r="AB65" s="760"/>
      <c r="AC65" s="4"/>
      <c r="AE65" s="760"/>
      <c r="AF65" s="760"/>
      <c r="AG65" s="760"/>
      <c r="AI65" s="760"/>
      <c r="AJ65" s="760"/>
      <c r="AK65" s="760"/>
      <c r="AM65" s="760"/>
      <c r="AN65" s="760"/>
      <c r="AO65" s="760"/>
      <c r="AQ65" s="760"/>
      <c r="AR65" s="760"/>
      <c r="AS65" s="760"/>
    </row>
    <row r="66" spans="1:45" s="893" customFormat="1" ht="8.25" customHeight="1">
      <c r="A66" s="112"/>
      <c r="B66" s="420"/>
      <c r="C66" s="355"/>
      <c r="D66" s="355"/>
      <c r="E66" s="355"/>
      <c r="F66" s="355"/>
      <c r="G66" s="355"/>
      <c r="H66" s="355"/>
      <c r="I66" s="355"/>
      <c r="J66" s="259"/>
      <c r="K66" s="259"/>
      <c r="L66" s="892"/>
      <c r="M66" s="2457"/>
      <c r="N66" s="913"/>
      <c r="O66" s="1652"/>
      <c r="P66" s="1682"/>
      <c r="Q66" s="2447"/>
      <c r="R66" s="112"/>
      <c r="S66" s="112"/>
      <c r="T66" s="306"/>
      <c r="U66" s="306"/>
      <c r="V66" s="306"/>
      <c r="W66" s="306"/>
      <c r="X66" s="306"/>
      <c r="Z66" s="760"/>
      <c r="AA66" s="760"/>
      <c r="AB66" s="760"/>
      <c r="AC66" s="4"/>
      <c r="AE66" s="760"/>
      <c r="AF66" s="760"/>
      <c r="AG66" s="760"/>
      <c r="AI66" s="760"/>
      <c r="AJ66" s="760"/>
      <c r="AK66" s="760"/>
      <c r="AM66" s="760"/>
      <c r="AN66" s="760"/>
      <c r="AO66" s="760"/>
      <c r="AQ66" s="760"/>
      <c r="AR66" s="760"/>
      <c r="AS66" s="760"/>
    </row>
    <row r="67" spans="1:45" s="899" customFormat="1" ht="13.5" customHeight="1">
      <c r="A67" s="112"/>
      <c r="B67" s="910">
        <v>17</v>
      </c>
      <c r="C67" s="3723" t="s">
        <v>39</v>
      </c>
      <c r="D67" s="891"/>
      <c r="E67" s="891"/>
      <c r="F67" s="875"/>
      <c r="G67" s="875"/>
      <c r="H67" s="875"/>
      <c r="I67" s="875"/>
      <c r="J67" s="896"/>
      <c r="K67" s="896"/>
      <c r="L67" s="897"/>
      <c r="M67" s="2457"/>
      <c r="N67" s="913"/>
      <c r="O67" s="1652"/>
      <c r="P67" s="1683"/>
      <c r="Q67" s="2448"/>
      <c r="R67" s="112"/>
      <c r="S67" s="112"/>
      <c r="T67" s="898"/>
      <c r="U67" s="898"/>
      <c r="V67" s="898"/>
      <c r="W67" s="898"/>
      <c r="X67" s="898"/>
      <c r="Z67" s="2576"/>
      <c r="AA67" s="2576"/>
      <c r="AB67" s="2576"/>
      <c r="AC67" s="2582"/>
      <c r="AE67" s="2576"/>
      <c r="AF67" s="2576"/>
      <c r="AG67" s="2576"/>
      <c r="AI67" s="2576"/>
      <c r="AJ67" s="2576"/>
      <c r="AK67" s="2576"/>
      <c r="AM67" s="2576"/>
      <c r="AN67" s="2576"/>
      <c r="AO67" s="2576"/>
      <c r="AQ67" s="2576"/>
      <c r="AR67" s="2576"/>
      <c r="AS67" s="2576"/>
    </row>
    <row r="68" spans="1:45" s="893" customFormat="1" ht="11.25" customHeight="1">
      <c r="A68" s="112"/>
      <c r="B68" s="420"/>
      <c r="C68" s="1494" t="str">
        <f>IF(AND(A60,N50&gt;0,N58&gt;0),"X","")</f>
        <v/>
      </c>
      <c r="D68" s="912"/>
      <c r="E68" s="355" t="s">
        <v>301</v>
      </c>
      <c r="F68" s="355"/>
      <c r="G68" s="355"/>
      <c r="H68" s="355"/>
      <c r="I68" s="355"/>
      <c r="J68" s="259"/>
      <c r="K68" s="259"/>
      <c r="L68" s="892"/>
      <c r="M68" s="2457"/>
      <c r="N68" s="913"/>
      <c r="O68" s="1652"/>
      <c r="P68" s="1684"/>
      <c r="Q68" s="2449"/>
      <c r="R68" s="112"/>
      <c r="S68" s="112"/>
      <c r="T68" s="306"/>
      <c r="U68" s="306"/>
      <c r="V68" s="306"/>
      <c r="W68" s="306"/>
      <c r="X68" s="306"/>
      <c r="Z68" s="760"/>
      <c r="AA68" s="760"/>
      <c r="AB68" s="760"/>
      <c r="AC68" s="4"/>
      <c r="AE68" s="760"/>
      <c r="AF68" s="760"/>
      <c r="AG68" s="760"/>
      <c r="AI68" s="760"/>
      <c r="AJ68" s="760"/>
      <c r="AK68" s="760"/>
      <c r="AM68" s="760"/>
      <c r="AN68" s="760"/>
      <c r="AO68" s="760"/>
      <c r="AQ68" s="760"/>
      <c r="AR68" s="760"/>
      <c r="AS68" s="760"/>
    </row>
    <row r="69" spans="1:45" s="893" customFormat="1" ht="3" customHeight="1">
      <c r="A69" s="112"/>
      <c r="B69" s="420"/>
      <c r="C69" s="355"/>
      <c r="D69" s="355"/>
      <c r="E69" s="355"/>
      <c r="F69" s="355"/>
      <c r="G69" s="355"/>
      <c r="H69" s="355"/>
      <c r="I69" s="355"/>
      <c r="J69" s="259"/>
      <c r="K69" s="259"/>
      <c r="L69" s="892"/>
      <c r="M69" s="2457"/>
      <c r="N69" s="913"/>
      <c r="O69" s="1652"/>
      <c r="P69" s="1684"/>
      <c r="Q69" s="2449"/>
      <c r="R69" s="112"/>
      <c r="S69" s="112"/>
      <c r="T69" s="306"/>
      <c r="U69" s="306"/>
      <c r="V69" s="306"/>
      <c r="W69" s="306"/>
      <c r="X69" s="306"/>
      <c r="Z69" s="760"/>
      <c r="AA69" s="760"/>
      <c r="AB69" s="760"/>
      <c r="AC69" s="4"/>
      <c r="AE69" s="760"/>
      <c r="AF69" s="760"/>
      <c r="AG69" s="760"/>
      <c r="AI69" s="760"/>
      <c r="AJ69" s="760"/>
      <c r="AK69" s="760"/>
      <c r="AM69" s="760"/>
      <c r="AN69" s="760"/>
      <c r="AO69" s="760"/>
      <c r="AQ69" s="760"/>
      <c r="AR69" s="760"/>
      <c r="AS69" s="760"/>
    </row>
    <row r="70" spans="1:45" s="893" customFormat="1" ht="11.25" customHeight="1">
      <c r="A70" s="112"/>
      <c r="B70" s="420"/>
      <c r="C70" s="1494" t="str">
        <f>IF(NOT(A60),"",IF(AND(N50&gt;0,N58&gt;0),"","X"))</f>
        <v/>
      </c>
      <c r="D70" s="912"/>
      <c r="E70" s="355" t="s">
        <v>29</v>
      </c>
      <c r="F70" s="355"/>
      <c r="G70" s="355"/>
      <c r="H70" s="355"/>
      <c r="I70" s="355"/>
      <c r="J70" s="259"/>
      <c r="K70" s="259"/>
      <c r="L70" s="892"/>
      <c r="M70" s="2457"/>
      <c r="N70" s="913"/>
      <c r="O70" s="1652"/>
      <c r="P70" s="1684"/>
      <c r="Q70" s="2449"/>
      <c r="R70" s="1703" t="s">
        <v>149</v>
      </c>
      <c r="S70" s="112"/>
      <c r="T70" s="306"/>
      <c r="U70" s="306"/>
      <c r="V70" s="306"/>
      <c r="W70" s="306"/>
      <c r="X70" s="306"/>
      <c r="Z70" s="760"/>
      <c r="AA70" s="760"/>
      <c r="AB70" s="760"/>
      <c r="AC70" s="4"/>
      <c r="AE70" s="760"/>
      <c r="AF70" s="760"/>
      <c r="AG70" s="760"/>
      <c r="AI70" s="760"/>
      <c r="AJ70" s="760"/>
      <c r="AK70" s="760"/>
      <c r="AM70" s="760"/>
      <c r="AN70" s="760"/>
      <c r="AO70" s="760"/>
      <c r="AQ70" s="760"/>
      <c r="AR70" s="760"/>
      <c r="AS70" s="760"/>
    </row>
    <row r="71" spans="1:45" s="893" customFormat="1" ht="15" customHeight="1">
      <c r="A71" s="112"/>
      <c r="B71" s="420"/>
      <c r="C71" s="355"/>
      <c r="D71" s="355"/>
      <c r="E71" s="355"/>
      <c r="F71" s="355"/>
      <c r="G71" s="355"/>
      <c r="H71" s="355"/>
      <c r="I71" s="355"/>
      <c r="J71" s="259"/>
      <c r="K71" s="259"/>
      <c r="L71" s="892"/>
      <c r="M71" s="2457"/>
      <c r="N71" s="913"/>
      <c r="O71" s="1652"/>
      <c r="P71" s="1684"/>
      <c r="Q71" s="2449"/>
      <c r="R71" s="1703" t="s">
        <v>661</v>
      </c>
      <c r="S71" s="112"/>
      <c r="T71" s="306"/>
      <c r="U71" s="306"/>
      <c r="V71" s="306"/>
      <c r="W71" s="306"/>
      <c r="X71" s="306"/>
      <c r="Z71" s="760"/>
      <c r="AA71" s="760"/>
      <c r="AB71" s="760"/>
      <c r="AC71" s="4"/>
      <c r="AE71" s="760"/>
      <c r="AF71" s="760"/>
      <c r="AG71" s="760"/>
      <c r="AI71" s="760"/>
      <c r="AJ71" s="760"/>
      <c r="AK71" s="760"/>
      <c r="AM71" s="760"/>
      <c r="AN71" s="760"/>
      <c r="AO71" s="760"/>
      <c r="AQ71" s="760"/>
      <c r="AR71" s="760"/>
      <c r="AS71" s="760"/>
    </row>
    <row r="72" spans="1:45" s="893" customFormat="1" ht="12.75" customHeight="1">
      <c r="A72" s="112"/>
      <c r="B72" s="420">
        <v>18</v>
      </c>
      <c r="C72" s="1653" t="s">
        <v>1119</v>
      </c>
      <c r="D72" s="257"/>
      <c r="E72" s="355"/>
      <c r="F72" s="355"/>
      <c r="G72" s="355"/>
      <c r="H72" s="355"/>
      <c r="I72" s="355"/>
      <c r="J72" s="259"/>
      <c r="K72" s="259"/>
      <c r="L72" s="237" t="s">
        <v>1414</v>
      </c>
      <c r="M72" s="322">
        <f>B72</f>
        <v>18</v>
      </c>
      <c r="N72" s="5295" t="str">
        <f>IF(R72&lt;&gt;"",R72,IF(AND(A60,C68="X"),'Sch. D WS'!N60,""))</f>
        <v/>
      </c>
      <c r="O72" s="5296"/>
      <c r="P72" s="1684"/>
      <c r="Q72" s="2449"/>
      <c r="R72" s="1945"/>
      <c r="S72" s="112"/>
      <c r="T72" s="306"/>
      <c r="U72" s="306"/>
      <c r="V72" s="306"/>
      <c r="W72" s="306"/>
      <c r="X72" s="306"/>
      <c r="Z72" s="760"/>
      <c r="AA72" s="760"/>
      <c r="AB72" s="760"/>
      <c r="AC72" s="4"/>
      <c r="AE72" s="760"/>
      <c r="AF72" s="760"/>
      <c r="AG72" s="760"/>
      <c r="AI72" s="760"/>
      <c r="AJ72" s="760"/>
      <c r="AK72" s="760"/>
      <c r="AM72" s="760"/>
      <c r="AN72" s="760"/>
      <c r="AO72" s="760"/>
      <c r="AQ72" s="760"/>
      <c r="AR72" s="760"/>
      <c r="AS72" s="760"/>
    </row>
    <row r="73" spans="1:45" s="893" customFormat="1" ht="9" customHeight="1">
      <c r="A73" s="112"/>
      <c r="B73" s="261"/>
      <c r="C73" s="257"/>
      <c r="D73" s="257"/>
      <c r="E73" s="257"/>
      <c r="F73" s="257"/>
      <c r="G73" s="257"/>
      <c r="H73" s="257"/>
      <c r="I73" s="257"/>
      <c r="J73" s="259"/>
      <c r="K73" s="259"/>
      <c r="L73" s="259"/>
      <c r="M73" s="2457"/>
      <c r="N73" s="1654"/>
      <c r="O73" s="1655"/>
      <c r="P73" s="1670"/>
      <c r="Q73" s="2450"/>
      <c r="R73" s="112"/>
      <c r="S73" s="112"/>
      <c r="T73" s="11"/>
      <c r="U73" s="11"/>
      <c r="V73" s="11"/>
      <c r="W73" s="11"/>
      <c r="X73" s="11"/>
      <c r="Z73" s="305"/>
      <c r="AA73" s="305"/>
      <c r="AB73" s="305"/>
      <c r="AC73" s="4"/>
      <c r="AE73" s="305"/>
      <c r="AF73" s="305"/>
      <c r="AG73" s="305"/>
      <c r="AI73" s="305"/>
      <c r="AJ73" s="305"/>
      <c r="AK73" s="305"/>
      <c r="AM73" s="305"/>
      <c r="AN73" s="305"/>
      <c r="AO73" s="305"/>
      <c r="AQ73" s="305"/>
      <c r="AR73" s="305"/>
      <c r="AS73" s="305"/>
    </row>
    <row r="74" spans="1:45" s="901" customFormat="1" ht="11.25" customHeight="1">
      <c r="A74" s="112"/>
      <c r="B74" s="420">
        <v>19</v>
      </c>
      <c r="C74" s="1653" t="s">
        <v>1118</v>
      </c>
      <c r="D74" s="895"/>
      <c r="E74" s="900"/>
      <c r="F74" s="900"/>
      <c r="G74" s="900"/>
      <c r="H74" s="900"/>
      <c r="I74" s="900"/>
      <c r="J74" s="894"/>
      <c r="K74" s="894"/>
      <c r="L74" s="890"/>
      <c r="M74" s="2457"/>
      <c r="N74" s="913"/>
      <c r="O74" s="1652"/>
      <c r="P74" s="1684"/>
      <c r="Q74" s="2449"/>
      <c r="R74" s="112"/>
      <c r="S74" s="112"/>
      <c r="T74" s="902"/>
      <c r="U74" s="902"/>
      <c r="V74" s="902"/>
      <c r="W74" s="902"/>
      <c r="X74" s="902"/>
      <c r="Z74" s="2577"/>
      <c r="AA74" s="2577"/>
      <c r="AB74" s="2577"/>
      <c r="AC74" s="872"/>
      <c r="AE74" s="2577"/>
      <c r="AF74" s="2577"/>
      <c r="AG74" s="2577"/>
      <c r="AI74" s="2577"/>
      <c r="AJ74" s="2577"/>
      <c r="AK74" s="2577"/>
      <c r="AM74" s="2577"/>
      <c r="AN74" s="2577"/>
      <c r="AO74" s="2577"/>
      <c r="AQ74" s="2577"/>
      <c r="AR74" s="2577"/>
      <c r="AS74" s="2577"/>
    </row>
    <row r="75" spans="1:45" s="893" customFormat="1" ht="13.5" customHeight="1">
      <c r="A75" s="112"/>
      <c r="B75" s="420"/>
      <c r="C75" s="1532" t="s">
        <v>30</v>
      </c>
      <c r="D75" s="257"/>
      <c r="E75" s="355"/>
      <c r="F75" s="355"/>
      <c r="G75" s="355"/>
      <c r="H75" s="355"/>
      <c r="I75" s="355"/>
      <c r="J75" s="259"/>
      <c r="K75" s="259"/>
      <c r="L75" s="237" t="s">
        <v>932</v>
      </c>
      <c r="M75" s="322">
        <f>B74</f>
        <v>19</v>
      </c>
      <c r="N75" s="5132"/>
      <c r="O75" s="4746"/>
      <c r="P75" s="1684"/>
      <c r="Q75" s="2449"/>
      <c r="R75" s="112"/>
      <c r="S75" s="112"/>
      <c r="T75" s="306"/>
      <c r="U75" s="306"/>
      <c r="V75" s="306"/>
      <c r="W75" s="306"/>
      <c r="X75" s="306"/>
      <c r="Z75" s="760"/>
      <c r="AA75" s="760"/>
      <c r="AB75" s="760"/>
      <c r="AC75" s="4"/>
      <c r="AE75" s="760"/>
      <c r="AF75" s="760"/>
      <c r="AG75" s="760"/>
      <c r="AI75" s="760"/>
      <c r="AJ75" s="760"/>
      <c r="AK75" s="760"/>
      <c r="AM75" s="760"/>
      <c r="AN75" s="760"/>
      <c r="AO75" s="760"/>
      <c r="AQ75" s="760"/>
      <c r="AR75" s="760"/>
      <c r="AS75" s="760"/>
    </row>
    <row r="76" spans="1:45" s="893" customFormat="1" ht="11.25" customHeight="1">
      <c r="A76" s="112"/>
      <c r="B76" s="261"/>
      <c r="C76" s="257"/>
      <c r="D76" s="257"/>
      <c r="E76" s="257"/>
      <c r="F76" s="257"/>
      <c r="G76" s="257"/>
      <c r="H76" s="257"/>
      <c r="I76" s="257"/>
      <c r="J76" s="259"/>
      <c r="K76" s="259"/>
      <c r="L76" s="259"/>
      <c r="M76" s="2457"/>
      <c r="N76" s="5237" t="str">
        <f>IF(R87&gt;0,"The value in Line 21 must be shown as a negative amount.","")</f>
        <v/>
      </c>
      <c r="O76" s="5238"/>
      <c r="P76" s="1670"/>
      <c r="Q76" s="2450"/>
      <c r="R76" s="112"/>
      <c r="S76" s="112"/>
      <c r="T76" s="11"/>
      <c r="U76" s="11"/>
      <c r="V76" s="11"/>
      <c r="W76" s="11"/>
      <c r="X76" s="11"/>
      <c r="Z76" s="305"/>
      <c r="AA76" s="305"/>
      <c r="AB76" s="305"/>
      <c r="AC76" s="4"/>
      <c r="AE76" s="305"/>
      <c r="AF76" s="305"/>
      <c r="AG76" s="305"/>
      <c r="AI76" s="305"/>
      <c r="AJ76" s="305"/>
      <c r="AK76" s="305"/>
      <c r="AM76" s="305"/>
      <c r="AN76" s="305"/>
      <c r="AO76" s="305"/>
      <c r="AQ76" s="305"/>
      <c r="AR76" s="305"/>
      <c r="AS76" s="305"/>
    </row>
    <row r="77" spans="1:45" s="899" customFormat="1" ht="15" customHeight="1">
      <c r="A77" s="112"/>
      <c r="B77" s="910">
        <v>20</v>
      </c>
      <c r="C77" s="891" t="s">
        <v>40</v>
      </c>
      <c r="D77" s="891"/>
      <c r="E77" s="891"/>
      <c r="F77" s="891"/>
      <c r="G77" s="891"/>
      <c r="H77" s="891"/>
      <c r="I77" s="891"/>
      <c r="J77" s="896"/>
      <c r="K77" s="896"/>
      <c r="L77" s="896"/>
      <c r="M77" s="2457"/>
      <c r="N77" s="5239"/>
      <c r="O77" s="5240"/>
      <c r="P77" s="1685"/>
      <c r="Q77" s="2451"/>
      <c r="R77" s="112"/>
      <c r="S77" s="112"/>
      <c r="T77" s="842"/>
      <c r="U77" s="842"/>
      <c r="V77" s="842"/>
      <c r="W77" s="842"/>
      <c r="X77" s="842"/>
      <c r="Z77" s="2575"/>
      <c r="AA77" s="2575"/>
      <c r="AB77" s="2575"/>
      <c r="AC77" s="2582"/>
      <c r="AE77" s="2575"/>
      <c r="AF77" s="2575"/>
      <c r="AG77" s="2575"/>
      <c r="AI77" s="2575"/>
      <c r="AJ77" s="2575"/>
      <c r="AK77" s="2575"/>
      <c r="AM77" s="2575"/>
      <c r="AN77" s="2575"/>
      <c r="AO77" s="2575"/>
      <c r="AQ77" s="2575"/>
      <c r="AR77" s="2575"/>
      <c r="AS77" s="2575"/>
    </row>
    <row r="78" spans="1:45" s="893" customFormat="1" ht="11.25" customHeight="1">
      <c r="A78" s="112"/>
      <c r="B78" s="420"/>
      <c r="C78" s="1494" t="str">
        <f>IF(AND(A60,C68="X"),IF(AND(OR(N72="",N72=0),OR(N75="",N75=0)),"X",""),"")</f>
        <v/>
      </c>
      <c r="D78" s="912"/>
      <c r="E78" s="185" t="s">
        <v>3156</v>
      </c>
      <c r="F78" s="355"/>
      <c r="G78" s="355"/>
      <c r="H78" s="355"/>
      <c r="I78" s="355"/>
      <c r="J78" s="259"/>
      <c r="K78" s="259"/>
      <c r="L78" s="892"/>
      <c r="M78" s="2457"/>
      <c r="N78" s="5239"/>
      <c r="O78" s="5240"/>
      <c r="P78" s="1684"/>
      <c r="Q78" s="2449"/>
      <c r="R78" s="112"/>
      <c r="S78" s="112"/>
      <c r="T78" s="306"/>
      <c r="U78" s="306"/>
      <c r="V78" s="306"/>
      <c r="W78" s="306"/>
      <c r="X78" s="306"/>
      <c r="Z78" s="760"/>
      <c r="AA78" s="760"/>
      <c r="AB78" s="760"/>
      <c r="AC78" s="4"/>
      <c r="AE78" s="760"/>
      <c r="AF78" s="760"/>
      <c r="AG78" s="760"/>
      <c r="AI78" s="760"/>
      <c r="AJ78" s="760"/>
      <c r="AK78" s="760"/>
      <c r="AM78" s="760"/>
      <c r="AN78" s="760"/>
      <c r="AO78" s="760"/>
      <c r="AQ78" s="760"/>
      <c r="AR78" s="760"/>
      <c r="AS78" s="760"/>
    </row>
    <row r="79" spans="1:45" s="893" customFormat="1" ht="15" customHeight="1">
      <c r="A79" s="112"/>
      <c r="B79" s="261"/>
      <c r="C79" s="257"/>
      <c r="D79" s="257"/>
      <c r="E79" s="1532" t="s">
        <v>1427</v>
      </c>
      <c r="F79" s="257"/>
      <c r="G79" s="257"/>
      <c r="H79" s="257"/>
      <c r="I79" s="257"/>
      <c r="J79" s="259"/>
      <c r="K79" s="892"/>
      <c r="L79" s="259"/>
      <c r="M79" s="2457"/>
      <c r="N79" s="5239"/>
      <c r="O79" s="5240"/>
      <c r="P79" s="1670"/>
      <c r="Q79" s="2450"/>
      <c r="R79" s="112"/>
      <c r="S79" s="112"/>
      <c r="T79" s="11"/>
      <c r="U79" s="11"/>
      <c r="V79" s="11"/>
      <c r="W79" s="11"/>
      <c r="X79" s="11"/>
      <c r="Z79" s="305"/>
      <c r="AA79" s="305"/>
      <c r="AB79" s="305"/>
      <c r="AC79" s="4"/>
      <c r="AE79" s="305"/>
      <c r="AF79" s="305"/>
      <c r="AG79" s="305"/>
      <c r="AI79" s="305"/>
      <c r="AJ79" s="305"/>
      <c r="AK79" s="305"/>
      <c r="AM79" s="305"/>
      <c r="AN79" s="305"/>
      <c r="AO79" s="305"/>
      <c r="AQ79" s="305"/>
      <c r="AR79" s="305"/>
      <c r="AS79" s="305"/>
    </row>
    <row r="80" spans="1:45" s="893" customFormat="1" ht="15" customHeight="1">
      <c r="A80" s="112"/>
      <c r="B80" s="261"/>
      <c r="C80" s="257"/>
      <c r="D80" s="257"/>
      <c r="E80" s="1532" t="s">
        <v>1428</v>
      </c>
      <c r="F80" s="257"/>
      <c r="G80" s="257"/>
      <c r="H80" s="257"/>
      <c r="I80" s="257"/>
      <c r="J80" s="259"/>
      <c r="K80" s="259"/>
      <c r="L80" s="259"/>
      <c r="M80" s="2457"/>
      <c r="N80" s="5239"/>
      <c r="O80" s="5240"/>
      <c r="P80" s="1670"/>
      <c r="Q80" s="2450"/>
      <c r="R80" s="112"/>
      <c r="S80" s="112"/>
      <c r="T80" s="11"/>
      <c r="U80" s="11"/>
      <c r="V80" s="11"/>
      <c r="W80" s="11"/>
      <c r="X80" s="11"/>
      <c r="Z80" s="305"/>
      <c r="AA80" s="305"/>
      <c r="AB80" s="305"/>
      <c r="AC80" s="4"/>
      <c r="AE80" s="305"/>
      <c r="AF80" s="305"/>
      <c r="AG80" s="305"/>
      <c r="AI80" s="305"/>
      <c r="AJ80" s="305"/>
      <c r="AK80" s="305"/>
      <c r="AM80" s="305"/>
      <c r="AN80" s="305"/>
      <c r="AO80" s="305"/>
      <c r="AQ80" s="305"/>
      <c r="AR80" s="305"/>
      <c r="AS80" s="305"/>
    </row>
    <row r="81" spans="1:45" s="893" customFormat="1" ht="8.25" customHeight="1">
      <c r="A81" s="112"/>
      <c r="B81" s="261"/>
      <c r="C81" s="257"/>
      <c r="D81" s="257"/>
      <c r="E81" s="257"/>
      <c r="F81" s="257"/>
      <c r="G81" s="257"/>
      <c r="H81" s="257"/>
      <c r="I81" s="257"/>
      <c r="J81" s="259"/>
      <c r="K81" s="259"/>
      <c r="L81" s="259"/>
      <c r="M81" s="2457"/>
      <c r="N81" s="5239"/>
      <c r="O81" s="5240"/>
      <c r="P81" s="1670"/>
      <c r="Q81" s="2450"/>
      <c r="R81" s="112"/>
      <c r="S81" s="112"/>
      <c r="T81" s="11"/>
      <c r="U81" s="11"/>
      <c r="V81" s="11"/>
      <c r="W81" s="11"/>
      <c r="X81" s="11"/>
      <c r="Z81" s="305"/>
      <c r="AA81" s="305"/>
      <c r="AB81" s="305"/>
      <c r="AC81" s="4"/>
      <c r="AE81" s="305"/>
      <c r="AF81" s="305"/>
      <c r="AG81" s="305"/>
      <c r="AI81" s="305"/>
      <c r="AJ81" s="305"/>
      <c r="AK81" s="305"/>
      <c r="AM81" s="305"/>
      <c r="AN81" s="305"/>
      <c r="AO81" s="305"/>
      <c r="AQ81" s="305"/>
      <c r="AR81" s="305"/>
      <c r="AS81" s="305"/>
    </row>
    <row r="82" spans="1:45" s="893" customFormat="1" ht="11.25" customHeight="1">
      <c r="A82" s="112"/>
      <c r="B82" s="420"/>
      <c r="C82" s="1494" t="str">
        <f>IF(AND(A60,C68="X"),IF(AND(OR(N72="",N72=0),OR(N75="",N75=0)),"","X"),"")</f>
        <v/>
      </c>
      <c r="D82" s="912"/>
      <c r="E82" s="185" t="s">
        <v>1429</v>
      </c>
      <c r="F82" s="355"/>
      <c r="G82" s="355"/>
      <c r="H82" s="355"/>
      <c r="I82" s="355"/>
      <c r="J82" s="259"/>
      <c r="K82" s="259"/>
      <c r="L82" s="892"/>
      <c r="M82" s="2457"/>
      <c r="N82" s="5239"/>
      <c r="O82" s="5240"/>
      <c r="P82" s="1684"/>
      <c r="Q82" s="2449"/>
      <c r="R82" s="112"/>
      <c r="S82" s="112"/>
      <c r="T82" s="306"/>
      <c r="U82" s="306"/>
      <c r="V82" s="306"/>
      <c r="W82" s="306"/>
      <c r="X82" s="306"/>
      <c r="Z82" s="760"/>
      <c r="AA82" s="760"/>
      <c r="AB82" s="760"/>
      <c r="AC82" s="4"/>
      <c r="AE82" s="760"/>
      <c r="AF82" s="760"/>
      <c r="AG82" s="760"/>
      <c r="AI82" s="760"/>
      <c r="AJ82" s="760"/>
      <c r="AK82" s="760"/>
      <c r="AM82" s="760"/>
      <c r="AN82" s="760"/>
      <c r="AO82" s="760"/>
      <c r="AQ82" s="760"/>
      <c r="AR82" s="760"/>
      <c r="AS82" s="760"/>
    </row>
    <row r="83" spans="1:45" s="893" customFormat="1" ht="15" customHeight="1">
      <c r="A83" s="112"/>
      <c r="B83" s="261"/>
      <c r="C83" s="257"/>
      <c r="D83" s="257"/>
      <c r="E83" s="1532" t="s">
        <v>1430</v>
      </c>
      <c r="F83" s="257"/>
      <c r="G83" s="257"/>
      <c r="H83" s="257"/>
      <c r="I83" s="257"/>
      <c r="J83" s="259"/>
      <c r="K83" s="259"/>
      <c r="L83" s="259"/>
      <c r="M83" s="2457"/>
      <c r="N83" s="5239"/>
      <c r="O83" s="5240"/>
      <c r="P83" s="1670"/>
      <c r="Q83" s="2450"/>
      <c r="R83" s="112"/>
      <c r="S83" s="112"/>
      <c r="T83" s="11"/>
      <c r="U83" s="11"/>
      <c r="V83" s="11"/>
      <c r="W83" s="11"/>
      <c r="X83" s="11"/>
      <c r="Z83" s="305"/>
      <c r="AA83" s="305"/>
      <c r="AB83" s="305"/>
      <c r="AC83" s="4"/>
      <c r="AE83" s="305"/>
      <c r="AF83" s="305"/>
      <c r="AG83" s="305"/>
      <c r="AI83" s="305"/>
      <c r="AJ83" s="305"/>
      <c r="AK83" s="305"/>
      <c r="AM83" s="305"/>
      <c r="AN83" s="305"/>
      <c r="AO83" s="305"/>
      <c r="AQ83" s="305"/>
      <c r="AR83" s="305"/>
      <c r="AS83" s="305"/>
    </row>
    <row r="84" spans="1:45" s="893" customFormat="1" ht="15.75" customHeight="1">
      <c r="A84" s="112"/>
      <c r="B84" s="261"/>
      <c r="C84" s="257"/>
      <c r="D84" s="257"/>
      <c r="E84" s="257"/>
      <c r="F84" s="257"/>
      <c r="G84" s="257"/>
      <c r="H84" s="257"/>
      <c r="I84" s="257"/>
      <c r="J84" s="259"/>
      <c r="K84" s="259"/>
      <c r="L84" s="259"/>
      <c r="M84" s="2457"/>
      <c r="N84" s="5239"/>
      <c r="O84" s="5240"/>
      <c r="P84" s="1670"/>
      <c r="Q84" s="2450"/>
      <c r="R84" s="1703"/>
      <c r="S84" s="112"/>
      <c r="T84" s="11"/>
      <c r="U84" s="11"/>
      <c r="V84" s="11"/>
      <c r="W84" s="11"/>
      <c r="X84" s="11"/>
      <c r="Z84" s="305"/>
      <c r="AA84" s="305"/>
      <c r="AB84" s="305"/>
      <c r="AC84" s="4"/>
      <c r="AE84" s="305"/>
      <c r="AF84" s="305"/>
      <c r="AG84" s="305"/>
      <c r="AI84" s="305"/>
      <c r="AJ84" s="305"/>
      <c r="AK84" s="305"/>
      <c r="AM84" s="305"/>
      <c r="AN84" s="305"/>
      <c r="AO84" s="305"/>
      <c r="AQ84" s="305"/>
      <c r="AR84" s="305"/>
      <c r="AS84" s="305"/>
    </row>
    <row r="85" spans="1:45" s="893" customFormat="1" ht="14.25" customHeight="1">
      <c r="A85" s="112"/>
      <c r="B85" s="910">
        <v>21</v>
      </c>
      <c r="C85" s="1532" t="s">
        <v>1121</v>
      </c>
      <c r="D85" s="257"/>
      <c r="E85" s="257"/>
      <c r="F85" s="257"/>
      <c r="G85" s="257"/>
      <c r="H85" s="257"/>
      <c r="I85" s="257"/>
      <c r="J85" s="259"/>
      <c r="K85" s="259"/>
      <c r="L85" s="259"/>
      <c r="M85" s="2457"/>
      <c r="N85" s="5239"/>
      <c r="O85" s="5240"/>
      <c r="P85" s="1670"/>
      <c r="Q85" s="2450"/>
      <c r="R85" s="1703" t="s">
        <v>149</v>
      </c>
      <c r="S85" s="112"/>
      <c r="T85" s="11"/>
      <c r="U85" s="11"/>
      <c r="V85" s="11"/>
      <c r="W85" s="11"/>
      <c r="X85" s="11"/>
      <c r="Z85" s="305"/>
      <c r="AA85" s="305"/>
      <c r="AB85" s="305"/>
      <c r="AC85" s="4"/>
      <c r="AE85" s="305"/>
      <c r="AF85" s="305"/>
      <c r="AG85" s="305"/>
      <c r="AI85" s="305"/>
      <c r="AJ85" s="305"/>
      <c r="AK85" s="305"/>
      <c r="AM85" s="305"/>
      <c r="AN85" s="305"/>
      <c r="AO85" s="305"/>
      <c r="AQ85" s="305"/>
      <c r="AR85" s="305"/>
      <c r="AS85" s="305"/>
    </row>
    <row r="86" spans="1:45" s="893" customFormat="1" ht="12.75" customHeight="1">
      <c r="A86" s="112"/>
      <c r="B86" s="261"/>
      <c r="C86" s="548"/>
      <c r="D86" s="2425"/>
      <c r="E86" s="257"/>
      <c r="F86" s="257"/>
      <c r="G86" s="257"/>
      <c r="H86" s="257"/>
      <c r="I86" s="257"/>
      <c r="J86" s="259"/>
      <c r="K86" s="259"/>
      <c r="L86" s="302"/>
      <c r="M86" s="2457"/>
      <c r="N86" s="5241"/>
      <c r="O86" s="5242"/>
      <c r="P86" s="1670"/>
      <c r="Q86" s="2450"/>
      <c r="R86" s="1703" t="s">
        <v>661</v>
      </c>
      <c r="S86" s="112"/>
      <c r="T86" s="11"/>
      <c r="U86" s="11"/>
      <c r="V86" s="11"/>
      <c r="W86" s="11"/>
      <c r="X86" s="11"/>
      <c r="Z86" s="305"/>
      <c r="AA86" s="305"/>
      <c r="AB86" s="305"/>
      <c r="AC86" s="4"/>
      <c r="AE86" s="305"/>
      <c r="AF86" s="305"/>
      <c r="AG86" s="305"/>
      <c r="AI86" s="305"/>
      <c r="AJ86" s="305"/>
      <c r="AK86" s="305"/>
      <c r="AM86" s="305"/>
      <c r="AN86" s="305"/>
      <c r="AO86" s="305"/>
      <c r="AQ86" s="305"/>
      <c r="AR86" s="305"/>
      <c r="AS86" s="305"/>
    </row>
    <row r="87" spans="1:45" s="893" customFormat="1" ht="12.75" customHeight="1">
      <c r="A87" s="112"/>
      <c r="B87" s="261"/>
      <c r="C87" s="548" t="s">
        <v>144</v>
      </c>
      <c r="D87" s="244" t="s">
        <v>133</v>
      </c>
      <c r="E87" s="257"/>
      <c r="F87" s="257"/>
      <c r="G87" s="257"/>
      <c r="H87" s="257"/>
      <c r="I87" s="257"/>
      <c r="J87" s="259"/>
      <c r="K87" s="259"/>
      <c r="L87" s="302" t="s">
        <v>596</v>
      </c>
      <c r="M87" s="322">
        <f>B85</f>
        <v>21</v>
      </c>
      <c r="N87" s="5295" t="str">
        <f>IF(R87&lt;&gt;"",R87,IF(OR(A62,A64),IF(N58&lt;0,-MIN(-N58,-R91),""),""))</f>
        <v/>
      </c>
      <c r="O87" s="5296"/>
      <c r="P87" s="1670"/>
      <c r="Q87" s="2450"/>
      <c r="R87" s="1945"/>
      <c r="S87" s="112"/>
      <c r="T87" s="11"/>
      <c r="U87" s="11"/>
      <c r="V87" s="11"/>
      <c r="W87" s="11"/>
      <c r="X87" s="11"/>
      <c r="Z87" s="305"/>
      <c r="AA87" s="305"/>
      <c r="AB87" s="305"/>
      <c r="AC87" s="4"/>
      <c r="AE87" s="305"/>
      <c r="AF87" s="305"/>
      <c r="AG87" s="305"/>
      <c r="AI87" s="305"/>
      <c r="AJ87" s="305"/>
      <c r="AK87" s="305"/>
      <c r="AM87" s="305"/>
      <c r="AN87" s="305"/>
      <c r="AO87" s="305"/>
      <c r="AQ87" s="305"/>
      <c r="AR87" s="305"/>
      <c r="AS87" s="305"/>
    </row>
    <row r="88" spans="1:45" s="893" customFormat="1" ht="12.75" customHeight="1">
      <c r="A88" s="112"/>
      <c r="B88" s="261"/>
      <c r="C88" s="548" t="s">
        <v>145</v>
      </c>
      <c r="D88" s="1131" t="str">
        <f>TEXT(R89,"($0,000)")&amp;", or if married filing separately, "&amp;TEXT(R90,"($0,000)")</f>
        <v>($3,000), or if married filing separately, ($1,500)</v>
      </c>
      <c r="E88" s="257"/>
      <c r="F88" s="257"/>
      <c r="G88" s="257"/>
      <c r="H88" s="257"/>
      <c r="I88" s="257"/>
      <c r="J88" s="1130"/>
      <c r="K88" s="259"/>
      <c r="L88" s="259"/>
      <c r="M88" s="1660"/>
      <c r="N88" s="1661"/>
      <c r="O88" s="1661"/>
      <c r="P88" s="1670"/>
      <c r="Q88" s="2450"/>
      <c r="R88" s="112"/>
      <c r="S88" s="112"/>
      <c r="T88" s="11"/>
      <c r="U88" s="11"/>
      <c r="V88" s="11"/>
      <c r="W88" s="11"/>
      <c r="X88" s="11"/>
      <c r="Z88" s="305"/>
      <c r="AA88" s="305"/>
      <c r="AB88" s="305"/>
      <c r="AC88" s="4"/>
      <c r="AE88" s="305"/>
      <c r="AF88" s="305"/>
      <c r="AG88" s="305"/>
      <c r="AI88" s="305"/>
      <c r="AJ88" s="305"/>
      <c r="AK88" s="305"/>
      <c r="AM88" s="305"/>
      <c r="AN88" s="305"/>
      <c r="AO88" s="305"/>
      <c r="AQ88" s="305"/>
      <c r="AR88" s="305"/>
      <c r="AS88" s="305"/>
    </row>
    <row r="89" spans="1:45" s="893" customFormat="1" ht="6.75" customHeight="1">
      <c r="A89" s="112"/>
      <c r="B89" s="261"/>
      <c r="C89" s="548"/>
      <c r="D89" s="548"/>
      <c r="E89" s="257"/>
      <c r="F89" s="257"/>
      <c r="G89" s="257"/>
      <c r="H89" s="257"/>
      <c r="I89" s="257"/>
      <c r="J89" s="259"/>
      <c r="K89" s="259"/>
      <c r="L89" s="259"/>
      <c r="M89" s="1662"/>
      <c r="N89" s="896"/>
      <c r="O89" s="1663"/>
      <c r="P89" s="1670"/>
      <c r="Q89" s="2450"/>
      <c r="R89" s="1702">
        <v>3000</v>
      </c>
      <c r="S89" s="112"/>
      <c r="T89" s="11"/>
      <c r="U89" s="11"/>
      <c r="V89" s="11"/>
      <c r="W89" s="11"/>
      <c r="X89" s="11"/>
      <c r="Z89" s="305"/>
      <c r="AA89" s="305"/>
      <c r="AB89" s="305"/>
      <c r="AC89" s="4"/>
      <c r="AE89" s="305"/>
      <c r="AF89" s="305"/>
      <c r="AG89" s="305"/>
      <c r="AI89" s="305"/>
      <c r="AJ89" s="305"/>
      <c r="AK89" s="305"/>
      <c r="AM89" s="305"/>
      <c r="AN89" s="305"/>
      <c r="AO89" s="305"/>
      <c r="AQ89" s="305"/>
      <c r="AR89" s="305"/>
      <c r="AS89" s="305"/>
    </row>
    <row r="90" spans="1:45" s="893" customFormat="1" ht="12.75" customHeight="1">
      <c r="A90" s="112"/>
      <c r="B90" s="261"/>
      <c r="C90" s="518" t="s">
        <v>717</v>
      </c>
      <c r="D90" s="518"/>
      <c r="E90" s="257"/>
      <c r="F90" s="257"/>
      <c r="G90" s="257"/>
      <c r="H90" s="257"/>
      <c r="I90" s="257"/>
      <c r="J90" s="259"/>
      <c r="K90" s="259"/>
      <c r="L90" s="259"/>
      <c r="M90" s="1664"/>
      <c r="N90" s="892"/>
      <c r="O90" s="888"/>
      <c r="P90" s="1670"/>
      <c r="Q90" s="2450"/>
      <c r="R90" s="1702">
        <v>1500</v>
      </c>
      <c r="S90" s="112"/>
      <c r="T90" s="11"/>
      <c r="U90" s="11"/>
      <c r="V90" s="11"/>
      <c r="W90" s="11"/>
      <c r="X90" s="11"/>
      <c r="Z90" s="305"/>
      <c r="AA90" s="305"/>
      <c r="AB90" s="305"/>
      <c r="AC90" s="4"/>
      <c r="AE90" s="305"/>
      <c r="AF90" s="305"/>
      <c r="AG90" s="305"/>
      <c r="AI90" s="305"/>
      <c r="AJ90" s="305"/>
      <c r="AK90" s="305"/>
      <c r="AM90" s="305"/>
      <c r="AN90" s="305"/>
      <c r="AO90" s="305"/>
      <c r="AQ90" s="305"/>
      <c r="AR90" s="305"/>
      <c r="AS90" s="305"/>
    </row>
    <row r="91" spans="1:45" s="893" customFormat="1" ht="12.75" customHeight="1">
      <c r="A91" s="112"/>
      <c r="B91" s="261"/>
      <c r="C91" s="548"/>
      <c r="D91" s="548"/>
      <c r="E91" s="257"/>
      <c r="F91" s="257"/>
      <c r="G91" s="257"/>
      <c r="H91" s="257"/>
      <c r="I91" s="257"/>
      <c r="J91" s="259"/>
      <c r="K91" s="259"/>
      <c r="L91" s="259"/>
      <c r="M91" s="1664"/>
      <c r="N91" s="892"/>
      <c r="O91" s="888"/>
      <c r="P91" s="1670"/>
      <c r="Q91" s="2450"/>
      <c r="R91" s="1702">
        <f>IF(File_Marr_Sep="",-R89,-R90)</f>
        <v>-3000</v>
      </c>
      <c r="S91" s="112"/>
      <c r="T91" s="11"/>
      <c r="U91" s="11"/>
      <c r="V91" s="11"/>
      <c r="W91" s="11"/>
      <c r="X91" s="11"/>
      <c r="Z91" s="305"/>
      <c r="AA91" s="305"/>
      <c r="AB91" s="305"/>
      <c r="AC91" s="4"/>
      <c r="AE91" s="305"/>
      <c r="AF91" s="305"/>
      <c r="AG91" s="305"/>
      <c r="AI91" s="305"/>
      <c r="AJ91" s="305"/>
      <c r="AK91" s="305"/>
      <c r="AM91" s="305"/>
      <c r="AN91" s="305"/>
      <c r="AO91" s="305"/>
      <c r="AQ91" s="305"/>
      <c r="AR91" s="305"/>
      <c r="AS91" s="305"/>
    </row>
    <row r="92" spans="1:45" s="899" customFormat="1" ht="19.5" customHeight="1">
      <c r="A92" s="112"/>
      <c r="B92" s="910">
        <v>22</v>
      </c>
      <c r="C92" s="891" t="s">
        <v>461</v>
      </c>
      <c r="D92" s="891"/>
      <c r="E92" s="891"/>
      <c r="F92" s="891"/>
      <c r="G92" s="891"/>
      <c r="H92" s="891"/>
      <c r="I92" s="891"/>
      <c r="J92" s="896"/>
      <c r="K92" s="896"/>
      <c r="L92" s="896"/>
      <c r="M92" s="1665"/>
      <c r="N92" s="259"/>
      <c r="O92" s="1666"/>
      <c r="P92" s="1685"/>
      <c r="Q92" s="2451"/>
      <c r="R92" s="1702">
        <f>IF(N58&gt;=0,N58,N87)</f>
        <v>0</v>
      </c>
      <c r="S92" s="112"/>
      <c r="T92" s="842"/>
      <c r="U92" s="842"/>
      <c r="V92" s="842"/>
      <c r="W92" s="842"/>
      <c r="X92" s="842"/>
      <c r="Z92" s="2575"/>
      <c r="AA92" s="2575"/>
      <c r="AB92" s="2575"/>
      <c r="AC92" s="2582"/>
      <c r="AE92" s="2575"/>
      <c r="AF92" s="2575"/>
      <c r="AG92" s="2575"/>
      <c r="AI92" s="2575"/>
      <c r="AJ92" s="2575"/>
      <c r="AK92" s="2575"/>
      <c r="AM92" s="2575"/>
      <c r="AN92" s="2575"/>
      <c r="AO92" s="2575"/>
      <c r="AQ92" s="2575"/>
      <c r="AR92" s="2575"/>
      <c r="AS92" s="2575"/>
    </row>
    <row r="93" spans="1:45" s="893" customFormat="1" ht="12" customHeight="1">
      <c r="A93" s="112"/>
      <c r="B93" s="420"/>
      <c r="C93" s="1494" t="str">
        <f>IF(AND(OR(A62,A64,C70="X"),Qualified_Dividends&lt;&gt;""),"X","")</f>
        <v/>
      </c>
      <c r="D93" s="912"/>
      <c r="E93" s="185" t="s">
        <v>1426</v>
      </c>
      <c r="F93" s="355"/>
      <c r="G93" s="355"/>
      <c r="H93" s="355"/>
      <c r="I93" s="355"/>
      <c r="J93" s="259"/>
      <c r="K93" s="259"/>
      <c r="L93" s="892"/>
      <c r="M93" s="1665"/>
      <c r="N93" s="259"/>
      <c r="O93" s="1666"/>
      <c r="P93" s="1684"/>
      <c r="Q93" s="2449"/>
      <c r="R93" s="112"/>
      <c r="S93" s="112"/>
      <c r="T93" s="306"/>
      <c r="U93" s="306"/>
      <c r="V93" s="306"/>
      <c r="W93" s="306"/>
      <c r="X93" s="306"/>
      <c r="Z93" s="760"/>
      <c r="AA93" s="760"/>
      <c r="AB93" s="760"/>
      <c r="AC93" s="4"/>
      <c r="AE93" s="760"/>
      <c r="AF93" s="760"/>
      <c r="AG93" s="760"/>
      <c r="AI93" s="760"/>
      <c r="AJ93" s="760"/>
      <c r="AK93" s="760"/>
      <c r="AM93" s="760"/>
      <c r="AN93" s="760"/>
      <c r="AO93" s="760"/>
      <c r="AQ93" s="760"/>
      <c r="AR93" s="760"/>
      <c r="AS93" s="760"/>
    </row>
    <row r="94" spans="1:45" s="893" customFormat="1" ht="15" customHeight="1">
      <c r="A94" s="112"/>
      <c r="B94" s="261"/>
      <c r="C94" s="257"/>
      <c r="D94" s="257"/>
      <c r="E94" s="1532" t="s">
        <v>1556</v>
      </c>
      <c r="F94" s="257"/>
      <c r="G94" s="257"/>
      <c r="H94" s="257"/>
      <c r="I94" s="257"/>
      <c r="J94" s="259"/>
      <c r="K94" s="259"/>
      <c r="L94" s="259"/>
      <c r="M94" s="1665"/>
      <c r="N94" s="259"/>
      <c r="O94" s="1666"/>
      <c r="P94" s="1670"/>
      <c r="Q94" s="2450"/>
      <c r="R94" s="112"/>
      <c r="S94" s="112"/>
      <c r="T94" s="11"/>
      <c r="U94" s="11"/>
      <c r="V94" s="11"/>
      <c r="W94" s="11"/>
      <c r="X94" s="11"/>
      <c r="Z94" s="305"/>
      <c r="AA94" s="305"/>
      <c r="AB94" s="305"/>
      <c r="AC94" s="4"/>
      <c r="AE94" s="305"/>
      <c r="AF94" s="305"/>
      <c r="AG94" s="305"/>
      <c r="AI94" s="305"/>
      <c r="AJ94" s="305"/>
      <c r="AK94" s="305"/>
      <c r="AM94" s="305"/>
      <c r="AN94" s="305"/>
      <c r="AO94" s="305"/>
      <c r="AQ94" s="305"/>
      <c r="AR94" s="305"/>
      <c r="AS94" s="305"/>
    </row>
    <row r="95" spans="1:45" s="893" customFormat="1" ht="19.5" customHeight="1">
      <c r="A95" s="112"/>
      <c r="B95" s="261"/>
      <c r="C95" s="257"/>
      <c r="D95" s="257"/>
      <c r="E95" s="1495"/>
      <c r="F95" s="257"/>
      <c r="G95" s="257"/>
      <c r="H95" s="257"/>
      <c r="I95" s="257"/>
      <c r="J95" s="259"/>
      <c r="K95" s="259"/>
      <c r="L95" s="259"/>
      <c r="M95" s="1665"/>
      <c r="N95" s="259"/>
      <c r="O95" s="1666"/>
      <c r="P95" s="1670"/>
      <c r="Q95" s="2450"/>
      <c r="R95" s="112"/>
      <c r="S95" s="112"/>
      <c r="T95" s="11"/>
      <c r="U95" s="11"/>
      <c r="V95" s="11"/>
      <c r="W95" s="11"/>
      <c r="X95" s="11"/>
      <c r="Z95" s="305"/>
      <c r="AA95" s="305"/>
      <c r="AB95" s="305"/>
      <c r="AC95" s="4"/>
      <c r="AE95" s="305"/>
      <c r="AF95" s="305"/>
      <c r="AG95" s="305"/>
      <c r="AI95" s="305"/>
      <c r="AJ95" s="305"/>
      <c r="AK95" s="305"/>
      <c r="AM95" s="305"/>
      <c r="AN95" s="305"/>
      <c r="AO95" s="305"/>
      <c r="AQ95" s="305"/>
      <c r="AR95" s="305"/>
      <c r="AS95" s="305"/>
    </row>
    <row r="96" spans="1:45" s="893" customFormat="1" ht="11.25" customHeight="1">
      <c r="A96" s="112"/>
      <c r="B96" s="261"/>
      <c r="C96" s="1494" t="str">
        <f>IF(NOT(OR(A62,A64,C70="X")),"",IF(Qualified_Dividends&lt;&gt;"","","X"))</f>
        <v>X</v>
      </c>
      <c r="D96" s="912"/>
      <c r="E96" s="355" t="s">
        <v>901</v>
      </c>
      <c r="F96" s="257"/>
      <c r="G96" s="257"/>
      <c r="H96" s="257"/>
      <c r="I96" s="257"/>
      <c r="J96" s="259"/>
      <c r="K96" s="259"/>
      <c r="L96" s="259"/>
      <c r="M96" s="1665"/>
      <c r="N96" s="259"/>
      <c r="O96" s="1666"/>
      <c r="P96" s="1670"/>
      <c r="Q96" s="2450"/>
      <c r="R96" s="112"/>
      <c r="S96" s="112"/>
      <c r="T96" s="11"/>
      <c r="U96" s="11"/>
      <c r="V96" s="11"/>
      <c r="W96" s="11"/>
      <c r="X96" s="11"/>
      <c r="Z96" s="305"/>
      <c r="AA96" s="305"/>
      <c r="AB96" s="305"/>
      <c r="AC96" s="4"/>
      <c r="AE96" s="305"/>
      <c r="AF96" s="305"/>
      <c r="AG96" s="305"/>
      <c r="AI96" s="305"/>
      <c r="AJ96" s="305"/>
      <c r="AK96" s="305"/>
      <c r="AM96" s="305"/>
      <c r="AN96" s="305"/>
      <c r="AO96" s="305"/>
      <c r="AQ96" s="305"/>
      <c r="AR96" s="305"/>
      <c r="AS96" s="305"/>
    </row>
    <row r="97" spans="1:45" s="893" customFormat="1" ht="15" customHeight="1" thickBot="1">
      <c r="A97" s="112"/>
      <c r="B97" s="911"/>
      <c r="C97" s="886"/>
      <c r="D97" s="886"/>
      <c r="E97" s="887"/>
      <c r="F97" s="886"/>
      <c r="G97" s="886"/>
      <c r="H97" s="886"/>
      <c r="I97" s="886"/>
      <c r="J97" s="908"/>
      <c r="K97" s="908"/>
      <c r="L97" s="908"/>
      <c r="M97" s="1667"/>
      <c r="N97" s="908"/>
      <c r="O97" s="1668"/>
      <c r="P97" s="1670"/>
      <c r="Q97" s="2450"/>
      <c r="R97" s="112"/>
      <c r="S97" s="112"/>
      <c r="T97" s="11"/>
      <c r="U97" s="11"/>
      <c r="V97" s="11"/>
      <c r="W97" s="11"/>
      <c r="X97" s="11"/>
      <c r="Z97" s="305"/>
      <c r="AA97" s="305"/>
      <c r="AB97" s="305"/>
      <c r="AC97" s="4"/>
      <c r="AE97" s="305"/>
      <c r="AF97" s="305"/>
      <c r="AG97" s="305"/>
      <c r="AI97" s="305"/>
      <c r="AJ97" s="305"/>
      <c r="AK97" s="305"/>
      <c r="AM97" s="305"/>
      <c r="AN97" s="305"/>
      <c r="AO97" s="305"/>
      <c r="AQ97" s="305"/>
      <c r="AR97" s="305"/>
      <c r="AS97" s="305"/>
    </row>
    <row r="98" spans="1:45" s="893" customFormat="1" ht="15" customHeight="1">
      <c r="A98" s="112"/>
      <c r="B98" s="257"/>
      <c r="C98" s="257"/>
      <c r="D98" s="257"/>
      <c r="E98" s="355"/>
      <c r="F98" s="257"/>
      <c r="G98" s="257"/>
      <c r="H98" s="257"/>
      <c r="I98" s="257"/>
      <c r="J98" s="259"/>
      <c r="K98" s="259"/>
      <c r="L98" s="259"/>
      <c r="M98" s="259"/>
      <c r="N98" s="259"/>
      <c r="O98" s="1669" t="str">
        <f>"Schedule D (Form 1040)   "&amp;TaxYear</f>
        <v>Schedule D (Form 1040)   2016</v>
      </c>
      <c r="P98" s="1670"/>
      <c r="Q98" s="2450"/>
      <c r="R98" s="112"/>
      <c r="S98" s="112"/>
      <c r="T98" s="11"/>
      <c r="U98" s="11"/>
      <c r="V98" s="11"/>
      <c r="W98" s="11"/>
      <c r="X98" s="11"/>
      <c r="Z98" s="305"/>
      <c r="AA98" s="305"/>
      <c r="AB98" s="305"/>
      <c r="AC98" s="4"/>
      <c r="AE98" s="305"/>
      <c r="AF98" s="305"/>
      <c r="AG98" s="305"/>
      <c r="AI98" s="305"/>
      <c r="AJ98" s="305"/>
      <c r="AK98" s="305"/>
      <c r="AM98" s="305"/>
      <c r="AN98" s="305"/>
      <c r="AO98" s="305"/>
      <c r="AQ98" s="305"/>
      <c r="AR98" s="305"/>
      <c r="AS98" s="305"/>
    </row>
    <row r="99" spans="1:45" s="893" customFormat="1" ht="9" customHeight="1">
      <c r="A99" s="112"/>
      <c r="B99" s="112"/>
      <c r="C99" s="112"/>
      <c r="D99" s="112"/>
      <c r="E99" s="112"/>
      <c r="F99" s="112"/>
      <c r="G99" s="112"/>
      <c r="H99" s="112"/>
      <c r="I99" s="112"/>
      <c r="J99" s="112"/>
      <c r="K99" s="112"/>
      <c r="L99" s="112"/>
      <c r="M99" s="112"/>
      <c r="N99" s="112"/>
      <c r="O99" s="112"/>
      <c r="P99" s="112"/>
      <c r="Q99" s="2431"/>
      <c r="R99" s="112"/>
      <c r="S99" s="112"/>
      <c r="T99" s="11"/>
      <c r="U99" s="11"/>
      <c r="V99" s="11"/>
      <c r="W99" s="11"/>
      <c r="X99" s="11"/>
      <c r="Z99" s="305"/>
      <c r="AA99" s="305"/>
      <c r="AB99" s="305"/>
      <c r="AC99" s="4"/>
      <c r="AE99" s="305"/>
      <c r="AF99" s="305"/>
      <c r="AG99" s="305"/>
      <c r="AI99" s="305"/>
      <c r="AJ99" s="305"/>
      <c r="AK99" s="305"/>
      <c r="AM99" s="305"/>
      <c r="AN99" s="305"/>
      <c r="AO99" s="305"/>
      <c r="AQ99" s="305"/>
      <c r="AR99" s="305"/>
      <c r="AS99" s="305"/>
    </row>
    <row r="100" spans="1:45" s="893" customFormat="1" ht="12.75" customHeight="1">
      <c r="A100" s="112"/>
      <c r="B100" s="112"/>
      <c r="C100" s="112"/>
      <c r="D100" s="112"/>
      <c r="E100" s="112"/>
      <c r="F100" s="112"/>
      <c r="G100" s="112"/>
      <c r="H100" s="112"/>
      <c r="I100" s="112"/>
      <c r="J100" s="112"/>
      <c r="K100" s="112"/>
      <c r="L100" s="112"/>
      <c r="M100" s="112"/>
      <c r="N100" s="112"/>
      <c r="O100" s="112"/>
      <c r="P100" s="112"/>
      <c r="Q100" s="2431"/>
      <c r="R100" s="112"/>
      <c r="S100" s="112"/>
      <c r="T100" s="11"/>
      <c r="U100" s="11"/>
      <c r="V100" s="11"/>
      <c r="W100" s="11"/>
      <c r="X100" s="11"/>
      <c r="Z100" s="305"/>
      <c r="AA100" s="305"/>
      <c r="AB100" s="305"/>
      <c r="AC100" s="4"/>
      <c r="AE100" s="305"/>
      <c r="AF100" s="305"/>
      <c r="AG100" s="305"/>
      <c r="AI100" s="305"/>
      <c r="AJ100" s="305"/>
      <c r="AK100" s="305"/>
      <c r="AM100" s="305"/>
      <c r="AN100" s="305"/>
      <c r="AO100" s="305"/>
      <c r="AQ100" s="305"/>
      <c r="AR100" s="305"/>
      <c r="AS100" s="305"/>
    </row>
    <row r="101" spans="1:45" ht="13.5" customHeight="1">
      <c r="A101" s="112"/>
      <c r="B101" s="112"/>
      <c r="C101" s="112"/>
      <c r="D101" s="112"/>
      <c r="E101" s="112"/>
      <c r="F101" s="112"/>
      <c r="G101" s="112"/>
      <c r="H101" s="112"/>
      <c r="I101" s="112"/>
      <c r="J101" s="112"/>
      <c r="K101" s="112"/>
      <c r="L101" s="112"/>
      <c r="M101" s="112"/>
      <c r="N101" s="112"/>
      <c r="O101" s="112"/>
      <c r="P101" s="112"/>
      <c r="Q101" s="2431"/>
      <c r="R101" s="112"/>
      <c r="S101" s="112"/>
      <c r="T101" s="11"/>
      <c r="U101" s="11"/>
      <c r="V101" s="11"/>
      <c r="W101" s="11"/>
      <c r="X101" s="11"/>
      <c r="Z101" s="305"/>
      <c r="AA101" s="305"/>
      <c r="AB101" s="305"/>
      <c r="AE101" s="305"/>
      <c r="AF101" s="305"/>
      <c r="AG101" s="305"/>
      <c r="AI101" s="305"/>
      <c r="AJ101" s="305"/>
      <c r="AK101" s="305"/>
      <c r="AM101" s="305"/>
      <c r="AN101" s="305"/>
      <c r="AO101" s="305"/>
      <c r="AQ101" s="305"/>
      <c r="AR101" s="305"/>
      <c r="AS101" s="305"/>
    </row>
    <row r="102" spans="1:45" ht="13.5" customHeight="1">
      <c r="A102" s="112"/>
      <c r="B102" s="112"/>
      <c r="C102" s="112"/>
      <c r="D102" s="112"/>
      <c r="E102" s="112"/>
      <c r="F102" s="112"/>
      <c r="G102" s="112"/>
      <c r="H102" s="112"/>
      <c r="I102" s="112"/>
      <c r="J102" s="112"/>
      <c r="K102" s="112"/>
      <c r="L102" s="112"/>
      <c r="M102" s="112"/>
      <c r="N102" s="112"/>
      <c r="O102" s="112"/>
      <c r="P102" s="112"/>
      <c r="Q102" s="2431"/>
      <c r="R102" s="112"/>
      <c r="S102" s="112"/>
      <c r="T102" s="11"/>
      <c r="U102" s="11"/>
      <c r="V102" s="11"/>
      <c r="W102" s="11"/>
      <c r="X102" s="11"/>
      <c r="Z102" s="305"/>
      <c r="AA102" s="305"/>
      <c r="AB102" s="305"/>
      <c r="AE102" s="305"/>
      <c r="AF102" s="305"/>
      <c r="AG102" s="305"/>
      <c r="AI102" s="305"/>
      <c r="AJ102" s="305"/>
      <c r="AK102" s="305"/>
      <c r="AM102" s="305"/>
      <c r="AN102" s="305"/>
      <c r="AO102" s="305"/>
      <c r="AQ102" s="305"/>
      <c r="AR102" s="305"/>
      <c r="AS102" s="305"/>
    </row>
    <row r="103" spans="1:45">
      <c r="A103" s="308"/>
      <c r="B103" s="308"/>
      <c r="C103" s="308"/>
      <c r="D103" s="308"/>
      <c r="E103" s="308"/>
      <c r="F103" s="308"/>
      <c r="G103" s="308"/>
      <c r="H103" s="308"/>
      <c r="I103" s="308"/>
      <c r="J103" s="308"/>
      <c r="K103" s="308"/>
      <c r="L103" s="308"/>
      <c r="M103" s="308"/>
      <c r="N103" s="308"/>
      <c r="O103" s="308"/>
      <c r="P103" s="308"/>
      <c r="Q103" s="2452"/>
      <c r="R103" s="308"/>
      <c r="S103" s="308"/>
      <c r="T103" s="11"/>
      <c r="U103" s="11"/>
      <c r="V103" s="11"/>
      <c r="W103" s="11"/>
      <c r="X103" s="11"/>
      <c r="Z103" s="305"/>
      <c r="AA103" s="305"/>
      <c r="AB103" s="305"/>
      <c r="AE103" s="305"/>
      <c r="AF103" s="305"/>
      <c r="AG103" s="305"/>
      <c r="AI103" s="305"/>
      <c r="AJ103" s="305"/>
      <c r="AK103" s="305"/>
      <c r="AM103" s="305"/>
      <c r="AN103" s="305"/>
      <c r="AO103" s="305"/>
      <c r="AQ103" s="305"/>
      <c r="AR103" s="305"/>
      <c r="AS103" s="305"/>
    </row>
    <row r="104" spans="1:45" s="64" customFormat="1" ht="13.5" thickBot="1">
      <c r="B104" s="208"/>
      <c r="C104" s="208"/>
      <c r="D104" s="335"/>
      <c r="E104" s="335"/>
      <c r="F104" s="335"/>
      <c r="J104" s="342"/>
      <c r="K104" s="342"/>
      <c r="L104" s="342"/>
      <c r="M104" s="342"/>
      <c r="N104" s="342"/>
      <c r="O104" s="342"/>
      <c r="P104" s="342"/>
      <c r="Q104" s="448"/>
      <c r="R104" s="342"/>
      <c r="S104" s="342"/>
      <c r="T104" s="11"/>
      <c r="U104" s="11"/>
      <c r="V104" s="11"/>
      <c r="W104" s="11"/>
      <c r="X104" s="11"/>
      <c r="Z104" s="305"/>
      <c r="AA104" s="305"/>
      <c r="AB104" s="305"/>
      <c r="AC104" s="305"/>
      <c r="AE104" s="305"/>
      <c r="AF104" s="305"/>
      <c r="AG104" s="305"/>
      <c r="AI104" s="305"/>
      <c r="AJ104" s="305"/>
      <c r="AK104" s="305"/>
      <c r="AM104" s="305"/>
      <c r="AN104" s="305"/>
      <c r="AO104" s="305"/>
      <c r="AQ104" s="305"/>
      <c r="AR104" s="305"/>
      <c r="AS104" s="305"/>
    </row>
    <row r="105" spans="1:45" s="64" customFormat="1" ht="14.25" thickTop="1" thickBot="1">
      <c r="D105" s="4884" t="s">
        <v>515</v>
      </c>
      <c r="E105" s="5072"/>
      <c r="F105" s="5072"/>
      <c r="G105" s="5072"/>
      <c r="H105" s="5073"/>
      <c r="I105" s="931"/>
      <c r="J105" s="342"/>
      <c r="K105" s="342"/>
      <c r="L105" s="342"/>
      <c r="M105" s="342"/>
      <c r="N105" s="342"/>
      <c r="O105" s="342"/>
      <c r="P105" s="342"/>
      <c r="Q105" s="448"/>
      <c r="R105" s="342"/>
      <c r="S105" s="342"/>
      <c r="T105" s="11"/>
      <c r="U105" s="11"/>
      <c r="V105" s="11"/>
      <c r="W105" s="11"/>
      <c r="X105" s="11"/>
      <c r="Z105" s="305"/>
      <c r="AA105" s="305"/>
      <c r="AB105" s="305"/>
      <c r="AC105" s="305"/>
      <c r="AE105" s="305"/>
      <c r="AF105" s="305"/>
      <c r="AG105" s="305"/>
      <c r="AI105" s="305"/>
      <c r="AJ105" s="305"/>
      <c r="AK105" s="305"/>
      <c r="AM105" s="305"/>
      <c r="AN105" s="305"/>
      <c r="AO105" s="305"/>
      <c r="AQ105" s="305"/>
      <c r="AR105" s="305"/>
      <c r="AS105" s="305"/>
    </row>
    <row r="106" spans="1:45" s="64" customFormat="1" ht="14.25" thickTop="1" thickBot="1">
      <c r="D106" s="335"/>
      <c r="E106" s="335"/>
      <c r="H106" s="342"/>
      <c r="I106" s="342"/>
      <c r="J106" s="342"/>
      <c r="K106" s="342"/>
      <c r="L106" s="342"/>
      <c r="M106" s="342"/>
      <c r="N106" s="342"/>
      <c r="O106" s="342"/>
      <c r="P106" s="342"/>
      <c r="Q106" s="448"/>
      <c r="S106" s="342"/>
      <c r="T106" s="11"/>
      <c r="U106" s="11"/>
      <c r="V106" s="11"/>
      <c r="W106" s="11"/>
      <c r="X106" s="11"/>
      <c r="Z106" s="305"/>
      <c r="AA106" s="305"/>
      <c r="AB106" s="305"/>
      <c r="AC106" s="305"/>
      <c r="AE106" s="305"/>
      <c r="AF106" s="305"/>
      <c r="AG106" s="305"/>
      <c r="AI106" s="305"/>
      <c r="AJ106" s="305"/>
      <c r="AK106" s="305"/>
      <c r="AM106" s="305"/>
      <c r="AN106" s="305"/>
      <c r="AO106" s="305"/>
      <c r="AQ106" s="305"/>
      <c r="AR106" s="305"/>
      <c r="AS106" s="305"/>
    </row>
    <row r="107" spans="1:45" s="64" customFormat="1" ht="14.25" thickTop="1" thickBot="1">
      <c r="D107" s="5032" t="s">
        <v>112</v>
      </c>
      <c r="E107" s="5072"/>
      <c r="F107" s="5072"/>
      <c r="G107" s="5072"/>
      <c r="H107" s="5073"/>
      <c r="I107" s="931"/>
      <c r="J107" s="342"/>
      <c r="K107" s="342"/>
      <c r="L107" s="342"/>
      <c r="M107" s="342"/>
      <c r="N107" s="342"/>
      <c r="O107" s="342"/>
      <c r="P107" s="342"/>
      <c r="Q107" s="448"/>
      <c r="S107" s="342"/>
      <c r="T107" s="11"/>
      <c r="U107" s="11"/>
      <c r="V107" s="11"/>
      <c r="W107" s="11"/>
      <c r="X107" s="11"/>
      <c r="Z107" s="305"/>
      <c r="AA107" s="305"/>
      <c r="AB107" s="305"/>
      <c r="AC107" s="305"/>
      <c r="AE107" s="305"/>
      <c r="AF107" s="305"/>
      <c r="AG107" s="305"/>
      <c r="AI107" s="305"/>
      <c r="AJ107" s="305"/>
      <c r="AK107" s="305"/>
      <c r="AM107" s="305"/>
      <c r="AN107" s="305"/>
      <c r="AO107" s="305"/>
      <c r="AQ107" s="305"/>
      <c r="AR107" s="305"/>
      <c r="AS107" s="305"/>
    </row>
    <row r="108" spans="1:45" s="64" customFormat="1" ht="13.5" thickTop="1">
      <c r="P108" s="342"/>
      <c r="Q108" s="448"/>
      <c r="R108"/>
      <c r="S108" s="342"/>
      <c r="Z108" s="305"/>
      <c r="AA108" s="305"/>
      <c r="AB108" s="305"/>
      <c r="AC108" s="305"/>
      <c r="AE108" s="305"/>
      <c r="AF108" s="305"/>
      <c r="AG108" s="305"/>
      <c r="AI108" s="305"/>
      <c r="AJ108" s="305"/>
      <c r="AK108" s="305"/>
      <c r="AM108" s="305"/>
      <c r="AN108" s="305"/>
      <c r="AO108" s="305"/>
      <c r="AQ108" s="305"/>
      <c r="AR108" s="305"/>
      <c r="AS108" s="305"/>
    </row>
    <row r="109" spans="1:45" s="64" customFormat="1">
      <c r="P109" s="342"/>
      <c r="Q109" s="448"/>
      <c r="R109"/>
      <c r="Z109" s="305"/>
      <c r="AA109" s="305"/>
      <c r="AB109" s="305"/>
      <c r="AC109" s="305"/>
      <c r="AE109" s="305"/>
      <c r="AF109" s="305"/>
      <c r="AG109" s="305"/>
      <c r="AI109" s="305"/>
      <c r="AJ109" s="305"/>
      <c r="AK109" s="305"/>
      <c r="AM109" s="305"/>
      <c r="AN109" s="305"/>
      <c r="AO109" s="305"/>
      <c r="AQ109" s="305"/>
      <c r="AR109" s="305"/>
      <c r="AS109" s="305"/>
    </row>
    <row r="110" spans="1:45" s="64" customFormat="1">
      <c r="Q110" s="437"/>
      <c r="R110"/>
      <c r="Z110" s="305"/>
      <c r="AA110" s="305"/>
      <c r="AB110" s="305"/>
      <c r="AC110" s="305"/>
      <c r="AE110" s="305"/>
      <c r="AF110" s="305"/>
      <c r="AG110" s="305"/>
      <c r="AI110" s="305"/>
      <c r="AJ110" s="305"/>
      <c r="AK110" s="305"/>
      <c r="AM110" s="305"/>
      <c r="AN110" s="305"/>
      <c r="AO110" s="305"/>
      <c r="AQ110" s="305"/>
      <c r="AR110" s="305"/>
      <c r="AS110" s="305"/>
    </row>
    <row r="111" spans="1:45">
      <c r="P111" s="64"/>
      <c r="Q111" s="437"/>
      <c r="S111" s="64"/>
    </row>
    <row r="112" spans="1:45">
      <c r="P112" s="64"/>
      <c r="Q112" s="437"/>
    </row>
  </sheetData>
  <sheetProtection password="F07E" sheet="1" objects="1" scenarios="1"/>
  <mergeCells count="110">
    <mergeCell ref="H39:I39"/>
    <mergeCell ref="K39:M39"/>
    <mergeCell ref="U10:U12"/>
    <mergeCell ref="T10:T12"/>
    <mergeCell ref="V10:V12"/>
    <mergeCell ref="B10:G12"/>
    <mergeCell ref="N18:O18"/>
    <mergeCell ref="H20:I20"/>
    <mergeCell ref="H19:I19"/>
    <mergeCell ref="K19:M19"/>
    <mergeCell ref="C19:G20"/>
    <mergeCell ref="H17:I17"/>
    <mergeCell ref="K20:M20"/>
    <mergeCell ref="H16:I16"/>
    <mergeCell ref="K16:M16"/>
    <mergeCell ref="N16:O16"/>
    <mergeCell ref="N15:O15"/>
    <mergeCell ref="H10:I12"/>
    <mergeCell ref="K15:M15"/>
    <mergeCell ref="C13:G14"/>
    <mergeCell ref="K34:M34"/>
    <mergeCell ref="N34:O34"/>
    <mergeCell ref="D107:H107"/>
    <mergeCell ref="T30:T32"/>
    <mergeCell ref="N87:O87"/>
    <mergeCell ref="D105:H105"/>
    <mergeCell ref="B55:D55"/>
    <mergeCell ref="N42:O42"/>
    <mergeCell ref="K36:M36"/>
    <mergeCell ref="N58:O58"/>
    <mergeCell ref="N72:O72"/>
    <mergeCell ref="N75:O75"/>
    <mergeCell ref="N50:O50"/>
    <mergeCell ref="K40:M40"/>
    <mergeCell ref="N40:O40"/>
    <mergeCell ref="H40:I40"/>
    <mergeCell ref="H38:I38"/>
    <mergeCell ref="K38:M38"/>
    <mergeCell ref="N35:O35"/>
    <mergeCell ref="N57:O57"/>
    <mergeCell ref="N46:O46"/>
    <mergeCell ref="N48:O48"/>
    <mergeCell ref="N47:O47"/>
    <mergeCell ref="N49:O49"/>
    <mergeCell ref="N37:O37"/>
    <mergeCell ref="C37:G38"/>
    <mergeCell ref="F2:L3"/>
    <mergeCell ref="L7:O7"/>
    <mergeCell ref="L8:O8"/>
    <mergeCell ref="K18:M18"/>
    <mergeCell ref="H15:I15"/>
    <mergeCell ref="H18:I18"/>
    <mergeCell ref="M2:O2"/>
    <mergeCell ref="J10:J12"/>
    <mergeCell ref="N10:O12"/>
    <mergeCell ref="M3:O4"/>
    <mergeCell ref="M5:O6"/>
    <mergeCell ref="K17:M17"/>
    <mergeCell ref="N17:O17"/>
    <mergeCell ref="K10:M12"/>
    <mergeCell ref="C15:G16"/>
    <mergeCell ref="C17:G18"/>
    <mergeCell ref="AQ8:AS8"/>
    <mergeCell ref="Z8:AC8"/>
    <mergeCell ref="AE8:AG8"/>
    <mergeCell ref="AI8:AK8"/>
    <mergeCell ref="AM8:AO8"/>
    <mergeCell ref="N76:O86"/>
    <mergeCell ref="N19:O19"/>
    <mergeCell ref="N38:O38"/>
    <mergeCell ref="N39:O39"/>
    <mergeCell ref="W30:W32"/>
    <mergeCell ref="N36:O36"/>
    <mergeCell ref="N20:O20"/>
    <mergeCell ref="N28:O28"/>
    <mergeCell ref="N21:O21"/>
    <mergeCell ref="N24:O24"/>
    <mergeCell ref="N23:O23"/>
    <mergeCell ref="N25:O25"/>
    <mergeCell ref="N26:O26"/>
    <mergeCell ref="U30:U32"/>
    <mergeCell ref="N30:O32"/>
    <mergeCell ref="N22:O22"/>
    <mergeCell ref="V30:V32"/>
    <mergeCell ref="N27:O27"/>
    <mergeCell ref="W10:W12"/>
    <mergeCell ref="C49:L50"/>
    <mergeCell ref="C27:L28"/>
    <mergeCell ref="H14:I14"/>
    <mergeCell ref="K14:M14"/>
    <mergeCell ref="N14:O14"/>
    <mergeCell ref="F5:L5"/>
    <mergeCell ref="F4:L4"/>
    <mergeCell ref="H35:I35"/>
    <mergeCell ref="K35:M35"/>
    <mergeCell ref="H37:I37"/>
    <mergeCell ref="K37:M37"/>
    <mergeCell ref="C35:G36"/>
    <mergeCell ref="B30:G32"/>
    <mergeCell ref="H30:I32"/>
    <mergeCell ref="J30:J32"/>
    <mergeCell ref="K30:M32"/>
    <mergeCell ref="H36:I36"/>
    <mergeCell ref="C33:G34"/>
    <mergeCell ref="H34:I34"/>
    <mergeCell ref="N41:O41"/>
    <mergeCell ref="C41:L42"/>
    <mergeCell ref="N44:O44"/>
    <mergeCell ref="N45:O45"/>
    <mergeCell ref="C39:G40"/>
  </mergeCells>
  <phoneticPr fontId="12" type="noConversion"/>
  <conditionalFormatting sqref="J29">
    <cfRule type="expression" dxfId="1248" priority="133" stopIfTrue="1">
      <formula>IF(SUM(#REF!)&gt;0,1,0)</formula>
    </cfRule>
  </conditionalFormatting>
  <conditionalFormatting sqref="J9 H9">
    <cfRule type="expression" dxfId="1247" priority="480" stopIfTrue="1">
      <formula>IF(SUM(#REF!)&gt;0,1,0)</formula>
    </cfRule>
  </conditionalFormatting>
  <conditionalFormatting sqref="H29">
    <cfRule type="expression" dxfId="1246" priority="482" stopIfTrue="1">
      <formula>IF(SUM(#REF!)&gt;0,1,0)</formula>
    </cfRule>
  </conditionalFormatting>
  <conditionalFormatting sqref="B8:O8">
    <cfRule type="expression" dxfId="1245" priority="58">
      <formula>IF(NoColor,1,0)</formula>
    </cfRule>
  </conditionalFormatting>
  <conditionalFormatting sqref="H16:O16">
    <cfRule type="expression" dxfId="1244" priority="57">
      <formula>IF(NoColor,1,0)</formula>
    </cfRule>
  </conditionalFormatting>
  <conditionalFormatting sqref="N22:O22">
    <cfRule type="expression" dxfId="1243" priority="54">
      <formula>IF(NoColor,1,0)</formula>
    </cfRule>
  </conditionalFormatting>
  <conditionalFormatting sqref="N24:O24">
    <cfRule type="expression" dxfId="1242" priority="53">
      <formula>IF(NoColor,1,0)</formula>
    </cfRule>
  </conditionalFormatting>
  <conditionalFormatting sqref="N26:O26">
    <cfRule type="expression" dxfId="1241" priority="52">
      <formula>IF(NoColor,1,0)</formula>
    </cfRule>
  </conditionalFormatting>
  <conditionalFormatting sqref="N87:O87">
    <cfRule type="expression" dxfId="1240" priority="38">
      <formula>IF(NoColor,1,0)</formula>
    </cfRule>
  </conditionalFormatting>
  <conditionalFormatting sqref="N42:O42">
    <cfRule type="expression" dxfId="1239" priority="50">
      <formula>IF(NoColor,1,0)</formula>
    </cfRule>
  </conditionalFormatting>
  <conditionalFormatting sqref="N44:O44">
    <cfRule type="expression" dxfId="1238" priority="49">
      <formula>IF(NoColor,1,0)</formula>
    </cfRule>
  </conditionalFormatting>
  <conditionalFormatting sqref="N46:O46">
    <cfRule type="expression" dxfId="1237" priority="48">
      <formula>IF(NoColor,1,0)</formula>
    </cfRule>
  </conditionalFormatting>
  <conditionalFormatting sqref="N48:O48">
    <cfRule type="expression" dxfId="1236" priority="47">
      <formula>IF(NoColor,1,0)</formula>
    </cfRule>
  </conditionalFormatting>
  <conditionalFormatting sqref="N28:O28">
    <cfRule type="expression" dxfId="1235" priority="45">
      <formula>IF(NoColor,1,0)</formula>
    </cfRule>
  </conditionalFormatting>
  <conditionalFormatting sqref="N58:O58">
    <cfRule type="expression" dxfId="1234" priority="41">
      <formula>IF(NoColor,1,0)</formula>
    </cfRule>
  </conditionalFormatting>
  <conditionalFormatting sqref="N72:O72">
    <cfRule type="expression" dxfId="1233" priority="40">
      <formula>IF(NoColor,1,0)</formula>
    </cfRule>
  </conditionalFormatting>
  <conditionalFormatting sqref="N75:O75">
    <cfRule type="expression" dxfId="1232" priority="39">
      <formula>IF(NoColor,1,0)</formula>
    </cfRule>
  </conditionalFormatting>
  <conditionalFormatting sqref="H18:O18">
    <cfRule type="expression" dxfId="1231" priority="19">
      <formula>IF(NoColor,1,0)</formula>
    </cfRule>
  </conditionalFormatting>
  <conditionalFormatting sqref="H20:O20">
    <cfRule type="expression" dxfId="1230" priority="18">
      <formula>IF(NoColor,1,0)</formula>
    </cfRule>
  </conditionalFormatting>
  <conditionalFormatting sqref="H36:O36">
    <cfRule type="expression" dxfId="1229" priority="17">
      <formula>IF(NoColor,1,0)</formula>
    </cfRule>
  </conditionalFormatting>
  <conditionalFormatting sqref="H38:O38">
    <cfRule type="expression" dxfId="1228" priority="16">
      <formula>IF(NoColor,1,0)</formula>
    </cfRule>
  </conditionalFormatting>
  <conditionalFormatting sqref="H40:O40">
    <cfRule type="expression" dxfId="1227" priority="15">
      <formula>IF(NoColor,1,0)</formula>
    </cfRule>
  </conditionalFormatting>
  <conditionalFormatting sqref="N50:O50">
    <cfRule type="expression" dxfId="1226" priority="14">
      <formula>IF(NoColor,1,0)</formula>
    </cfRule>
  </conditionalFormatting>
  <conditionalFormatting sqref="H14:I14 K14:M14">
    <cfRule type="expression" dxfId="1225" priority="13">
      <formula>IF(NoColor,1,0)</formula>
    </cfRule>
  </conditionalFormatting>
  <conditionalFormatting sqref="H34:M34">
    <cfRule type="expression" dxfId="1224" priority="12">
      <formula>IF(NoColor,1,0)</formula>
    </cfRule>
  </conditionalFormatting>
  <conditionalFormatting sqref="N14:O14">
    <cfRule type="expression" dxfId="1223" priority="11">
      <formula>IF(NoColor,1,0)</formula>
    </cfRule>
  </conditionalFormatting>
  <conditionalFormatting sqref="N34:O34">
    <cfRule type="expression" dxfId="1222" priority="10">
      <formula>IF(NoColor,1,0)</formula>
    </cfRule>
  </conditionalFormatting>
  <conditionalFormatting sqref="J14">
    <cfRule type="expression" dxfId="1221" priority="9">
      <formula>IF(NoColor,1,0)</formula>
    </cfRule>
  </conditionalFormatting>
  <conditionalFormatting sqref="W14">
    <cfRule type="expression" dxfId="1220" priority="8">
      <formula>IF(NoColor,1,0)</formula>
    </cfRule>
  </conditionalFormatting>
  <conditionalFormatting sqref="T16:W16">
    <cfRule type="expression" dxfId="1219" priority="7">
      <formula>IF(NoColor,1,0)</formula>
    </cfRule>
  </conditionalFormatting>
  <conditionalFormatting sqref="T18:W18">
    <cfRule type="expression" dxfId="1218" priority="6">
      <formula>IF(NoColor,1,0)</formula>
    </cfRule>
  </conditionalFormatting>
  <conditionalFormatting sqref="T20:W20">
    <cfRule type="expression" dxfId="1217" priority="5">
      <formula>IF(NoColor,1,0)</formula>
    </cfRule>
  </conditionalFormatting>
  <conditionalFormatting sqref="T36:W36">
    <cfRule type="expression" dxfId="1216" priority="4">
      <formula>IF(NoColor,1,0)</formula>
    </cfRule>
  </conditionalFormatting>
  <conditionalFormatting sqref="T38:W38">
    <cfRule type="expression" dxfId="1215" priority="3">
      <formula>IF(NoColor,1,0)</formula>
    </cfRule>
  </conditionalFormatting>
  <conditionalFormatting sqref="T40:W40">
    <cfRule type="expression" dxfId="1214" priority="2">
      <formula>IF(NoColor,1,0)</formula>
    </cfRule>
  </conditionalFormatting>
  <conditionalFormatting sqref="W34">
    <cfRule type="expression" dxfId="1213" priority="1">
      <formula>IF(NoColor,1,0)</formula>
    </cfRule>
  </conditionalFormatting>
  <hyperlinks>
    <hyperlink ref="D105:H105" r:id="rId1" display="Download Form 1040 Schedule D"/>
    <hyperlink ref="D107:H107" r:id="rId2" display="Download Form 1040 Schedule D Instructions"/>
  </hyperlinks>
  <printOptions horizontalCentered="1"/>
  <pageMargins left="0.44" right="0.25" top="0.34" bottom="0.25" header="0.28000000000000003" footer="0.25"/>
  <pageSetup scale="90" fitToHeight="0" orientation="portrait" horizontalDpi="120" verticalDpi="144" r:id="rId3"/>
  <headerFooter alignWithMargins="0"/>
  <rowBreaks count="2" manualBreakCount="2">
    <brk id="51" min="1" max="13" man="1"/>
    <brk id="100" min="1" max="12" man="1"/>
  </rowBreaks>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I151"/>
  <sheetViews>
    <sheetView zoomScaleNormal="100" zoomScaleSheetLayoutView="100" workbookViewId="0">
      <selection activeCell="AK24" sqref="AK24"/>
    </sheetView>
  </sheetViews>
  <sheetFormatPr defaultRowHeight="12.75"/>
  <cols>
    <col min="1" max="1" width="4" customWidth="1"/>
    <col min="2" max="2" width="4.5703125" customWidth="1"/>
    <col min="3" max="3" width="1.5703125" customWidth="1"/>
    <col min="4" max="4" width="3" customWidth="1"/>
    <col min="5" max="5" width="13.42578125" customWidth="1"/>
    <col min="6" max="6" width="14.42578125" customWidth="1"/>
    <col min="7" max="7" width="10.28515625" customWidth="1"/>
    <col min="8" max="8" width="6.85546875" customWidth="1"/>
    <col min="9" max="9" width="3.85546875" customWidth="1"/>
    <col min="10" max="10" width="14.42578125" customWidth="1"/>
    <col min="11" max="11" width="5" customWidth="1"/>
    <col min="12" max="12" width="16.85546875" customWidth="1"/>
    <col min="13" max="13" width="3.5703125" customWidth="1"/>
    <col min="14" max="14" width="13.140625" customWidth="1"/>
    <col min="15" max="15" width="3.7109375" customWidth="1"/>
    <col min="16" max="16" width="11.7109375" customWidth="1"/>
    <col min="17" max="17" width="1.5703125" style="64" customWidth="1"/>
    <col min="18" max="18" width="7.140625" style="64" customWidth="1"/>
    <col min="19" max="19" width="23.85546875" style="64" customWidth="1"/>
    <col min="20" max="20" width="1.28515625" style="64" customWidth="1"/>
    <col min="21" max="21" width="3.28515625" style="64" customWidth="1"/>
    <col min="22" max="22" width="8.42578125" style="64" customWidth="1"/>
    <col min="23" max="23" width="12.28515625" style="64" hidden="1" customWidth="1"/>
    <col min="24" max="31" width="12.28515625" hidden="1" customWidth="1"/>
    <col min="35" max="35" width="5.28515625" customWidth="1"/>
  </cols>
  <sheetData>
    <row r="1" spans="1:35">
      <c r="A1" s="389"/>
      <c r="B1" s="302"/>
      <c r="C1" s="302"/>
      <c r="D1" s="3838"/>
      <c r="E1" s="3838"/>
      <c r="F1" s="3838"/>
      <c r="G1" s="3840"/>
      <c r="H1" s="3840"/>
      <c r="I1" s="3840"/>
      <c r="J1" s="3840"/>
      <c r="K1" s="3840"/>
      <c r="L1" s="3840"/>
      <c r="M1" s="3840"/>
      <c r="N1" s="3840"/>
      <c r="O1" s="551"/>
      <c r="P1" s="686"/>
      <c r="Q1" s="331"/>
      <c r="R1" s="1238"/>
      <c r="S1" s="331"/>
      <c r="T1" s="56"/>
    </row>
    <row r="2" spans="1:35" ht="13.5" customHeight="1">
      <c r="A2" s="389"/>
      <c r="B2" s="302"/>
      <c r="C2" s="302"/>
      <c r="D2" s="3838"/>
      <c r="E2" s="3838"/>
      <c r="F2" s="3838"/>
      <c r="G2" s="3840"/>
      <c r="H2" s="3840"/>
      <c r="I2" s="3840"/>
      <c r="J2" s="3840"/>
      <c r="K2" s="3840"/>
      <c r="L2" s="3840"/>
      <c r="M2" s="3840"/>
      <c r="N2" s="3840"/>
      <c r="O2" s="551"/>
      <c r="P2" s="686"/>
      <c r="Q2" s="331"/>
      <c r="R2" s="1238"/>
      <c r="S2" s="331"/>
      <c r="T2" s="56"/>
    </row>
    <row r="3" spans="1:35" ht="13.5" customHeight="1">
      <c r="A3" s="389"/>
      <c r="B3" s="302"/>
      <c r="C3" s="302"/>
      <c r="D3" s="3838"/>
      <c r="E3" s="3838"/>
      <c r="F3" s="3838"/>
      <c r="G3" s="3840"/>
      <c r="H3" s="302"/>
      <c r="I3" s="302"/>
      <c r="J3" s="3840"/>
      <c r="K3" s="3840"/>
      <c r="L3" s="3840"/>
      <c r="M3" s="3840"/>
      <c r="N3" s="3840"/>
      <c r="O3" s="551"/>
      <c r="P3" s="686"/>
      <c r="Q3" s="331"/>
      <c r="R3" s="1238"/>
      <c r="S3" s="331"/>
      <c r="T3" s="331"/>
    </row>
    <row r="4" spans="1:35" ht="13.5" customHeight="1" thickBot="1">
      <c r="A4" s="389"/>
      <c r="B4" s="314"/>
      <c r="C4" s="314"/>
      <c r="D4" s="3839" t="s">
        <v>3269</v>
      </c>
      <c r="E4" s="314"/>
      <c r="F4" s="314"/>
      <c r="G4" s="3840"/>
      <c r="H4" s="302"/>
      <c r="I4" s="302"/>
      <c r="J4" s="3840"/>
      <c r="K4" s="3840"/>
      <c r="L4" s="3840"/>
      <c r="M4" s="519" t="s">
        <v>290</v>
      </c>
      <c r="N4" s="519"/>
      <c r="O4" s="331"/>
      <c r="P4" s="331"/>
      <c r="Q4" s="331"/>
      <c r="R4" s="1239"/>
      <c r="S4" s="331"/>
      <c r="T4" s="331"/>
    </row>
    <row r="5" spans="1:35" ht="13.5" customHeight="1">
      <c r="A5" s="389"/>
      <c r="B5" s="3843"/>
      <c r="C5" s="3844"/>
      <c r="D5" s="3845"/>
      <c r="E5" s="3845"/>
      <c r="F5" s="3845"/>
      <c r="G5" s="3846"/>
      <c r="H5" s="3844"/>
      <c r="I5" s="3844"/>
      <c r="J5" s="3846"/>
      <c r="K5" s="3846"/>
      <c r="L5" s="3846"/>
      <c r="M5" s="3846"/>
      <c r="N5" s="3887"/>
      <c r="O5" s="3846"/>
      <c r="P5" s="3890"/>
      <c r="Q5" s="3867"/>
      <c r="R5" s="1238"/>
      <c r="S5" s="914"/>
      <c r="T5" s="56"/>
      <c r="V5" s="3889" t="b">
        <f>IF(SUM(U6:U10)&gt;0,TRUE,FALSE)</f>
        <v>0</v>
      </c>
      <c r="W5" s="2613"/>
      <c r="X5" s="2591"/>
      <c r="Y5" s="2591"/>
      <c r="Z5" s="2591"/>
      <c r="AA5" s="2591"/>
      <c r="AB5" s="2591"/>
      <c r="AC5" s="2591"/>
      <c r="AD5" s="2591"/>
      <c r="AE5" s="2591"/>
      <c r="AF5" s="3060" t="s">
        <v>3296</v>
      </c>
    </row>
    <row r="6" spans="1:35" ht="13.5" customHeight="1">
      <c r="A6" s="389"/>
      <c r="B6" s="3852"/>
      <c r="C6" s="3849" t="str">
        <f>"Use this worksheet to figure your capital loss carryovers from "&amp;TaxYear-1&amp;" to "&amp;TaxYear&amp;" if your "&amp;TaxYear-1&amp;" Schedule D, line 21, is a loss and"</f>
        <v>Use this worksheet to figure your capital loss carryovers from 2015 to 2016 if your 2015 Schedule D, line 21, is a loss and</v>
      </c>
      <c r="D6" s="3850"/>
      <c r="E6" s="3850"/>
      <c r="F6" s="3850"/>
      <c r="G6" s="3851"/>
      <c r="H6" s="3848"/>
      <c r="I6" s="3848"/>
      <c r="J6" s="3851"/>
      <c r="K6" s="3851"/>
      <c r="L6" s="3851"/>
      <c r="M6" s="3851"/>
      <c r="N6" s="3851"/>
      <c r="O6" s="3851"/>
      <c r="P6" s="2888"/>
      <c r="Q6" s="3874"/>
      <c r="R6" s="1238"/>
      <c r="S6" s="914" t="str">
        <f>TaxYear-1&amp;" Sch. D, Line 7"</f>
        <v>2015 Sch. D, Line 7</v>
      </c>
      <c r="T6" s="56"/>
      <c r="U6" s="2113">
        <f>IF(P6="",0,1)</f>
        <v>0</v>
      </c>
      <c r="V6" s="3892" t="b">
        <f>IF(P9&lt;0,TRUE,FALSE)</f>
        <v>0</v>
      </c>
      <c r="W6" s="3161"/>
      <c r="X6" s="3383"/>
      <c r="Y6" s="3383"/>
      <c r="Z6" s="3383"/>
      <c r="AA6" s="3383"/>
      <c r="AB6" s="3383"/>
      <c r="AC6" s="3383"/>
      <c r="AD6" s="3383"/>
      <c r="AE6" s="3383"/>
      <c r="AF6" s="3893" t="s">
        <v>3293</v>
      </c>
      <c r="AG6" s="3383"/>
      <c r="AH6" s="3383"/>
      <c r="AI6" s="3384"/>
    </row>
    <row r="7" spans="1:35" ht="13.5" customHeight="1">
      <c r="A7" s="389"/>
      <c r="B7" s="3852"/>
      <c r="C7" s="3849"/>
      <c r="D7" s="3849" t="str">
        <f>" (a) that loss is a smaller loss than the loss on your "&amp;TaxYear-1&amp;" Schedule D, line 16, or"</f>
        <v xml:space="preserve"> (a) that loss is a smaller loss than the loss on your 2015 Schedule D, line 16, or</v>
      </c>
      <c r="E7" s="3850"/>
      <c r="F7" s="3850"/>
      <c r="G7" s="3851"/>
      <c r="H7" s="3848"/>
      <c r="I7" s="3848"/>
      <c r="J7" s="3851"/>
      <c r="K7" s="3851"/>
      <c r="L7" s="3851"/>
      <c r="M7" s="3851"/>
      <c r="N7" s="3886"/>
      <c r="O7" s="3851"/>
      <c r="P7" s="2888"/>
      <c r="Q7" s="3874"/>
      <c r="R7" s="1238"/>
      <c r="S7" s="914" t="str">
        <f>TaxYear-1&amp;" Sch. D, Line 15"</f>
        <v>2015 Sch. D, Line 15</v>
      </c>
      <c r="T7" s="56"/>
      <c r="U7" s="2113">
        <f t="shared" ref="U7:U10" si="0">IF(P7="",0,1)</f>
        <v>0</v>
      </c>
      <c r="V7" s="2652" t="b">
        <f>IF(P8="",FALSE,IF(AND(V6,P8&lt;0,ABS(P9)&lt;ABS(P8)),TRUE,FALSE))</f>
        <v>0</v>
      </c>
      <c r="W7" s="2399"/>
      <c r="X7" s="3032"/>
      <c r="Y7" s="3032"/>
      <c r="Z7" s="3032"/>
      <c r="AA7" s="3032"/>
      <c r="AB7" s="3032"/>
      <c r="AC7" s="3032"/>
      <c r="AD7" s="3032"/>
      <c r="AE7" s="3032"/>
      <c r="AF7" s="3894" t="s">
        <v>3294</v>
      </c>
      <c r="AG7" s="3032"/>
      <c r="AH7" s="3032"/>
      <c r="AI7" s="3386"/>
    </row>
    <row r="8" spans="1:35" ht="13.5" customHeight="1">
      <c r="A8" s="389"/>
      <c r="B8" s="3852"/>
      <c r="C8" s="3849"/>
      <c r="D8" s="3849" t="str">
        <f>" (b) the amount on your "&amp;TaxYear-1&amp;" Form 1040, line 41 (or your "&amp;TaxYear-1&amp;" Form 1040NR line 39, if applicable) is less than zero."</f>
        <v xml:space="preserve"> (b) the amount on your 2015 Form 1040, line 41 (or your 2015 Form 1040NR line 39, if applicable) is less than zero.</v>
      </c>
      <c r="E8" s="3850"/>
      <c r="F8" s="3850"/>
      <c r="G8" s="3851"/>
      <c r="H8" s="3848"/>
      <c r="I8" s="3848"/>
      <c r="J8" s="3851"/>
      <c r="K8" s="3851"/>
      <c r="L8" s="3851"/>
      <c r="M8" s="3851"/>
      <c r="N8" s="3851"/>
      <c r="O8" s="3851"/>
      <c r="P8" s="2685" t="str">
        <f>IF(AND(P6="",P7=""),"",ROUND(SUM(P6,P7),0))</f>
        <v/>
      </c>
      <c r="Q8" s="3874"/>
      <c r="R8" s="1238"/>
      <c r="S8" s="914" t="str">
        <f>TaxYear-1&amp;" Sch. D, Line 16"</f>
        <v>2015 Sch. D, Line 16</v>
      </c>
      <c r="T8" s="56"/>
      <c r="U8" s="2113">
        <f t="shared" si="0"/>
        <v>0</v>
      </c>
      <c r="V8" s="2652" t="b">
        <f>IF(P10&lt;0,TRUE,FALSE)</f>
        <v>0</v>
      </c>
      <c r="W8" s="2399"/>
      <c r="X8" s="3032"/>
      <c r="Y8" s="3032"/>
      <c r="Z8" s="3032"/>
      <c r="AA8" s="3032"/>
      <c r="AB8" s="3032"/>
      <c r="AC8" s="3032"/>
      <c r="AD8" s="3032"/>
      <c r="AE8" s="3032"/>
      <c r="AF8" s="3894" t="s">
        <v>3295</v>
      </c>
      <c r="AG8" s="3032"/>
      <c r="AH8" s="3032"/>
      <c r="AI8" s="3386"/>
    </row>
    <row r="9" spans="1:35" ht="13.5" customHeight="1">
      <c r="A9" s="389"/>
      <c r="B9" s="3852"/>
      <c r="C9" s="3876"/>
      <c r="D9" s="3876"/>
      <c r="E9" s="3849" t="s">
        <v>3290</v>
      </c>
      <c r="F9" s="3850"/>
      <c r="G9" s="3851"/>
      <c r="H9" s="3885"/>
      <c r="I9" s="3848"/>
      <c r="J9" s="3851"/>
      <c r="K9" s="3851"/>
      <c r="L9" s="3851"/>
      <c r="M9" s="3851"/>
      <c r="N9" s="3886"/>
      <c r="O9" s="3851"/>
      <c r="P9" s="2888"/>
      <c r="Q9" s="3874"/>
      <c r="R9" s="1238"/>
      <c r="S9" s="914" t="str">
        <f>TaxYear-1&amp;" Sch. D, Line 21"</f>
        <v>2015 Sch. D, Line 21</v>
      </c>
      <c r="T9" s="56"/>
      <c r="U9" s="2113">
        <f t="shared" si="0"/>
        <v>0</v>
      </c>
      <c r="V9" s="3895" t="b">
        <f>IF(AND(V5,V6,OR(V7,V8)),TRUE,FALSE)</f>
        <v>0</v>
      </c>
      <c r="W9" s="3132"/>
      <c r="X9" s="3391"/>
      <c r="Y9" s="3391"/>
      <c r="Z9" s="3391"/>
      <c r="AA9" s="3391"/>
      <c r="AB9" s="3391"/>
      <c r="AC9" s="3391"/>
      <c r="AD9" s="3391"/>
      <c r="AE9" s="3391"/>
      <c r="AF9" s="3896" t="s">
        <v>3297</v>
      </c>
      <c r="AG9" s="3391"/>
      <c r="AH9" s="3391"/>
      <c r="AI9" s="3392"/>
    </row>
    <row r="10" spans="1:35" ht="13.5" customHeight="1">
      <c r="A10" s="389"/>
      <c r="B10" s="3852"/>
      <c r="C10" s="3849"/>
      <c r="D10" s="3850"/>
      <c r="E10" s="3850"/>
      <c r="F10" s="3850"/>
      <c r="G10" s="3851"/>
      <c r="H10" s="3848"/>
      <c r="I10" s="3848"/>
      <c r="J10" s="3851"/>
      <c r="K10" s="3851"/>
      <c r="L10" s="3851"/>
      <c r="M10" s="3851"/>
      <c r="N10" s="3851"/>
      <c r="O10" s="3851"/>
      <c r="P10" s="2888"/>
      <c r="Q10" s="3874"/>
      <c r="R10" s="1238"/>
      <c r="S10" s="914" t="str">
        <f>TaxYear-1&amp;" Form 1040, Line 41"</f>
        <v>2015 Form 1040, Line 41</v>
      </c>
      <c r="T10" s="56"/>
      <c r="U10" s="2113">
        <f t="shared" si="0"/>
        <v>0</v>
      </c>
      <c r="V10" s="305"/>
    </row>
    <row r="11" spans="1:35" ht="13.5" customHeight="1">
      <c r="A11" s="389"/>
      <c r="B11" s="3852"/>
      <c r="C11" s="3849" t="str">
        <f>"If you and your spouse once filed a joint return and are filing separate returns for "&amp;TaxYear&amp;","</f>
        <v>If you and your spouse once filed a joint return and are filing separate returns for 2016,</v>
      </c>
      <c r="D11" s="3850"/>
      <c r="E11" s="3850"/>
      <c r="F11" s="3850"/>
      <c r="G11" s="3851"/>
      <c r="H11" s="3848"/>
      <c r="I11" s="3848"/>
      <c r="J11" s="3851"/>
      <c r="K11" s="3851"/>
      <c r="L11" s="3851"/>
      <c r="M11" s="3851"/>
      <c r="N11" s="3851"/>
      <c r="O11" s="3851"/>
      <c r="P11" s="3851"/>
      <c r="Q11" s="3874"/>
      <c r="R11" s="1238"/>
      <c r="S11" s="3891" t="str">
        <f>IF(OR(AND(File_Marr_Sep&lt;&gt;"",$P$9&lt;-1500),$P$9&lt;-3000),"The amount of loss on Sch. D, Line 21,","")</f>
        <v/>
      </c>
      <c r="T11" s="56"/>
      <c r="V11" s="305"/>
    </row>
    <row r="12" spans="1:35" ht="13.5" customHeight="1">
      <c r="A12" s="389"/>
      <c r="B12" s="3852"/>
      <c r="C12" s="3849" t="s">
        <v>3291</v>
      </c>
      <c r="D12" s="3850"/>
      <c r="E12" s="3850"/>
      <c r="F12" s="3850"/>
      <c r="G12" s="3851"/>
      <c r="H12" s="3848"/>
      <c r="I12" s="3848"/>
      <c r="J12" s="3851"/>
      <c r="K12" s="3851"/>
      <c r="L12" s="3851"/>
      <c r="M12" s="3851"/>
      <c r="N12" s="3851"/>
      <c r="O12" s="3851"/>
      <c r="P12" s="3851"/>
      <c r="Q12" s="3874"/>
      <c r="R12" s="1238"/>
      <c r="S12" s="3891" t="str">
        <f>IF(OR(AND(File_Marr_Sep&lt;&gt;"",$P$9&lt;-1500),$P$9&lt;-3000),"should not have been more than $3,000","")</f>
        <v/>
      </c>
      <c r="T12" s="56"/>
      <c r="V12" s="305"/>
    </row>
    <row r="13" spans="1:35" ht="13.5" customHeight="1">
      <c r="A13" s="389"/>
      <c r="B13" s="3852"/>
      <c r="C13" s="3849"/>
      <c r="D13" s="3850"/>
      <c r="E13" s="3850"/>
      <c r="F13" s="3850"/>
      <c r="G13" s="3851"/>
      <c r="H13" s="3848"/>
      <c r="I13" s="3848"/>
      <c r="J13" s="3851"/>
      <c r="K13" s="3851"/>
      <c r="L13" s="3851"/>
      <c r="M13" s="3851"/>
      <c r="N13" s="3851"/>
      <c r="O13" s="3851"/>
      <c r="P13" s="3851"/>
      <c r="Q13" s="3874"/>
      <c r="R13" s="1238"/>
      <c r="S13" s="3891" t="str">
        <f>IF(OR(AND(File_Marr_Sep&lt;&gt;"",$P$9&lt;-1500),$P$9&lt;-3000),"(or $1,500, if Married Filing Separately)","")</f>
        <v/>
      </c>
      <c r="T13" s="56"/>
      <c r="V13" s="305"/>
    </row>
    <row r="14" spans="1:35" ht="13.5" customHeight="1">
      <c r="A14" s="389"/>
      <c r="B14" s="3877"/>
      <c r="C14" s="3882" t="s">
        <v>3289</v>
      </c>
      <c r="D14" s="3878"/>
      <c r="E14" s="3878"/>
      <c r="F14" s="3878"/>
      <c r="G14" s="3879"/>
      <c r="H14" s="3880"/>
      <c r="I14" s="3880"/>
      <c r="J14" s="3879"/>
      <c r="K14" s="3879"/>
      <c r="L14" s="3879"/>
      <c r="M14" s="3879"/>
      <c r="N14" s="3879"/>
      <c r="O14" s="3879"/>
      <c r="P14" s="3879"/>
      <c r="Q14" s="3881"/>
      <c r="R14" s="1238"/>
      <c r="S14" s="45"/>
      <c r="T14" s="56"/>
      <c r="V14" s="305"/>
    </row>
    <row r="15" spans="1:35">
      <c r="A15" s="389"/>
      <c r="B15" s="3847"/>
      <c r="C15" s="3855"/>
      <c r="D15" s="3853"/>
      <c r="E15" s="3853"/>
      <c r="F15" s="3850"/>
      <c r="G15" s="3851"/>
      <c r="H15" s="3848"/>
      <c r="I15" s="3848"/>
      <c r="J15" s="3851"/>
      <c r="K15" s="3851"/>
      <c r="L15" s="3851"/>
      <c r="M15" s="3858"/>
      <c r="N15" s="3870"/>
      <c r="O15" s="3871"/>
      <c r="P15" s="3851"/>
      <c r="Q15" s="3868"/>
      <c r="R15" s="1238"/>
      <c r="S15" s="914"/>
      <c r="T15" s="452"/>
      <c r="V15" s="305"/>
    </row>
    <row r="16" spans="1:35" ht="14.25" customHeight="1">
      <c r="A16" s="389"/>
      <c r="B16" s="3847" t="s">
        <v>476</v>
      </c>
      <c r="C16" s="3848"/>
      <c r="D16" s="3849" t="str">
        <f>"Enter the amount from your "&amp;TaxYear-1&amp;" Form 1040, line 41, or your "&amp;TaxYear-1&amp;" Form 1040NR, line 39."</f>
        <v>Enter the amount from your 2015 Form 1040, line 41, or your 2015 Form 1040NR, line 39.</v>
      </c>
      <c r="E16" s="3850"/>
      <c r="F16" s="3850"/>
      <c r="G16" s="3851"/>
      <c r="H16" s="3848"/>
      <c r="I16" s="3848"/>
      <c r="J16" s="3851"/>
      <c r="K16" s="3851"/>
      <c r="L16" s="3851"/>
      <c r="M16" s="3851"/>
      <c r="N16" s="3851"/>
      <c r="O16" s="3851"/>
      <c r="P16" s="3851"/>
      <c r="Q16" s="3868"/>
      <c r="R16" s="1238"/>
      <c r="S16" s="914"/>
      <c r="T16" s="56"/>
      <c r="V16" s="305"/>
    </row>
    <row r="17" spans="1:22" ht="13.5" customHeight="1">
      <c r="A17" s="389"/>
      <c r="B17" s="3852"/>
      <c r="C17" s="3848"/>
      <c r="D17" s="3853" t="s">
        <v>3271</v>
      </c>
      <c r="E17" s="3850"/>
      <c r="F17" s="3850"/>
      <c r="G17" s="3851"/>
      <c r="H17" s="3848"/>
      <c r="I17" s="3848"/>
      <c r="J17" s="3851"/>
      <c r="K17" s="3851"/>
      <c r="L17" s="3851"/>
      <c r="M17" s="3851"/>
      <c r="N17" s="3865" t="s">
        <v>3272</v>
      </c>
      <c r="O17" s="3855" t="s">
        <v>476</v>
      </c>
      <c r="P17" s="2685" t="str">
        <f>IF(NOT($V$9),"",ROUND(P10,0))</f>
        <v/>
      </c>
      <c r="Q17" s="3868"/>
      <c r="R17" s="1238"/>
      <c r="S17" s="45"/>
      <c r="T17" s="56"/>
      <c r="V17" s="305"/>
    </row>
    <row r="18" spans="1:22">
      <c r="A18" s="389"/>
      <c r="B18" s="3854" t="s">
        <v>0</v>
      </c>
      <c r="C18" s="3855"/>
      <c r="D18" s="3850" t="str">
        <f>"Enter the loss from your "&amp;TaxYear-1&amp;" Schedule D, line 21, as a positive amount"</f>
        <v>Enter the loss from your 2015 Schedule D, line 21, as a positive amount</v>
      </c>
      <c r="E18" s="3850"/>
      <c r="F18" s="3850"/>
      <c r="G18" s="3851"/>
      <c r="H18" s="3848"/>
      <c r="I18" s="3848"/>
      <c r="J18" s="3851"/>
      <c r="K18" s="3851"/>
      <c r="L18" s="3851"/>
      <c r="M18" s="3851"/>
      <c r="N18" s="3865" t="str">
        <f>IF(P18&lt;0,"Enter as a positive amount."," .   .   .   .   .   .   .   .   .   .   .   .   .   .   .   .   .   .   .   .   .   .   .   .   .   .   ")</f>
        <v xml:space="preserve"> .   .   .   .   .   .   .   .   .   .   .   .   .   .   .   .   .   .   .   .   .   .   .   .   .   .   </v>
      </c>
      <c r="O18" s="3866" t="s">
        <v>0</v>
      </c>
      <c r="P18" s="2685" t="str">
        <f>IF(NOT($V$9),"",IF(ROUND(P9,0)&gt;0,0,-ROUND(P9,0)))</f>
        <v/>
      </c>
      <c r="Q18" s="3868"/>
      <c r="R18" s="1238"/>
      <c r="S18" s="915"/>
      <c r="T18" s="79"/>
      <c r="V18" s="305"/>
    </row>
    <row r="19" spans="1:22">
      <c r="A19" s="389"/>
      <c r="B19" s="3854" t="s">
        <v>1</v>
      </c>
      <c r="C19" s="3855"/>
      <c r="D19" s="3849" t="s">
        <v>3274</v>
      </c>
      <c r="E19" s="3850"/>
      <c r="F19" s="3850"/>
      <c r="G19" s="3851"/>
      <c r="H19" s="3848"/>
      <c r="I19" s="3848"/>
      <c r="J19" s="3851"/>
      <c r="K19" s="3851"/>
      <c r="L19" s="3851"/>
      <c r="M19" s="3851"/>
      <c r="N19" s="3865" t="s">
        <v>3276</v>
      </c>
      <c r="O19" s="3866" t="s">
        <v>1</v>
      </c>
      <c r="P19" s="2685" t="str">
        <f>IF(NOT($V$9),"",IF(ROUND(SUM(P17,P18),0)&lt;0,0,ROUND(SUM(P17,P18),0)))</f>
        <v/>
      </c>
      <c r="Q19" s="3868"/>
      <c r="R19" s="1238"/>
      <c r="S19" s="915"/>
      <c r="T19" s="79"/>
    </row>
    <row r="20" spans="1:22">
      <c r="A20" s="389"/>
      <c r="B20" s="3854" t="s">
        <v>642</v>
      </c>
      <c r="C20" s="3855"/>
      <c r="D20" s="3849" t="s">
        <v>3275</v>
      </c>
      <c r="E20" s="3850"/>
      <c r="F20" s="3850"/>
      <c r="G20" s="3851"/>
      <c r="H20" s="3848"/>
      <c r="I20" s="3848"/>
      <c r="J20" s="3851"/>
      <c r="K20" s="3851"/>
      <c r="L20" s="3865" t="s">
        <v>3278</v>
      </c>
      <c r="M20" s="3856" t="s">
        <v>642</v>
      </c>
      <c r="N20" s="2685" t="str">
        <f>IF(NOT($V$9),"",MIN(P18,P19))</f>
        <v/>
      </c>
      <c r="O20" s="3871"/>
      <c r="P20" s="3871"/>
      <c r="Q20" s="3868"/>
      <c r="R20" s="1238"/>
      <c r="S20" s="915"/>
      <c r="T20" s="79"/>
    </row>
    <row r="21" spans="1:22">
      <c r="A21" s="389"/>
      <c r="B21" s="3847"/>
      <c r="C21" s="3855"/>
      <c r="D21" s="3873" t="str">
        <f>"If line 7 of your "&amp;TaxYear-1&amp;" Schedule D is a loss, go to line 5; otherwise, enter -0- on line 5 and go to line 9."</f>
        <v>If line 7 of your 2015 Schedule D is a loss, go to line 5; otherwise, enter -0- on line 5 and go to line 9.</v>
      </c>
      <c r="E21" s="3853"/>
      <c r="F21" s="3850"/>
      <c r="G21" s="3851"/>
      <c r="H21" s="3848"/>
      <c r="I21" s="3848"/>
      <c r="J21" s="3851"/>
      <c r="K21" s="3851"/>
      <c r="L21" s="3851"/>
      <c r="M21" s="3858"/>
      <c r="N21" s="3883" t="str">
        <f>IF(OR(NOT($V$9),P21),"","Go to Line 9.")</f>
        <v/>
      </c>
      <c r="O21" s="3871"/>
      <c r="P21" s="3884" t="b">
        <f>IF(P6&lt;0,TRUE,FALSE)</f>
        <v>0</v>
      </c>
      <c r="Q21" s="3868"/>
      <c r="R21" s="1238"/>
      <c r="S21" s="914"/>
      <c r="T21" s="452"/>
    </row>
    <row r="22" spans="1:22">
      <c r="A22" s="389"/>
      <c r="B22" s="3854" t="s">
        <v>53</v>
      </c>
      <c r="C22" s="3855"/>
      <c r="D22" s="3849" t="str">
        <f>"Enter the loss from your "&amp;TaxYear-1&amp;" Schedule D, line 7, as a positive amount"</f>
        <v>Enter the loss from your 2015 Schedule D, line 7, as a positive amount</v>
      </c>
      <c r="E22" s="3850"/>
      <c r="F22" s="3850"/>
      <c r="G22" s="3851"/>
      <c r="H22" s="3848"/>
      <c r="I22" s="3848"/>
      <c r="J22" s="3851"/>
      <c r="K22" s="3851"/>
      <c r="L22" s="3851"/>
      <c r="M22" s="3851"/>
      <c r="N22" s="3865" t="s">
        <v>3277</v>
      </c>
      <c r="O22" s="3866" t="s">
        <v>53</v>
      </c>
      <c r="P22" s="2685">
        <f>IF(NOT(V9),0,IF(NOT(P21),0,IF(ROUND(P6,0)&lt;0,-ROUND(P6,0),0)))</f>
        <v>0</v>
      </c>
      <c r="Q22" s="3868"/>
      <c r="R22" s="1238"/>
      <c r="S22" s="915"/>
      <c r="T22" s="79"/>
    </row>
    <row r="23" spans="1:22" ht="13.5" customHeight="1">
      <c r="A23" s="389"/>
      <c r="B23" s="3854" t="s">
        <v>122</v>
      </c>
      <c r="C23" s="3848"/>
      <c r="D23" s="3849" t="str">
        <f>"Enter any gain from your "&amp;TaxYear-1&amp;" Schedule D, line 15. If a loss, enter -0-"</f>
        <v>Enter any gain from your 2015 Schedule D, line 15. If a loss, enter -0-</v>
      </c>
      <c r="E23" s="3850"/>
      <c r="F23" s="3850"/>
      <c r="G23" s="3851"/>
      <c r="H23" s="3848"/>
      <c r="I23" s="3848"/>
      <c r="J23" s="3851"/>
      <c r="K23" s="3851"/>
      <c r="L23" s="3865" t="s">
        <v>924</v>
      </c>
      <c r="M23" s="3856" t="s">
        <v>122</v>
      </c>
      <c r="N23" s="2685" t="str">
        <f>IF(NOT(P21),"",IF(ROUND(P7,0)&gt;=0,ROUND(P7,0),0))</f>
        <v/>
      </c>
      <c r="O23" s="3871"/>
      <c r="P23" s="3851"/>
      <c r="Q23" s="3868"/>
      <c r="R23" s="1238"/>
      <c r="S23" s="45"/>
      <c r="T23" s="56"/>
    </row>
    <row r="24" spans="1:22">
      <c r="A24" s="389"/>
      <c r="B24" s="3854" t="s">
        <v>123</v>
      </c>
      <c r="C24" s="3855"/>
      <c r="D24" s="3849" t="s">
        <v>3279</v>
      </c>
      <c r="E24" s="3850"/>
      <c r="F24" s="3850"/>
      <c r="G24" s="3851"/>
      <c r="H24" s="3848"/>
      <c r="I24" s="3848"/>
      <c r="J24" s="3851"/>
      <c r="K24" s="3851"/>
      <c r="L24" s="3851"/>
      <c r="M24" s="3851"/>
      <c r="N24" s="3865" t="s">
        <v>3280</v>
      </c>
      <c r="O24" s="3866" t="s">
        <v>123</v>
      </c>
      <c r="P24" s="2685" t="str">
        <f>IF(NOT(P21),"",SUM(N20,N23))</f>
        <v/>
      </c>
      <c r="Q24" s="3868"/>
      <c r="R24" s="1238"/>
      <c r="S24" s="915"/>
      <c r="T24" s="79"/>
    </row>
    <row r="25" spans="1:22" ht="14.25" customHeight="1">
      <c r="A25" s="389"/>
      <c r="B25" s="3854" t="s">
        <v>338</v>
      </c>
      <c r="C25" s="3848"/>
      <c r="D25" s="3875" t="str">
        <f>"Short-term capital loss carryover for "&amp;TaxYear&amp;". "</f>
        <v xml:space="preserve">Short-term capital loss carryover for 2016. </v>
      </c>
      <c r="E25" s="3850"/>
      <c r="F25" s="3850"/>
      <c r="G25" s="3851"/>
      <c r="H25" s="3849" t="s">
        <v>3287</v>
      </c>
      <c r="I25" s="3848"/>
      <c r="J25" s="3851"/>
      <c r="K25" s="3851"/>
      <c r="L25" s="3851"/>
      <c r="M25" s="3851"/>
      <c r="N25" s="3851"/>
      <c r="O25" s="3851"/>
      <c r="P25" s="3851"/>
      <c r="Q25" s="3868"/>
      <c r="R25" s="1238"/>
      <c r="S25" s="914"/>
      <c r="T25" s="56"/>
    </row>
    <row r="26" spans="1:22" ht="13.5" customHeight="1">
      <c r="A26" s="389"/>
      <c r="B26" s="3852"/>
      <c r="C26" s="3848"/>
      <c r="D26" s="3853" t="s">
        <v>3283</v>
      </c>
      <c r="E26" s="3850"/>
      <c r="F26" s="3850"/>
      <c r="G26" s="3851"/>
      <c r="H26" s="3848"/>
      <c r="I26" s="3848"/>
      <c r="J26" s="3851"/>
      <c r="K26" s="3851"/>
      <c r="L26" s="3851"/>
      <c r="M26" s="3851"/>
      <c r="N26" s="3865" t="s">
        <v>3282</v>
      </c>
      <c r="O26" s="3866" t="s">
        <v>338</v>
      </c>
      <c r="P26" s="2685" t="str">
        <f>IF(NOT(P21),"",IF(SUM(P22,-P24)&lt;0,0,SUM(P22,-P24)))</f>
        <v/>
      </c>
      <c r="Q26" s="3868"/>
      <c r="R26" s="1238"/>
      <c r="S26" s="45"/>
      <c r="T26" s="56"/>
    </row>
    <row r="27" spans="1:22">
      <c r="A27" s="389"/>
      <c r="B27" s="3847"/>
      <c r="C27" s="3855"/>
      <c r="D27" s="3873" t="str">
        <f>"If line 15 of your "&amp;TaxYear-1&amp;" Schedule D is a loss, go to line 9; otherwise, skip lines 9 through 13."</f>
        <v>If line 15 of your 2015 Schedule D is a loss, go to line 9; otherwise, skip lines 9 through 13.</v>
      </c>
      <c r="E27" s="3853"/>
      <c r="F27" s="3850"/>
      <c r="G27" s="3851"/>
      <c r="H27" s="3848"/>
      <c r="I27" s="3848"/>
      <c r="J27" s="3851"/>
      <c r="K27" s="3851"/>
      <c r="L27" s="3851"/>
      <c r="M27" s="3858"/>
      <c r="N27" s="3883" t="str">
        <f>IF(OR(NOT($V$9),P27),"","Skip lines 9 thru 13.")</f>
        <v/>
      </c>
      <c r="O27" s="3871"/>
      <c r="P27" s="3884" t="b">
        <f>IF(P7&lt;0,TRUE,FALSE)</f>
        <v>0</v>
      </c>
      <c r="Q27" s="3868"/>
      <c r="R27" s="1238"/>
      <c r="S27" s="914"/>
      <c r="T27" s="452"/>
    </row>
    <row r="28" spans="1:22">
      <c r="A28" s="389"/>
      <c r="B28" s="3854" t="s">
        <v>339</v>
      </c>
      <c r="C28" s="3855"/>
      <c r="D28" s="3849" t="str">
        <f>"Enter the loss from your "&amp;TaxYear-1&amp;" Schedule D, line 15, as a positive amount"</f>
        <v>Enter the loss from your 2015 Schedule D, line 15, as a positive amount</v>
      </c>
      <c r="E28" s="3850"/>
      <c r="F28" s="3850"/>
      <c r="G28" s="3851"/>
      <c r="H28" s="3848"/>
      <c r="I28" s="3848"/>
      <c r="J28" s="3851"/>
      <c r="K28" s="3851"/>
      <c r="L28" s="3851"/>
      <c r="M28" s="3851"/>
      <c r="N28" s="3865" t="s">
        <v>3273</v>
      </c>
      <c r="O28" s="3866" t="s">
        <v>339</v>
      </c>
      <c r="P28" s="2685" t="str">
        <f>IF(NOT(P27),"",IF(ROUND(P7,0)&lt;0,-ROUND(P7,0),0))</f>
        <v/>
      </c>
      <c r="Q28" s="3868"/>
      <c r="R28" s="1238"/>
      <c r="S28" s="915"/>
      <c r="T28" s="79"/>
    </row>
    <row r="29" spans="1:22" ht="13.5" customHeight="1">
      <c r="A29" s="389"/>
      <c r="B29" s="3854" t="s">
        <v>477</v>
      </c>
      <c r="C29" s="3848"/>
      <c r="D29" s="3849" t="str">
        <f>"Enter any gain from your "&amp;TaxYear-1&amp;" Schedule D, line 7. If a loss, enter -0-"</f>
        <v>Enter any gain from your 2015 Schedule D, line 7. If a loss, enter -0-</v>
      </c>
      <c r="E29" s="3850"/>
      <c r="F29" s="3850"/>
      <c r="G29" s="3851"/>
      <c r="H29" s="3848"/>
      <c r="I29" s="3848"/>
      <c r="J29" s="3851"/>
      <c r="K29" s="3851"/>
      <c r="L29" s="3865" t="s">
        <v>924</v>
      </c>
      <c r="M29" s="3856" t="s">
        <v>477</v>
      </c>
      <c r="N29" s="2685" t="str">
        <f>IF(NOT(P27),"",IF(ROUND(P6,0)&lt;0,0,ROUND(P6,0)))</f>
        <v/>
      </c>
      <c r="O29" s="3871"/>
      <c r="P29" s="3851"/>
      <c r="Q29" s="3868"/>
      <c r="R29" s="1238"/>
      <c r="S29" s="45"/>
      <c r="T29" s="56"/>
    </row>
    <row r="30" spans="1:22" ht="13.5" customHeight="1">
      <c r="A30" s="389"/>
      <c r="B30" s="3854" t="s">
        <v>478</v>
      </c>
      <c r="C30" s="3848"/>
      <c r="D30" s="3849" t="s">
        <v>3285</v>
      </c>
      <c r="E30" s="3850"/>
      <c r="F30" s="3850"/>
      <c r="G30" s="3851"/>
      <c r="H30" s="3848"/>
      <c r="I30" s="3848"/>
      <c r="J30" s="3851"/>
      <c r="K30" s="3851"/>
      <c r="L30" s="3865" t="s">
        <v>1157</v>
      </c>
      <c r="M30" s="3856" t="s">
        <v>478</v>
      </c>
      <c r="N30" s="2685" t="str">
        <f>IF(NOT(P27),"",IF(SUM(N20,-P22)&gt;0,SUM(N20,-P22),0))</f>
        <v/>
      </c>
      <c r="O30" s="3871"/>
      <c r="P30" s="3851"/>
      <c r="Q30" s="3868"/>
      <c r="R30" s="1238"/>
      <c r="S30" s="45"/>
      <c r="T30" s="56"/>
    </row>
    <row r="31" spans="1:22">
      <c r="A31" s="389"/>
      <c r="B31" s="3854" t="s">
        <v>479</v>
      </c>
      <c r="C31" s="3855"/>
      <c r="D31" s="3849" t="s">
        <v>3286</v>
      </c>
      <c r="E31" s="3850"/>
      <c r="F31" s="3850"/>
      <c r="G31" s="3851"/>
      <c r="H31" s="3848"/>
      <c r="I31" s="3848"/>
      <c r="J31" s="3851"/>
      <c r="K31" s="3851"/>
      <c r="L31" s="3851"/>
      <c r="M31" s="3851"/>
      <c r="N31" s="3865" t="s">
        <v>3270</v>
      </c>
      <c r="O31" s="3866" t="s">
        <v>479</v>
      </c>
      <c r="P31" s="2685" t="str">
        <f>IF(NOT(P27),"",SUM(N29,N30))</f>
        <v/>
      </c>
      <c r="Q31" s="3868"/>
      <c r="R31" s="1238"/>
      <c r="S31" s="915"/>
      <c r="T31" s="79"/>
    </row>
    <row r="32" spans="1:22" ht="14.25" customHeight="1">
      <c r="A32" s="389"/>
      <c r="B32" s="3854" t="s">
        <v>695</v>
      </c>
      <c r="C32" s="3848"/>
      <c r="D32" s="3875" t="str">
        <f>"Long-term capital loss carryover for "&amp;TaxYear&amp;". "</f>
        <v xml:space="preserve">Long-term capital loss carryover for 2016. </v>
      </c>
      <c r="E32" s="3850"/>
      <c r="F32" s="3850"/>
      <c r="G32" s="3851"/>
      <c r="H32" s="3849" t="s">
        <v>3292</v>
      </c>
      <c r="I32" s="3848"/>
      <c r="J32" s="3851"/>
      <c r="K32" s="3851"/>
      <c r="L32" s="3851"/>
      <c r="M32" s="3851"/>
      <c r="N32" s="3851"/>
      <c r="O32" s="3851"/>
      <c r="P32" s="3851"/>
      <c r="Q32" s="3868"/>
      <c r="R32" s="1238"/>
      <c r="S32" s="914"/>
      <c r="T32" s="56"/>
    </row>
    <row r="33" spans="1:20" ht="13.5" customHeight="1">
      <c r="A33" s="389"/>
      <c r="B33" s="3852"/>
      <c r="C33" s="3848"/>
      <c r="D33" s="3853" t="s">
        <v>3288</v>
      </c>
      <c r="E33" s="3850"/>
      <c r="F33" s="3850"/>
      <c r="G33" s="3851"/>
      <c r="H33" s="3848"/>
      <c r="I33" s="3848"/>
      <c r="J33" s="3851"/>
      <c r="K33" s="3851"/>
      <c r="L33" s="3851"/>
      <c r="M33" s="3851"/>
      <c r="N33" s="3865" t="s">
        <v>3805</v>
      </c>
      <c r="O33" s="3866" t="s">
        <v>695</v>
      </c>
      <c r="P33" s="2685" t="str">
        <f>IF(NOT(P27),"",IF(SUM(P28,-P31)&lt;0,0,SUM(P28,-P31)))</f>
        <v/>
      </c>
      <c r="Q33" s="3868"/>
      <c r="R33" s="1238"/>
      <c r="S33" s="45"/>
      <c r="T33" s="56"/>
    </row>
    <row r="34" spans="1:20">
      <c r="A34" s="389"/>
      <c r="B34" s="3852"/>
      <c r="C34" s="3848"/>
      <c r="D34" s="3848"/>
      <c r="E34" s="3853"/>
      <c r="F34" s="3850"/>
      <c r="G34" s="3851"/>
      <c r="H34" s="3848"/>
      <c r="I34" s="3848"/>
      <c r="J34" s="3851"/>
      <c r="K34" s="3851"/>
      <c r="L34" s="3851"/>
      <c r="M34" s="3858"/>
      <c r="N34" s="3872"/>
      <c r="O34" s="3871"/>
      <c r="P34" s="3851"/>
      <c r="Q34" s="3868"/>
      <c r="R34" s="1238"/>
      <c r="S34" s="915"/>
      <c r="T34" s="73"/>
    </row>
    <row r="35" spans="1:20" ht="13.5" thickBot="1">
      <c r="A35" s="389"/>
      <c r="B35" s="3863"/>
      <c r="C35" s="3864"/>
      <c r="D35" s="3864"/>
      <c r="E35" s="3864"/>
      <c r="F35" s="3864"/>
      <c r="G35" s="3864"/>
      <c r="H35" s="3864"/>
      <c r="I35" s="3864"/>
      <c r="J35" s="3864"/>
      <c r="K35" s="3864"/>
      <c r="L35" s="3864"/>
      <c r="M35" s="3864"/>
      <c r="N35" s="3864"/>
      <c r="O35" s="3864"/>
      <c r="P35" s="3864"/>
      <c r="Q35" s="3869"/>
      <c r="R35" s="1238"/>
      <c r="S35" s="45"/>
      <c r="T35" s="79"/>
    </row>
    <row r="36" spans="1:20">
      <c r="A36" s="389"/>
      <c r="B36" s="302"/>
      <c r="C36" s="302"/>
      <c r="D36" s="3838"/>
      <c r="E36" s="3838"/>
      <c r="F36" s="3838"/>
      <c r="G36" s="3840"/>
      <c r="H36" s="302"/>
      <c r="I36" s="302"/>
      <c r="J36" s="318" t="s">
        <v>3284</v>
      </c>
      <c r="K36" s="3840"/>
      <c r="L36" s="3840"/>
      <c r="M36" s="3840"/>
      <c r="N36" s="551"/>
      <c r="O36" s="686"/>
      <c r="P36" s="686"/>
      <c r="Q36" s="686"/>
      <c r="R36" s="1240"/>
      <c r="S36" s="686"/>
      <c r="T36" s="79"/>
    </row>
    <row r="37" spans="1:20" ht="13.5" customHeight="1">
      <c r="A37" s="389"/>
      <c r="B37" s="302"/>
      <c r="C37" s="302"/>
      <c r="D37" s="244"/>
      <c r="E37" s="244"/>
      <c r="F37" s="244"/>
      <c r="G37" s="298"/>
      <c r="H37" s="298"/>
      <c r="I37" s="298"/>
      <c r="J37" s="298"/>
      <c r="K37" s="298"/>
      <c r="L37" s="298"/>
      <c r="M37" s="298"/>
      <c r="N37" s="298"/>
      <c r="O37" s="551"/>
      <c r="P37" s="686"/>
      <c r="Q37" s="331"/>
      <c r="R37" s="1238"/>
      <c r="S37" s="331"/>
      <c r="T37" s="56"/>
    </row>
    <row r="38" spans="1:20" ht="13.5" customHeight="1">
      <c r="A38" s="389"/>
      <c r="B38" s="302"/>
      <c r="C38" s="302"/>
      <c r="D38" s="244"/>
      <c r="E38" s="244"/>
      <c r="F38" s="244"/>
      <c r="G38" s="298"/>
      <c r="H38" s="302"/>
      <c r="I38" s="302"/>
      <c r="J38" s="298"/>
      <c r="K38" s="298"/>
      <c r="L38" s="298"/>
      <c r="M38" s="298"/>
      <c r="N38" s="298"/>
      <c r="O38" s="551"/>
      <c r="P38" s="686"/>
      <c r="Q38" s="331"/>
      <c r="R38" s="1238"/>
      <c r="S38" s="331"/>
      <c r="T38" s="331"/>
    </row>
    <row r="39" spans="1:20" ht="13.5" customHeight="1" thickBot="1">
      <c r="A39" s="389"/>
      <c r="B39" s="314"/>
      <c r="C39" s="314"/>
      <c r="D39" s="314" t="s">
        <v>678</v>
      </c>
      <c r="E39" s="314"/>
      <c r="F39" s="314"/>
      <c r="G39" s="298"/>
      <c r="H39" s="302"/>
      <c r="I39" s="302"/>
      <c r="J39" s="298"/>
      <c r="K39" s="298"/>
      <c r="L39" s="298"/>
      <c r="M39" s="519" t="s">
        <v>290</v>
      </c>
      <c r="N39" s="519"/>
      <c r="O39" s="331"/>
      <c r="P39" s="331"/>
      <c r="Q39" s="331"/>
      <c r="R39" s="1239"/>
      <c r="S39" s="331"/>
      <c r="T39" s="331"/>
    </row>
    <row r="40" spans="1:20" ht="13.5" customHeight="1">
      <c r="A40" s="389"/>
      <c r="B40" s="3843"/>
      <c r="C40" s="3844"/>
      <c r="D40" s="3845"/>
      <c r="E40" s="3845"/>
      <c r="F40" s="3845"/>
      <c r="G40" s="3846"/>
      <c r="H40" s="3844"/>
      <c r="I40" s="3844"/>
      <c r="J40" s="3846"/>
      <c r="K40" s="3846"/>
      <c r="L40" s="3846"/>
      <c r="M40" s="3846"/>
      <c r="N40" s="3846"/>
      <c r="O40" s="3846"/>
      <c r="P40" s="3846"/>
      <c r="Q40" s="3867"/>
      <c r="R40" s="1238"/>
      <c r="S40" s="45"/>
      <c r="T40" s="56"/>
    </row>
    <row r="41" spans="1:20" ht="14.25" customHeight="1">
      <c r="A41" s="389"/>
      <c r="B41" s="3847" t="s">
        <v>476</v>
      </c>
      <c r="C41" s="3848"/>
      <c r="D41" s="3849" t="s">
        <v>2462</v>
      </c>
      <c r="E41" s="3850"/>
      <c r="F41" s="3850"/>
      <c r="G41" s="3851"/>
      <c r="H41" s="3848"/>
      <c r="I41" s="3848"/>
      <c r="J41" s="3851"/>
      <c r="K41" s="3851"/>
      <c r="L41" s="3851"/>
      <c r="M41" s="3855" t="s">
        <v>476</v>
      </c>
      <c r="N41" s="2888"/>
      <c r="O41" s="3871"/>
      <c r="P41" s="3851"/>
      <c r="Q41" s="3868"/>
      <c r="R41" s="1238"/>
      <c r="S41" s="914"/>
      <c r="T41" s="56"/>
    </row>
    <row r="42" spans="1:20">
      <c r="A42" s="389"/>
      <c r="B42" s="3847" t="s">
        <v>0</v>
      </c>
      <c r="C42" s="3855"/>
      <c r="D42" s="3853" t="s">
        <v>2135</v>
      </c>
      <c r="E42" s="3850"/>
      <c r="F42" s="3850"/>
      <c r="G42" s="3851"/>
      <c r="H42" s="3848"/>
      <c r="I42" s="3848"/>
      <c r="J42" s="3851"/>
      <c r="K42" s="3851"/>
      <c r="L42" s="3851"/>
      <c r="M42" s="3858"/>
      <c r="N42" s="3870"/>
      <c r="O42" s="3871"/>
      <c r="P42" s="3851"/>
      <c r="Q42" s="3868"/>
      <c r="R42" s="1238"/>
      <c r="S42" s="914"/>
      <c r="T42" s="452"/>
    </row>
    <row r="43" spans="1:20">
      <c r="A43" s="389"/>
      <c r="B43" s="3847"/>
      <c r="C43" s="3855"/>
      <c r="D43" s="3857" t="s">
        <v>3281</v>
      </c>
      <c r="E43" s="3853" t="s">
        <v>2136</v>
      </c>
      <c r="F43" s="3850"/>
      <c r="G43" s="3851"/>
      <c r="H43" s="3848"/>
      <c r="I43" s="3848"/>
      <c r="J43" s="3851"/>
      <c r="K43" s="3851"/>
      <c r="L43" s="3851"/>
      <c r="M43" s="3858"/>
      <c r="N43" s="3870"/>
      <c r="O43" s="3871"/>
      <c r="P43" s="3851"/>
      <c r="Q43" s="3868"/>
      <c r="R43" s="1238"/>
      <c r="S43" s="914"/>
      <c r="T43" s="452"/>
    </row>
    <row r="44" spans="1:20">
      <c r="A44" s="389"/>
      <c r="B44" s="3847"/>
      <c r="C44" s="3855"/>
      <c r="D44" s="3853"/>
      <c r="E44" s="3853" t="s">
        <v>2137</v>
      </c>
      <c r="F44" s="3850"/>
      <c r="G44" s="3851"/>
      <c r="H44" s="3848"/>
      <c r="I44" s="3848"/>
      <c r="J44" s="3851"/>
      <c r="K44" s="3851"/>
      <c r="L44" s="3851"/>
      <c r="M44" s="3858"/>
      <c r="N44" s="3870"/>
      <c r="O44" s="3871"/>
      <c r="P44" s="3851"/>
      <c r="Q44" s="3868"/>
      <c r="R44" s="1238"/>
      <c r="S44" s="914"/>
      <c r="T44" s="452"/>
    </row>
    <row r="45" spans="1:20">
      <c r="A45" s="389"/>
      <c r="B45" s="3847"/>
      <c r="C45" s="3855"/>
      <c r="D45" s="3857" t="s">
        <v>3281</v>
      </c>
      <c r="E45" s="3853" t="s">
        <v>2138</v>
      </c>
      <c r="F45" s="3850"/>
      <c r="G45" s="3851"/>
      <c r="H45" s="3848"/>
      <c r="I45" s="3848"/>
      <c r="J45" s="3851"/>
      <c r="K45" s="3851"/>
      <c r="L45" s="3859" t="s">
        <v>716</v>
      </c>
      <c r="M45" s="3858" t="str">
        <f>B42</f>
        <v>2.</v>
      </c>
      <c r="N45" s="2888"/>
      <c r="O45" s="3871"/>
      <c r="P45" s="3851"/>
      <c r="Q45" s="3868"/>
      <c r="R45" s="1238"/>
      <c r="S45" s="914"/>
      <c r="T45" s="452"/>
    </row>
    <row r="46" spans="1:20">
      <c r="A46" s="389"/>
      <c r="B46" s="3847"/>
      <c r="C46" s="3855"/>
      <c r="D46" s="3853"/>
      <c r="E46" s="3853" t="s">
        <v>2139</v>
      </c>
      <c r="F46" s="3850"/>
      <c r="G46" s="3851"/>
      <c r="H46" s="3848"/>
      <c r="I46" s="3848"/>
      <c r="J46" s="3851"/>
      <c r="K46" s="3851"/>
      <c r="L46" s="3851"/>
      <c r="M46" s="3858"/>
      <c r="N46" s="3870"/>
      <c r="O46" s="3871"/>
      <c r="P46" s="3851"/>
      <c r="Q46" s="3868"/>
      <c r="R46" s="1238"/>
      <c r="S46" s="914"/>
      <c r="T46" s="452"/>
    </row>
    <row r="47" spans="1:20">
      <c r="A47" s="389"/>
      <c r="B47" s="3847"/>
      <c r="C47" s="3855"/>
      <c r="D47" s="3857" t="s">
        <v>3281</v>
      </c>
      <c r="E47" s="3853" t="s">
        <v>2140</v>
      </c>
      <c r="F47" s="3850"/>
      <c r="G47" s="3851"/>
      <c r="H47" s="3848"/>
      <c r="I47" s="3848"/>
      <c r="J47" s="3851"/>
      <c r="K47" s="3851"/>
      <c r="L47" s="3851"/>
      <c r="M47" s="3858"/>
      <c r="N47" s="3870"/>
      <c r="O47" s="3871"/>
      <c r="P47" s="3851"/>
      <c r="Q47" s="3868"/>
      <c r="R47" s="1238"/>
      <c r="S47" s="915"/>
      <c r="T47" s="452"/>
    </row>
    <row r="48" spans="1:20">
      <c r="A48" s="389"/>
      <c r="B48" s="3852"/>
      <c r="C48" s="3848"/>
      <c r="D48" s="3848"/>
      <c r="E48" s="3853" t="s">
        <v>2141</v>
      </c>
      <c r="F48" s="3850"/>
      <c r="G48" s="3851"/>
      <c r="H48" s="3848"/>
      <c r="I48" s="3848"/>
      <c r="J48" s="3851"/>
      <c r="K48" s="3851"/>
      <c r="L48" s="3851"/>
      <c r="M48" s="3858"/>
      <c r="N48" s="3872"/>
      <c r="O48" s="3871"/>
      <c r="P48" s="3851"/>
      <c r="Q48" s="3868"/>
      <c r="R48" s="1238"/>
      <c r="S48" s="915"/>
      <c r="T48" s="73"/>
    </row>
    <row r="49" spans="1:20">
      <c r="A49" s="389"/>
      <c r="B49" s="3852"/>
      <c r="C49" s="3848"/>
      <c r="D49" s="3848"/>
      <c r="E49" s="3853" t="s">
        <v>3268</v>
      </c>
      <c r="F49" s="3850"/>
      <c r="G49" s="3851"/>
      <c r="H49" s="3848"/>
      <c r="I49" s="3848"/>
      <c r="J49" s="3851"/>
      <c r="K49" s="3851"/>
      <c r="L49" s="3851"/>
      <c r="M49" s="3858"/>
      <c r="N49" s="3872"/>
      <c r="O49" s="3871"/>
      <c r="P49" s="3851"/>
      <c r="Q49" s="3868"/>
      <c r="R49" s="1238"/>
      <c r="S49" s="915"/>
      <c r="T49" s="73"/>
    </row>
    <row r="50" spans="1:20">
      <c r="A50" s="389"/>
      <c r="B50" s="3847" t="s">
        <v>1</v>
      </c>
      <c r="C50" s="3855"/>
      <c r="D50" s="3853" t="s">
        <v>2143</v>
      </c>
      <c r="E50" s="3850"/>
      <c r="F50" s="3850"/>
      <c r="G50" s="3851"/>
      <c r="H50" s="3848"/>
      <c r="I50" s="3848"/>
      <c r="J50" s="3851"/>
      <c r="K50" s="3851"/>
      <c r="L50" s="3851"/>
      <c r="M50" s="3858"/>
      <c r="N50" s="3870"/>
      <c r="O50" s="3871"/>
      <c r="P50" s="2888"/>
      <c r="Q50" s="3868"/>
      <c r="R50" s="1238"/>
      <c r="S50" s="914" t="str">
        <f>E53</f>
        <v>Form 1099-DIV, box 2d;</v>
      </c>
      <c r="T50" s="577"/>
    </row>
    <row r="51" spans="1:20" ht="13.5" customHeight="1">
      <c r="A51" s="389"/>
      <c r="B51" s="3852"/>
      <c r="C51" s="3848"/>
      <c r="D51" s="3853" t="s">
        <v>2142</v>
      </c>
      <c r="E51" s="3850"/>
      <c r="F51" s="3850"/>
      <c r="G51" s="3851"/>
      <c r="H51" s="3848"/>
      <c r="I51" s="3848"/>
      <c r="J51" s="3851"/>
      <c r="K51" s="3851"/>
      <c r="L51" s="3851"/>
      <c r="M51" s="3858" t="str">
        <f>B50</f>
        <v>3.</v>
      </c>
      <c r="N51" s="2888"/>
      <c r="O51" s="3871"/>
      <c r="P51" s="3871"/>
      <c r="Q51" s="3868"/>
      <c r="R51" s="1238"/>
      <c r="S51" s="45"/>
      <c r="T51" s="56"/>
    </row>
    <row r="52" spans="1:20">
      <c r="A52" s="389"/>
      <c r="B52" s="3847" t="s">
        <v>642</v>
      </c>
      <c r="C52" s="3855"/>
      <c r="D52" s="3850" t="s">
        <v>45</v>
      </c>
      <c r="E52" s="3850"/>
      <c r="F52" s="3850"/>
      <c r="G52" s="3851"/>
      <c r="H52" s="3848"/>
      <c r="I52" s="3848"/>
      <c r="J52" s="3851"/>
      <c r="K52" s="3851"/>
      <c r="L52" s="3851"/>
      <c r="M52" s="3858"/>
      <c r="N52" s="3870"/>
      <c r="O52" s="3871"/>
      <c r="P52" s="2888"/>
      <c r="Q52" s="3868"/>
      <c r="R52" s="1238"/>
      <c r="S52" s="914" t="str">
        <f>E54</f>
        <v>Form 2439, box 1d; and</v>
      </c>
      <c r="T52" s="56"/>
    </row>
    <row r="53" spans="1:20" ht="13.5" customHeight="1">
      <c r="A53" s="389"/>
      <c r="B53" s="3860"/>
      <c r="C53" s="3861"/>
      <c r="D53" s="3857" t="s">
        <v>3281</v>
      </c>
      <c r="E53" s="3853" t="s">
        <v>209</v>
      </c>
      <c r="F53" s="3857"/>
      <c r="G53" s="3850"/>
      <c r="H53" s="3848"/>
      <c r="I53" s="3848"/>
      <c r="J53" s="3851"/>
      <c r="K53" s="3851"/>
      <c r="L53" s="3851"/>
      <c r="M53" s="3858"/>
      <c r="N53" s="3870"/>
      <c r="O53" s="3871"/>
      <c r="P53" s="3871"/>
      <c r="Q53" s="3868"/>
      <c r="R53" s="1238"/>
      <c r="S53" s="915"/>
      <c r="T53" s="56"/>
    </row>
    <row r="54" spans="1:20" ht="13.5" customHeight="1">
      <c r="A54" s="389"/>
      <c r="B54" s="3860"/>
      <c r="C54" s="3861"/>
      <c r="D54" s="3857" t="s">
        <v>3281</v>
      </c>
      <c r="E54" s="3853" t="s">
        <v>210</v>
      </c>
      <c r="F54" s="3857"/>
      <c r="G54" s="3850"/>
      <c r="H54" s="3848"/>
      <c r="I54" s="3848"/>
      <c r="J54" s="3851"/>
      <c r="K54" s="3851"/>
      <c r="L54" s="3859" t="s">
        <v>716</v>
      </c>
      <c r="M54" s="3858" t="str">
        <f>B52</f>
        <v>4.</v>
      </c>
      <c r="N54" s="2685">
        <f>SUM(P50,P52,P55)</f>
        <v>0</v>
      </c>
      <c r="O54" s="3871"/>
      <c r="P54" s="3871"/>
      <c r="Q54" s="3868"/>
      <c r="R54" s="1238"/>
      <c r="S54" s="914" t="str">
        <f>LEFT(E55,19)</f>
        <v>Schedule K-1 from a</v>
      </c>
      <c r="T54" s="56"/>
    </row>
    <row r="55" spans="1:20" ht="13.5" customHeight="1">
      <c r="A55" s="389"/>
      <c r="B55" s="3860"/>
      <c r="C55" s="3861"/>
      <c r="D55" s="3857" t="s">
        <v>3281</v>
      </c>
      <c r="E55" s="3853" t="s">
        <v>518</v>
      </c>
      <c r="F55" s="3857"/>
      <c r="G55" s="3850"/>
      <c r="H55" s="3848"/>
      <c r="I55" s="3848"/>
      <c r="J55" s="3851"/>
      <c r="K55" s="3851"/>
      <c r="L55" s="3851"/>
      <c r="M55" s="3858"/>
      <c r="N55" s="3870"/>
      <c r="O55" s="3871"/>
      <c r="P55" s="2888"/>
      <c r="Q55" s="3868"/>
      <c r="R55" s="1238"/>
      <c r="S55" s="914" t="str">
        <f>MID(E55,21,27)</f>
        <v>partnership, S corporation,</v>
      </c>
      <c r="T55" s="56"/>
    </row>
    <row r="56" spans="1:20" ht="13.5" customHeight="1">
      <c r="A56" s="389"/>
      <c r="B56" s="3847" t="s">
        <v>53</v>
      </c>
      <c r="C56" s="3855"/>
      <c r="D56" s="3850" t="s">
        <v>155</v>
      </c>
      <c r="E56" s="3850"/>
      <c r="F56" s="3850"/>
      <c r="G56" s="3851"/>
      <c r="H56" s="3848"/>
      <c r="I56" s="3848"/>
      <c r="J56" s="3851"/>
      <c r="K56" s="3851"/>
      <c r="L56" s="3851"/>
      <c r="M56" s="3858"/>
      <c r="N56" s="3870"/>
      <c r="O56" s="3871"/>
      <c r="P56" s="3871"/>
      <c r="Q56" s="3868"/>
      <c r="R56" s="1238"/>
      <c r="S56" s="914" t="str">
        <f>RIGHT(E55,16)</f>
        <v>state, or trust.</v>
      </c>
      <c r="T56" s="56"/>
    </row>
    <row r="57" spans="1:20" ht="12.75" customHeight="1">
      <c r="A57" s="389"/>
      <c r="B57" s="3852"/>
      <c r="C57" s="3848"/>
      <c r="D57" s="3850" t="s">
        <v>679</v>
      </c>
      <c r="E57" s="3850"/>
      <c r="F57" s="3850"/>
      <c r="G57" s="3851"/>
      <c r="H57" s="3848"/>
      <c r="I57" s="3848"/>
      <c r="J57" s="3851"/>
      <c r="K57" s="3851"/>
      <c r="L57" s="3851"/>
      <c r="M57" s="3858" t="str">
        <f>B56</f>
        <v>5.</v>
      </c>
      <c r="N57" s="2685">
        <f>SUM('Sch. D'!N48,P57)</f>
        <v>0</v>
      </c>
      <c r="O57" s="3871"/>
      <c r="P57" s="2888"/>
      <c r="Q57" s="3868"/>
      <c r="R57" s="1238"/>
      <c r="S57" s="914" t="s">
        <v>71</v>
      </c>
      <c r="T57" s="79"/>
    </row>
    <row r="58" spans="1:20">
      <c r="A58" s="389"/>
      <c r="B58" s="3847" t="s">
        <v>122</v>
      </c>
      <c r="C58" s="3855"/>
      <c r="D58" s="3850" t="s">
        <v>417</v>
      </c>
      <c r="E58" s="3850"/>
      <c r="F58" s="3850"/>
      <c r="G58" s="3851"/>
      <c r="H58" s="3848"/>
      <c r="I58" s="3848"/>
      <c r="J58" s="3851"/>
      <c r="K58" s="3851"/>
      <c r="L58" s="3851"/>
      <c r="M58" s="3858" t="str">
        <f>B58</f>
        <v>6.</v>
      </c>
      <c r="N58" s="2685">
        <f>IF('Sch. D'!N28&lt;0,'Sch. D'!N28,0)</f>
        <v>0</v>
      </c>
      <c r="O58" s="3871"/>
      <c r="P58" s="3871"/>
      <c r="Q58" s="3868"/>
      <c r="R58" s="1238"/>
      <c r="S58" s="915"/>
      <c r="T58" s="79"/>
    </row>
    <row r="59" spans="1:20">
      <c r="A59" s="389"/>
      <c r="B59" s="3847" t="s">
        <v>123</v>
      </c>
      <c r="C59" s="3855"/>
      <c r="D59" s="3850" t="s">
        <v>418</v>
      </c>
      <c r="E59" s="3850"/>
      <c r="F59" s="3850"/>
      <c r="G59" s="3851"/>
      <c r="H59" s="3848"/>
      <c r="I59" s="3848"/>
      <c r="J59" s="3851"/>
      <c r="K59" s="3851"/>
      <c r="L59" s="3851"/>
      <c r="M59" s="3858"/>
      <c r="N59" s="3870"/>
      <c r="O59" s="3871"/>
      <c r="P59" s="3871"/>
      <c r="Q59" s="3868"/>
      <c r="R59" s="1238"/>
      <c r="S59" s="45"/>
      <c r="T59" s="79"/>
    </row>
    <row r="60" spans="1:20">
      <c r="A60" s="389"/>
      <c r="B60" s="3852"/>
      <c r="C60" s="3848"/>
      <c r="D60" s="3850" t="s">
        <v>419</v>
      </c>
      <c r="E60" s="3850"/>
      <c r="F60" s="3850"/>
      <c r="G60" s="3851"/>
      <c r="H60" s="3848"/>
      <c r="I60" s="3848"/>
      <c r="J60" s="3851"/>
      <c r="K60" s="3851"/>
      <c r="L60" s="3862" t="s">
        <v>50</v>
      </c>
      <c r="M60" s="3858" t="str">
        <f>B59</f>
        <v>7.</v>
      </c>
      <c r="N60" s="2685">
        <f>IF(SUM(N41:N58)&lt;=0,0,SUM(N41:N58))</f>
        <v>0</v>
      </c>
      <c r="O60" s="3871"/>
      <c r="P60" s="3871"/>
      <c r="Q60" s="3868"/>
      <c r="R60" s="1238"/>
      <c r="S60" s="45"/>
      <c r="T60" s="79"/>
    </row>
    <row r="61" spans="1:20" ht="13.5" thickBot="1">
      <c r="A61" s="389"/>
      <c r="B61" s="3863"/>
      <c r="C61" s="3864"/>
      <c r="D61" s="3864"/>
      <c r="E61" s="3864"/>
      <c r="F61" s="3864"/>
      <c r="G61" s="3864"/>
      <c r="H61" s="3864"/>
      <c r="I61" s="3864"/>
      <c r="J61" s="3864"/>
      <c r="K61" s="3864"/>
      <c r="L61" s="3864"/>
      <c r="M61" s="3864"/>
      <c r="N61" s="3864"/>
      <c r="O61" s="3864"/>
      <c r="P61" s="3864"/>
      <c r="Q61" s="3869"/>
      <c r="R61" s="1238"/>
      <c r="S61" s="45"/>
      <c r="T61" s="79"/>
    </row>
    <row r="62" spans="1:20">
      <c r="A62" s="389"/>
      <c r="B62" s="302"/>
      <c r="C62" s="302"/>
      <c r="D62" s="244"/>
      <c r="E62" s="244"/>
      <c r="F62" s="244"/>
      <c r="G62" s="298"/>
      <c r="H62" s="302"/>
      <c r="I62" s="302"/>
      <c r="J62" s="318" t="s">
        <v>1554</v>
      </c>
      <c r="K62" s="298"/>
      <c r="L62" s="298"/>
      <c r="M62" s="298"/>
      <c r="N62" s="551"/>
      <c r="O62" s="686"/>
      <c r="P62" s="686"/>
      <c r="Q62" s="686"/>
      <c r="R62" s="1240"/>
      <c r="S62" s="686"/>
      <c r="T62" s="79"/>
    </row>
    <row r="63" spans="1:20">
      <c r="A63" s="389"/>
      <c r="B63" s="294"/>
      <c r="C63" s="294"/>
      <c r="D63" s="294"/>
      <c r="E63" s="294"/>
      <c r="F63" s="294"/>
      <c r="G63" s="294"/>
      <c r="H63" s="294"/>
      <c r="I63" s="294"/>
      <c r="J63" s="295"/>
      <c r="K63" s="296"/>
      <c r="L63" s="295"/>
      <c r="M63" s="295"/>
      <c r="N63" s="295"/>
      <c r="O63" s="552"/>
      <c r="P63" s="552"/>
      <c r="Q63" s="552"/>
      <c r="R63" s="1241"/>
      <c r="S63" s="552"/>
      <c r="T63" s="79"/>
    </row>
    <row r="64" spans="1:20">
      <c r="A64" s="389"/>
      <c r="B64" s="36"/>
      <c r="C64" s="36"/>
      <c r="D64" s="360"/>
      <c r="E64" s="360"/>
      <c r="F64" s="360"/>
      <c r="G64" s="35"/>
      <c r="H64" s="35"/>
      <c r="I64" s="35"/>
      <c r="J64" s="170"/>
      <c r="K64" s="170"/>
      <c r="L64" s="170"/>
      <c r="M64" s="170"/>
      <c r="N64" s="170"/>
      <c r="O64" s="170"/>
      <c r="P64" s="170"/>
      <c r="Q64" s="170"/>
      <c r="R64" s="1242"/>
      <c r="S64" s="170"/>
      <c r="T64" s="170"/>
    </row>
    <row r="65" spans="1:28" ht="21" customHeight="1">
      <c r="A65" s="389"/>
      <c r="B65" s="360"/>
      <c r="C65" s="360"/>
      <c r="D65" s="360"/>
      <c r="E65" s="360"/>
      <c r="F65" s="360"/>
      <c r="G65" s="35"/>
      <c r="H65" s="35"/>
      <c r="I65" s="35"/>
      <c r="J65" s="170"/>
      <c r="K65" s="170"/>
      <c r="L65" s="170"/>
      <c r="M65" s="170"/>
      <c r="N65" s="170"/>
      <c r="O65" s="170"/>
      <c r="P65" s="170"/>
      <c r="Q65" s="170"/>
      <c r="R65" s="1243"/>
      <c r="S65" s="329"/>
      <c r="T65" s="56"/>
    </row>
    <row r="66" spans="1:28" ht="12.75" customHeight="1">
      <c r="A66" s="389"/>
      <c r="B66" s="633" t="s">
        <v>759</v>
      </c>
      <c r="C66" s="633"/>
      <c r="D66" s="765"/>
      <c r="E66" s="765"/>
      <c r="F66" s="765"/>
      <c r="G66" s="429"/>
      <c r="H66" s="429"/>
      <c r="I66" s="429"/>
      <c r="J66" s="429"/>
      <c r="K66" s="429"/>
      <c r="L66" s="429"/>
      <c r="M66" s="429"/>
      <c r="N66" s="429"/>
      <c r="O66" s="429"/>
      <c r="P66" s="766" t="s">
        <v>117</v>
      </c>
      <c r="Q66" s="329"/>
      <c r="R66" s="333"/>
      <c r="S66" s="930"/>
      <c r="T66" s="56"/>
      <c r="W66" s="2622" t="s">
        <v>1564</v>
      </c>
      <c r="X66" s="2622" t="s">
        <v>1564</v>
      </c>
      <c r="Y66" s="2624" t="s">
        <v>1564</v>
      </c>
      <c r="Z66" s="2624" t="s">
        <v>1564</v>
      </c>
      <c r="AA66" s="2624" t="s">
        <v>1555</v>
      </c>
      <c r="AB66" s="2624" t="s">
        <v>1555</v>
      </c>
    </row>
    <row r="67" spans="1:28" ht="15" customHeight="1" thickBot="1">
      <c r="A67" s="389"/>
      <c r="B67" s="2628" t="s">
        <v>1571</v>
      </c>
      <c r="C67" s="224" t="s">
        <v>1397</v>
      </c>
      <c r="D67" s="244"/>
      <c r="E67" s="244"/>
      <c r="F67" s="244"/>
      <c r="G67" s="298"/>
      <c r="H67" s="298"/>
      <c r="I67" s="298"/>
      <c r="J67" s="298"/>
      <c r="K67" s="224" t="s">
        <v>3253</v>
      </c>
      <c r="L67" s="298"/>
      <c r="M67" s="298"/>
      <c r="N67" s="298"/>
      <c r="O67" s="298"/>
      <c r="P67" s="919"/>
      <c r="Q67" s="757"/>
      <c r="R67" s="1244"/>
      <c r="S67" s="3367" t="s">
        <v>2456</v>
      </c>
      <c r="T67" s="56"/>
      <c r="W67" s="2623" t="s">
        <v>1565</v>
      </c>
      <c r="X67" s="2623" t="s">
        <v>1566</v>
      </c>
      <c r="Y67" s="2625" t="s">
        <v>1567</v>
      </c>
      <c r="Z67" s="2625" t="s">
        <v>1569</v>
      </c>
      <c r="AA67" s="2625" t="s">
        <v>1568</v>
      </c>
      <c r="AB67" s="2627" t="s">
        <v>1570</v>
      </c>
    </row>
    <row r="68" spans="1:28" ht="12.75" customHeight="1" thickBot="1">
      <c r="A68" s="389"/>
      <c r="B68" s="918"/>
      <c r="C68" s="224" t="s">
        <v>3254</v>
      </c>
      <c r="D68" s="244"/>
      <c r="E68" s="244"/>
      <c r="F68" s="244"/>
      <c r="G68" s="298"/>
      <c r="H68" s="298"/>
      <c r="I68" s="298"/>
      <c r="J68" s="298"/>
      <c r="K68" s="298"/>
      <c r="L68" s="298"/>
      <c r="M68" s="298"/>
      <c r="N68" s="298"/>
      <c r="O68" s="298"/>
      <c r="P68" s="919"/>
      <c r="Q68" s="329"/>
      <c r="R68" s="2098" t="b">
        <f>IF(S68="Yes",TRUE,FALSE)</f>
        <v>0</v>
      </c>
      <c r="S68" s="1191" t="str">
        <f>IF(U79&lt;&gt;"","Yes",IF(U68=0,"Yes","No"))</f>
        <v>No</v>
      </c>
      <c r="T68" s="56"/>
      <c r="U68" s="2613">
        <f>SUM(U70:U73)</f>
        <v>4</v>
      </c>
      <c r="W68" s="64" t="b">
        <f>IF(AND(SchDLine18&lt;&gt;"",SchDLine18&gt;0),TRUE,FALSE)</f>
        <v>0</v>
      </c>
      <c r="X68" s="64" t="b">
        <f>IF(AND(SchDLine19&lt;&gt;"",SchDLine19&gt;0),TRUE,FALSE)</f>
        <v>0</v>
      </c>
      <c r="Y68" t="b">
        <f>IF(SchDLine15&lt;=0,TRUE,FALSE)</f>
        <v>1</v>
      </c>
      <c r="Z68" t="b">
        <f>IF(SchDLine16&lt;=0,TRUE,FALSE)</f>
        <v>1</v>
      </c>
      <c r="AA68" t="b">
        <f>IF(OR(Qualified_Dividends="",Qualified_Dividends=0),TRUE,FALSE)</f>
        <v>1</v>
      </c>
      <c r="AB68" t="b">
        <f>IF(OR(Taxable_Inc="",Taxable_Inc&lt;=0),TRUE,FALSE)</f>
        <v>1</v>
      </c>
    </row>
    <row r="69" spans="1:28" ht="12.75" customHeight="1">
      <c r="A69" s="389"/>
      <c r="B69" s="918"/>
      <c r="C69" s="224" t="s">
        <v>3255</v>
      </c>
      <c r="D69" s="2583"/>
      <c r="E69" s="2583"/>
      <c r="F69" s="2583"/>
      <c r="G69" s="2584"/>
      <c r="H69" s="2584"/>
      <c r="I69" s="2584"/>
      <c r="J69" s="2584"/>
      <c r="K69" s="2584"/>
      <c r="L69" s="2584"/>
      <c r="M69" s="2584"/>
      <c r="N69" s="2584"/>
      <c r="O69" s="2584"/>
      <c r="P69" s="919"/>
      <c r="Q69" s="329"/>
      <c r="R69" s="2098"/>
      <c r="S69" s="5301" t="str">
        <f>IF(OR(W68,X68),"","Neither Sch. D, Line 18                 nor Line 19 are &gt;0")</f>
        <v>Neither Sch. D, Line 18                 nor Line 19 are &gt;0</v>
      </c>
      <c r="T69" s="56"/>
      <c r="U69" s="2613"/>
    </row>
    <row r="70" spans="1:28" s="865" customFormat="1" ht="17.25" customHeight="1">
      <c r="A70" s="496"/>
      <c r="B70" s="918"/>
      <c r="C70" s="224" t="s">
        <v>3256</v>
      </c>
      <c r="D70" s="244"/>
      <c r="E70" s="244"/>
      <c r="F70" s="244"/>
      <c r="G70" s="298"/>
      <c r="H70" s="224"/>
      <c r="I70" s="298"/>
      <c r="J70" s="298"/>
      <c r="K70" s="298"/>
      <c r="L70" s="298"/>
      <c r="M70" s="298"/>
      <c r="N70" s="298"/>
      <c r="O70" s="298"/>
      <c r="P70" s="919"/>
      <c r="Q70" s="329"/>
      <c r="R70" s="2099"/>
      <c r="S70" s="5302"/>
      <c r="T70" s="866"/>
      <c r="U70" s="2613">
        <f>IF(S69&lt;&gt;"",1,0)</f>
        <v>1</v>
      </c>
      <c r="V70" s="124"/>
      <c r="W70" s="124"/>
    </row>
    <row r="71" spans="1:28" ht="12" customHeight="1">
      <c r="A71" s="389"/>
      <c r="B71" s="5303" t="s">
        <v>1571</v>
      </c>
      <c r="C71" s="5304"/>
      <c r="D71" s="548" t="s">
        <v>549</v>
      </c>
      <c r="E71" s="507" t="s">
        <v>971</v>
      </c>
      <c r="F71" s="244"/>
      <c r="G71" s="298"/>
      <c r="H71" s="224"/>
      <c r="I71" s="507"/>
      <c r="J71" s="298"/>
      <c r="K71" s="298"/>
      <c r="L71" s="298"/>
      <c r="M71" s="298"/>
      <c r="N71" s="1192"/>
      <c r="O71" s="1193"/>
      <c r="P71" s="1192"/>
      <c r="Q71" s="329"/>
      <c r="R71" s="2098" t="b">
        <f>IF(OR(SchDLine15&lt;=0,SchDLine16&lt;=0,SchDLine15="",SchDLine16=""),
                              TRUE,FALSE)</f>
        <v>1</v>
      </c>
      <c r="S71" s="2626" t="str">
        <f>IF(AND(Y68,AA68),"Line 15 is &lt;= 0 &amp; no Qual Divds","")</f>
        <v>Line 15 is &lt;= 0 &amp; no Qual Divds</v>
      </c>
      <c r="T71" s="56"/>
      <c r="U71" s="2613">
        <f>IF(S71&lt;&gt;"",1,0)</f>
        <v>1</v>
      </c>
    </row>
    <row r="72" spans="1:28" ht="12" customHeight="1">
      <c r="A72" s="389"/>
      <c r="B72" s="1270"/>
      <c r="C72" s="1278" t="s">
        <v>385</v>
      </c>
      <c r="D72" s="548"/>
      <c r="E72" s="507"/>
      <c r="F72" s="244"/>
      <c r="G72" s="298"/>
      <c r="H72" s="224"/>
      <c r="I72" s="507"/>
      <c r="J72" s="298"/>
      <c r="K72" s="298"/>
      <c r="L72" s="298"/>
      <c r="M72" s="298"/>
      <c r="N72" s="1192"/>
      <c r="O72" s="1193"/>
      <c r="P72" s="1192"/>
      <c r="Q72" s="329"/>
      <c r="R72" s="2100" t="b">
        <f>IF(OR(Qualified_Dividends="",Qualified_Dividends=0),TRUE,FALSE)</f>
        <v>1</v>
      </c>
      <c r="S72" s="2626" t="str">
        <f>IF(AND(Z68,AA68),"Line 16 is &lt;= 0 &amp; no Qual Divds","")</f>
        <v>Line 16 is &lt;= 0 &amp; no Qual Divds</v>
      </c>
      <c r="T72" s="56"/>
      <c r="U72" s="2613">
        <f>IF(S72&lt;&gt;"",1,0)</f>
        <v>1</v>
      </c>
    </row>
    <row r="73" spans="1:28" ht="12" customHeight="1">
      <c r="A73" s="389"/>
      <c r="B73" s="5303" t="s">
        <v>1571</v>
      </c>
      <c r="C73" s="5304"/>
      <c r="D73" s="548" t="s">
        <v>549</v>
      </c>
      <c r="E73" s="507" t="s">
        <v>1122</v>
      </c>
      <c r="F73" s="244"/>
      <c r="G73" s="298"/>
      <c r="H73" s="298"/>
      <c r="I73" s="298"/>
      <c r="J73" s="298"/>
      <c r="K73" s="298"/>
      <c r="L73" s="298"/>
      <c r="M73" s="298"/>
      <c r="N73" s="1192"/>
      <c r="O73" s="1193"/>
      <c r="P73" s="919"/>
      <c r="Q73" s="329"/>
      <c r="R73" s="2100" t="b">
        <f>OR(Taxable_Inc="",Taxable_Inc&lt;=0)</f>
        <v>1</v>
      </c>
      <c r="S73" s="2626" t="str">
        <f>IF(AB68,"Form 1040, Line 43 is &lt;= 0","")</f>
        <v>Form 1040, Line 43 is &lt;= 0</v>
      </c>
      <c r="T73" s="56"/>
      <c r="U73" s="2613">
        <f>IF(S73&lt;&gt;"",1,0)</f>
        <v>1</v>
      </c>
    </row>
    <row r="74" spans="1:28" ht="15" customHeight="1">
      <c r="A74" s="389"/>
      <c r="B74" s="921"/>
      <c r="C74" s="507" t="s">
        <v>972</v>
      </c>
      <c r="D74" s="507"/>
      <c r="E74" s="507"/>
      <c r="F74" s="507"/>
      <c r="G74" s="507"/>
      <c r="H74" s="507"/>
      <c r="I74" s="507"/>
      <c r="J74" s="507"/>
      <c r="K74" s="507"/>
      <c r="L74" s="507"/>
      <c r="M74" s="507"/>
      <c r="N74" s="1192"/>
      <c r="O74" s="507"/>
      <c r="P74" s="920"/>
      <c r="Q74" s="30"/>
      <c r="R74" s="1244"/>
      <c r="S74" s="759"/>
      <c r="T74" s="56"/>
    </row>
    <row r="75" spans="1:28" ht="6" customHeight="1">
      <c r="A75" s="389"/>
      <c r="B75" s="922"/>
      <c r="C75" s="923"/>
      <c r="D75" s="923"/>
      <c r="E75" s="923"/>
      <c r="F75" s="923"/>
      <c r="G75" s="923"/>
      <c r="H75" s="923"/>
      <c r="I75" s="923"/>
      <c r="J75" s="923"/>
      <c r="K75" s="923"/>
      <c r="L75" s="923"/>
      <c r="M75" s="923"/>
      <c r="N75" s="923"/>
      <c r="O75" s="923"/>
      <c r="P75" s="924"/>
      <c r="Q75" s="925"/>
      <c r="R75" s="1244"/>
      <c r="S75" s="759"/>
      <c r="T75" s="56"/>
    </row>
    <row r="76" spans="1:28" ht="6" customHeight="1">
      <c r="A76" s="389"/>
      <c r="B76" s="921"/>
      <c r="C76" s="507"/>
      <c r="D76" s="507"/>
      <c r="E76" s="507"/>
      <c r="F76" s="507"/>
      <c r="G76" s="507"/>
      <c r="H76" s="507"/>
      <c r="I76" s="507"/>
      <c r="J76" s="507"/>
      <c r="K76" s="507"/>
      <c r="L76" s="507"/>
      <c r="M76" s="507"/>
      <c r="N76" s="507"/>
      <c r="O76" s="507"/>
      <c r="P76" s="926"/>
      <c r="Q76" s="30"/>
      <c r="R76" s="1244"/>
      <c r="S76" s="759"/>
      <c r="T76" s="56"/>
    </row>
    <row r="77" spans="1:28" ht="12.75" customHeight="1">
      <c r="A77" s="389"/>
      <c r="B77" s="1163">
        <v>1</v>
      </c>
      <c r="C77" s="507"/>
      <c r="D77" s="507" t="s">
        <v>3257</v>
      </c>
      <c r="E77" s="507"/>
      <c r="F77" s="507"/>
      <c r="G77" s="507"/>
      <c r="H77" s="507"/>
      <c r="I77" s="507"/>
      <c r="J77" s="507"/>
      <c r="K77" s="507"/>
      <c r="L77" s="507"/>
      <c r="M77" s="507"/>
      <c r="N77" s="507"/>
      <c r="O77" s="507"/>
      <c r="P77" s="920"/>
      <c r="Q77" s="30"/>
      <c r="R77" s="1244"/>
      <c r="S77" s="985" t="s">
        <v>149</v>
      </c>
      <c r="T77" s="56"/>
    </row>
    <row r="78" spans="1:28" ht="12.75" customHeight="1" thickBot="1">
      <c r="A78" s="389"/>
      <c r="B78" s="921"/>
      <c r="C78" s="507"/>
      <c r="D78" s="507" t="s">
        <v>3258</v>
      </c>
      <c r="E78" s="507"/>
      <c r="F78" s="507"/>
      <c r="G78" s="507"/>
      <c r="H78" s="507"/>
      <c r="I78" s="507"/>
      <c r="J78" s="507"/>
      <c r="K78" s="507"/>
      <c r="L78" s="507"/>
      <c r="M78" s="507"/>
      <c r="N78" s="507"/>
      <c r="O78" s="507"/>
      <c r="P78" s="920"/>
      <c r="Q78" s="30"/>
      <c r="R78" s="1244"/>
      <c r="S78" s="985" t="s">
        <v>661</v>
      </c>
      <c r="T78" s="56"/>
    </row>
    <row r="79" spans="1:28" s="865" customFormat="1" ht="12.75" customHeight="1" thickBot="1">
      <c r="A79" s="496"/>
      <c r="B79" s="921"/>
      <c r="C79" s="302"/>
      <c r="D79" s="549" t="s">
        <v>3259</v>
      </c>
      <c r="E79" s="244"/>
      <c r="F79" s="244"/>
      <c r="G79" s="298"/>
      <c r="H79" s="298"/>
      <c r="I79" s="298"/>
      <c r="J79" s="299"/>
      <c r="K79" s="299"/>
      <c r="L79" s="299"/>
      <c r="M79" s="299"/>
      <c r="N79" s="329" t="s">
        <v>1128</v>
      </c>
      <c r="O79" s="1164">
        <f>B77</f>
        <v>1</v>
      </c>
      <c r="P79" s="2685" t="str">
        <f>IF(S79&lt;&gt;"",S79,IF($S$68="No","",IF(Form2555_Used,'6251'!AP87,Taxable_Inc)))</f>
        <v/>
      </c>
      <c r="Q79" s="331"/>
      <c r="R79" s="917"/>
      <c r="S79" s="2686"/>
      <c r="T79" s="866"/>
      <c r="U79" s="2630"/>
      <c r="V79" s="3888" t="s">
        <v>528</v>
      </c>
      <c r="W79" s="124"/>
    </row>
    <row r="80" spans="1:28" s="865" customFormat="1" ht="12.75" customHeight="1">
      <c r="A80" s="496"/>
      <c r="B80" s="1163">
        <v>2</v>
      </c>
      <c r="C80" s="302"/>
      <c r="D80" s="549" t="s">
        <v>3261</v>
      </c>
      <c r="E80" s="244"/>
      <c r="F80" s="244"/>
      <c r="G80" s="298"/>
      <c r="H80" s="298"/>
      <c r="I80" s="298"/>
      <c r="J80" s="299"/>
      <c r="K80" s="299"/>
      <c r="L80" s="299"/>
      <c r="M80" s="299"/>
      <c r="N80" s="421"/>
      <c r="O80" s="421"/>
      <c r="P80" s="332"/>
      <c r="Q80" s="331"/>
      <c r="R80" s="917"/>
      <c r="S80" s="759"/>
      <c r="T80" s="866"/>
      <c r="U80" s="64"/>
      <c r="V80" s="305" t="s">
        <v>526</v>
      </c>
      <c r="W80" s="124"/>
    </row>
    <row r="81" spans="1:22" ht="13.5" customHeight="1">
      <c r="A81" s="389"/>
      <c r="B81" s="1163"/>
      <c r="C81" s="302"/>
      <c r="D81" s="549" t="s">
        <v>3260</v>
      </c>
      <c r="E81" s="244"/>
      <c r="F81" s="244"/>
      <c r="G81" s="298"/>
      <c r="H81" s="298"/>
      <c r="I81" s="298"/>
      <c r="J81" s="329" t="s">
        <v>401</v>
      </c>
      <c r="K81" s="1164">
        <f>B80</f>
        <v>2</v>
      </c>
      <c r="L81" s="2685" t="str">
        <f>IF(S81&lt;&gt;"",S81,IF($S$68="No","",Qualified_Dividends))</f>
        <v/>
      </c>
      <c r="M81" s="640"/>
      <c r="N81" s="640"/>
      <c r="O81" s="293"/>
      <c r="P81" s="332"/>
      <c r="Q81" s="332"/>
      <c r="R81" s="1245"/>
      <c r="S81" s="2686"/>
      <c r="T81" s="56"/>
      <c r="V81" s="305" t="s">
        <v>527</v>
      </c>
    </row>
    <row r="82" spans="1:22" ht="40.5" customHeight="1">
      <c r="A82" s="389"/>
      <c r="B82" s="1686" t="s">
        <v>1</v>
      </c>
      <c r="C82" s="302"/>
      <c r="D82" s="5305" t="s">
        <v>3262</v>
      </c>
      <c r="E82" s="5306"/>
      <c r="F82" s="5306"/>
      <c r="G82" s="4714"/>
      <c r="H82" s="4714"/>
      <c r="I82" s="835" t="str">
        <f>B82</f>
        <v>3.</v>
      </c>
      <c r="J82" s="2888"/>
      <c r="K82" s="298" t="s">
        <v>714</v>
      </c>
      <c r="L82" s="298"/>
      <c r="M82" s="302"/>
      <c r="N82" s="640"/>
      <c r="O82" s="293"/>
      <c r="P82" s="332"/>
      <c r="Q82" s="332"/>
      <c r="R82" s="1245"/>
      <c r="S82" s="759"/>
      <c r="T82" s="56"/>
    </row>
    <row r="83" spans="1:22" ht="14.25" customHeight="1">
      <c r="A83" s="389"/>
      <c r="B83" s="1165" t="s">
        <v>642</v>
      </c>
      <c r="C83" s="302"/>
      <c r="D83" s="244" t="s">
        <v>651</v>
      </c>
      <c r="E83" s="244"/>
      <c r="F83" s="244"/>
      <c r="G83" s="298"/>
      <c r="H83" s="298"/>
      <c r="I83" s="835" t="str">
        <f>B83</f>
        <v>4.</v>
      </c>
      <c r="J83" s="2888"/>
      <c r="K83" s="302"/>
      <c r="L83" s="302"/>
      <c r="M83" s="302"/>
      <c r="N83" s="640"/>
      <c r="O83" s="293"/>
      <c r="P83" s="332"/>
      <c r="Q83" s="332"/>
      <c r="R83" s="1245"/>
      <c r="S83" s="759"/>
      <c r="T83" s="56"/>
    </row>
    <row r="84" spans="1:22">
      <c r="A84" s="389"/>
      <c r="B84" s="1165" t="s">
        <v>53</v>
      </c>
      <c r="C84" s="302"/>
      <c r="D84" s="244" t="s">
        <v>801</v>
      </c>
      <c r="E84" s="244"/>
      <c r="F84" s="244"/>
      <c r="G84" s="298"/>
      <c r="H84" s="298"/>
      <c r="I84" s="298"/>
      <c r="J84" s="888" t="s">
        <v>716</v>
      </c>
      <c r="K84" s="302" t="str">
        <f>B84</f>
        <v>5.</v>
      </c>
      <c r="L84" s="2685" t="str">
        <f>IF($S$68="No","",IF(J82-J83&lt;=0,0,J82-J83))</f>
        <v/>
      </c>
      <c r="M84" s="640"/>
      <c r="N84" s="640"/>
      <c r="O84" s="293"/>
      <c r="P84" s="332"/>
      <c r="Q84" s="332"/>
      <c r="R84" s="1245"/>
      <c r="S84" s="759"/>
      <c r="T84" s="56"/>
    </row>
    <row r="85" spans="1:22">
      <c r="A85" s="389"/>
      <c r="B85" s="1165" t="s">
        <v>122</v>
      </c>
      <c r="C85" s="302"/>
      <c r="D85" s="244" t="s">
        <v>652</v>
      </c>
      <c r="E85" s="244"/>
      <c r="F85" s="244"/>
      <c r="G85" s="298"/>
      <c r="H85" s="298"/>
      <c r="I85" s="298"/>
      <c r="J85" s="299"/>
      <c r="K85" s="302"/>
      <c r="L85" s="551" t="s">
        <v>363</v>
      </c>
      <c r="M85" s="302" t="str">
        <f>B85</f>
        <v>6.</v>
      </c>
      <c r="N85" s="2685" t="str">
        <f>IF($S$68="No","",IF(L81-L84&lt;=0,0,L81-L84))</f>
        <v/>
      </c>
      <c r="O85" s="293"/>
      <c r="P85" s="332"/>
      <c r="Q85" s="332"/>
      <c r="R85" s="1245"/>
      <c r="S85" s="759"/>
      <c r="T85" s="56"/>
    </row>
    <row r="86" spans="1:22">
      <c r="A86" s="389"/>
      <c r="B86" s="1165" t="s">
        <v>123</v>
      </c>
      <c r="C86" s="302"/>
      <c r="D86" s="244" t="s">
        <v>126</v>
      </c>
      <c r="E86" s="244"/>
      <c r="F86" s="244"/>
      <c r="G86" s="298"/>
      <c r="H86" s="298"/>
      <c r="I86" s="298"/>
      <c r="J86" s="888" t="s">
        <v>716</v>
      </c>
      <c r="K86" s="302" t="str">
        <f>B86</f>
        <v>7.</v>
      </c>
      <c r="L86" s="2685" t="str">
        <f>IF($S$68="No","",MIN(SchDLine15,SchDLine16))</f>
        <v/>
      </c>
      <c r="M86" s="640"/>
      <c r="N86" s="635"/>
      <c r="O86" s="293"/>
      <c r="P86" s="332"/>
      <c r="Q86" s="332"/>
      <c r="R86" s="1245"/>
      <c r="S86" s="759"/>
      <c r="T86" s="56"/>
    </row>
    <row r="87" spans="1:22">
      <c r="A87" s="389"/>
      <c r="B87" s="1165" t="s">
        <v>338</v>
      </c>
      <c r="C87" s="302"/>
      <c r="D87" s="244" t="s">
        <v>778</v>
      </c>
      <c r="E87" s="244"/>
      <c r="F87" s="244"/>
      <c r="G87" s="298"/>
      <c r="H87" s="298"/>
      <c r="I87" s="298"/>
      <c r="J87" s="888" t="s">
        <v>393</v>
      </c>
      <c r="K87" s="302" t="str">
        <f>B87</f>
        <v>8.</v>
      </c>
      <c r="L87" s="2685" t="str">
        <f>IF($S$68="No","",MIN(J82,J83))</f>
        <v/>
      </c>
      <c r="M87" s="640"/>
      <c r="N87" s="552"/>
      <c r="O87" s="293"/>
      <c r="P87" s="332"/>
      <c r="Q87" s="332"/>
      <c r="R87" s="1245"/>
      <c r="S87" s="759"/>
      <c r="T87" s="56"/>
    </row>
    <row r="88" spans="1:22">
      <c r="A88" s="389"/>
      <c r="B88" s="1165" t="s">
        <v>339</v>
      </c>
      <c r="C88" s="302"/>
      <c r="D88" s="244" t="s">
        <v>653</v>
      </c>
      <c r="E88" s="244"/>
      <c r="F88" s="244"/>
      <c r="G88" s="298"/>
      <c r="H88" s="298"/>
      <c r="I88" s="298"/>
      <c r="J88" s="299"/>
      <c r="K88" s="302"/>
      <c r="L88" s="551" t="s">
        <v>363</v>
      </c>
      <c r="M88" s="302" t="str">
        <f>B88</f>
        <v>9.</v>
      </c>
      <c r="N88" s="2685" t="str">
        <f>IF($S$68="No","",IF(L86-L87&lt;=0,0,L86-L87))</f>
        <v/>
      </c>
      <c r="O88" s="293"/>
      <c r="P88" s="332"/>
      <c r="Q88" s="332"/>
      <c r="R88" s="1245"/>
      <c r="S88" s="985" t="s">
        <v>149</v>
      </c>
      <c r="T88" s="56"/>
    </row>
    <row r="89" spans="1:22" ht="13.5" customHeight="1">
      <c r="A89" s="389"/>
      <c r="B89" s="1165" t="s">
        <v>477</v>
      </c>
      <c r="C89" s="302"/>
      <c r="D89" s="244" t="s">
        <v>135</v>
      </c>
      <c r="E89" s="244"/>
      <c r="F89" s="244"/>
      <c r="G89" s="298"/>
      <c r="H89" s="298"/>
      <c r="I89" s="298"/>
      <c r="J89" s="888" t="s">
        <v>509</v>
      </c>
      <c r="K89" s="302" t="str">
        <f>B89</f>
        <v>10.</v>
      </c>
      <c r="L89" s="2685" t="str">
        <f>IF($S$68="No","",N85+N88)</f>
        <v/>
      </c>
      <c r="M89" s="332"/>
      <c r="N89" s="636"/>
      <c r="O89" s="332"/>
      <c r="P89" s="332"/>
      <c r="Q89" s="332"/>
      <c r="R89" s="1245"/>
      <c r="S89" s="985" t="s">
        <v>661</v>
      </c>
      <c r="T89" s="56"/>
    </row>
    <row r="90" spans="1:22">
      <c r="A90" s="389"/>
      <c r="B90" s="1165" t="s">
        <v>478</v>
      </c>
      <c r="C90" s="302"/>
      <c r="D90" s="244" t="s">
        <v>654</v>
      </c>
      <c r="E90" s="244"/>
      <c r="F90" s="244"/>
      <c r="G90" s="298"/>
      <c r="H90" s="298"/>
      <c r="I90" s="298"/>
      <c r="J90" s="299"/>
      <c r="K90" s="299"/>
      <c r="L90" s="551" t="s">
        <v>344</v>
      </c>
      <c r="M90" s="302" t="str">
        <f>B90</f>
        <v>11.</v>
      </c>
      <c r="N90" s="2685" t="str">
        <f>IF(S90&lt;&gt;"",S90,IF($S$68="No","",SUM('Sch. D'!N72,'Sch. D'!N75)))</f>
        <v/>
      </c>
      <c r="O90" s="293"/>
      <c r="P90" s="332"/>
      <c r="Q90" s="332"/>
      <c r="R90" s="1245"/>
      <c r="S90" s="2686"/>
      <c r="T90" s="56"/>
    </row>
    <row r="91" spans="1:22">
      <c r="A91" s="389"/>
      <c r="B91" s="1165" t="s">
        <v>479</v>
      </c>
      <c r="C91" s="302"/>
      <c r="D91" s="244" t="s">
        <v>299</v>
      </c>
      <c r="E91" s="244"/>
      <c r="F91" s="244"/>
      <c r="G91" s="298"/>
      <c r="H91" s="298"/>
      <c r="I91" s="298"/>
      <c r="J91" s="299"/>
      <c r="K91" s="302" t="str">
        <f>B91</f>
        <v>12.</v>
      </c>
      <c r="L91" s="2685" t="str">
        <f>IF($S$68="No","",MIN(N88,N90))</f>
        <v/>
      </c>
      <c r="M91" s="302"/>
      <c r="N91" s="634"/>
      <c r="O91" s="293"/>
      <c r="P91" s="332"/>
      <c r="Q91" s="332"/>
      <c r="R91" s="1245"/>
      <c r="S91" s="759"/>
      <c r="T91" s="56"/>
    </row>
    <row r="92" spans="1:22">
      <c r="A92" s="389"/>
      <c r="B92" s="1165" t="s">
        <v>695</v>
      </c>
      <c r="C92" s="302"/>
      <c r="D92" s="549" t="s">
        <v>361</v>
      </c>
      <c r="E92" s="507"/>
      <c r="F92" s="507"/>
      <c r="G92" s="298"/>
      <c r="H92" s="298"/>
      <c r="I92" s="298"/>
      <c r="J92" s="299"/>
      <c r="K92" s="302"/>
      <c r="L92" s="302"/>
      <c r="M92" s="302"/>
      <c r="N92" s="551" t="s">
        <v>751</v>
      </c>
      <c r="O92" s="551" t="str">
        <f>B92</f>
        <v>13.</v>
      </c>
      <c r="P92" s="2685" t="str">
        <f>IF($S$68="No","",L89-L91)</f>
        <v/>
      </c>
      <c r="Q92" s="332"/>
      <c r="R92" s="1245"/>
      <c r="S92" s="768"/>
      <c r="T92" s="56"/>
    </row>
    <row r="93" spans="1:22" ht="12.75" customHeight="1">
      <c r="A93" s="389"/>
      <c r="B93" s="1165" t="s">
        <v>696</v>
      </c>
      <c r="C93" s="302"/>
      <c r="D93" s="549" t="s">
        <v>362</v>
      </c>
      <c r="E93" s="507"/>
      <c r="F93" s="507"/>
      <c r="G93" s="298"/>
      <c r="H93" s="298"/>
      <c r="I93" s="298"/>
      <c r="J93" s="299"/>
      <c r="K93" s="302"/>
      <c r="L93" s="302"/>
      <c r="M93" s="302"/>
      <c r="N93" s="2687" t="s">
        <v>1113</v>
      </c>
      <c r="O93" s="551" t="str">
        <f>B93</f>
        <v>14.</v>
      </c>
      <c r="P93" s="2685" t="str">
        <f>IF($S$68="No","",IF(SchDTW_Line1-P92&lt;0,0,SchDTW_Line1-P92))</f>
        <v/>
      </c>
      <c r="Q93" s="332"/>
      <c r="R93" s="1245"/>
      <c r="S93" s="821"/>
      <c r="T93" s="56"/>
    </row>
    <row r="94" spans="1:22" ht="14.25" customHeight="1">
      <c r="A94" s="389"/>
      <c r="B94" s="1165" t="s">
        <v>697</v>
      </c>
      <c r="C94" s="302"/>
      <c r="D94" s="549" t="s">
        <v>1723</v>
      </c>
      <c r="E94" s="244"/>
      <c r="F94" s="244"/>
      <c r="G94" s="298"/>
      <c r="H94" s="298"/>
      <c r="I94" s="298"/>
      <c r="J94" s="299"/>
      <c r="K94" s="299"/>
      <c r="L94" s="299"/>
      <c r="M94" s="299"/>
      <c r="N94" s="634"/>
      <c r="O94" s="634"/>
      <c r="P94" s="634"/>
      <c r="Q94" s="333"/>
      <c r="R94" s="917"/>
      <c r="S94" s="821"/>
      <c r="T94" s="56"/>
    </row>
    <row r="95" spans="1:22">
      <c r="A95" s="389"/>
      <c r="B95" s="2733" t="b">
        <f>IF(OR(File_Single&lt;&gt;"",File_Marr_Sep&lt;&gt;""),TRUE,FALSE)</f>
        <v>0</v>
      </c>
      <c r="C95" s="302"/>
      <c r="D95" s="548" t="s">
        <v>549</v>
      </c>
      <c r="E95" s="244" t="str">
        <f>TEXT(N95,"$0,000")&amp;" if single or married filing separately;"</f>
        <v>$37,650 if single or married filing separately;</v>
      </c>
      <c r="F95" s="548"/>
      <c r="G95" s="298"/>
      <c r="H95" s="298"/>
      <c r="I95" s="298"/>
      <c r="J95" s="299"/>
      <c r="K95" s="299"/>
      <c r="L95" s="928" t="str">
        <f>IF(OR(File_Single&lt;&gt;"",File_Marr_Sep&lt;&gt;""),N95,IF(OR(File_Marr_Joint&lt;&gt;"",File_Qual_Widow&lt;&gt;""),N96,IF(File_Head&lt;&gt;"",N97,"Filing status?")))</f>
        <v>Filing status?</v>
      </c>
      <c r="M95" s="639"/>
      <c r="N95" s="928">
        <v>37650</v>
      </c>
      <c r="O95" s="634"/>
      <c r="P95" s="634"/>
      <c r="Q95" s="333"/>
      <c r="R95" s="917"/>
      <c r="S95" s="759"/>
      <c r="T95" s="56"/>
    </row>
    <row r="96" spans="1:22" ht="13.5" customHeight="1">
      <c r="A96" s="389"/>
      <c r="B96" s="2733" t="b">
        <f>IF(OR(File_Marr_Joint&lt;&gt;"",File_Qual_Widow&lt;&gt;""),TRUE,FALSE)</f>
        <v>0</v>
      </c>
      <c r="C96" s="302"/>
      <c r="D96" s="548" t="s">
        <v>549</v>
      </c>
      <c r="E96" s="244" t="str">
        <f>TEXT(N96,"$0,000")&amp;" if married filing jointly or qualifying widow(er); or"</f>
        <v>$75,300 if married filing jointly or qualifying widow(er); or</v>
      </c>
      <c r="F96" s="548"/>
      <c r="G96" s="298"/>
      <c r="H96" s="298"/>
      <c r="I96" s="298"/>
      <c r="J96" s="421" t="s">
        <v>219</v>
      </c>
      <c r="K96" s="1164" t="str">
        <f>B94</f>
        <v>15.</v>
      </c>
      <c r="L96" s="2685" t="str">
        <f>IF($S$68="No","",L95)</f>
        <v/>
      </c>
      <c r="M96" s="640"/>
      <c r="N96" s="928">
        <v>75300</v>
      </c>
      <c r="O96" s="634"/>
      <c r="P96" s="634"/>
      <c r="Q96" s="333"/>
      <c r="R96" s="917"/>
      <c r="S96" s="768"/>
      <c r="T96" s="56"/>
    </row>
    <row r="97" spans="1:23" ht="13.5" customHeight="1">
      <c r="A97" s="389"/>
      <c r="B97" s="2733" t="b">
        <f>IF(File_Head&lt;&gt;"",TRUE,FALSE)</f>
        <v>0</v>
      </c>
      <c r="C97" s="302"/>
      <c r="D97" s="548" t="s">
        <v>549</v>
      </c>
      <c r="E97" s="244" t="str">
        <f>TEXT(N97,"$0,000")&amp;" if head of household."</f>
        <v>$50,400 if head of household.</v>
      </c>
      <c r="F97" s="548"/>
      <c r="G97" s="298"/>
      <c r="H97" s="298"/>
      <c r="I97" s="298"/>
      <c r="J97" s="299"/>
      <c r="K97" s="299"/>
      <c r="L97" s="299"/>
      <c r="M97" s="299"/>
      <c r="N97" s="928">
        <v>50400</v>
      </c>
      <c r="O97" s="634"/>
      <c r="P97" s="634"/>
      <c r="Q97" s="333"/>
      <c r="R97" s="917"/>
      <c r="S97" s="759"/>
      <c r="T97" s="56"/>
    </row>
    <row r="98" spans="1:23" ht="12.75" customHeight="1">
      <c r="A98" s="389"/>
      <c r="B98" s="1166" t="s">
        <v>315</v>
      </c>
      <c r="C98" s="302"/>
      <c r="D98" s="549" t="s">
        <v>976</v>
      </c>
      <c r="E98" s="549"/>
      <c r="F98" s="549"/>
      <c r="G98" s="298"/>
      <c r="H98" s="298"/>
      <c r="I98" s="298"/>
      <c r="J98" s="299"/>
      <c r="K98" s="299"/>
      <c r="L98" s="551" t="s">
        <v>344</v>
      </c>
      <c r="M98" s="302" t="str">
        <f>B98</f>
        <v>16.</v>
      </c>
      <c r="N98" s="2685" t="str">
        <f>IF($S$68="No","",MIN(SchDTW_Line1,L96))</f>
        <v/>
      </c>
      <c r="O98" s="551"/>
      <c r="P98" s="634"/>
      <c r="Q98" s="332"/>
      <c r="R98" s="1245"/>
      <c r="S98" s="768"/>
      <c r="T98" s="56"/>
    </row>
    <row r="99" spans="1:23" ht="12.75" customHeight="1">
      <c r="A99" s="389"/>
      <c r="B99" s="1167" t="s">
        <v>772</v>
      </c>
      <c r="C99" s="302"/>
      <c r="D99" s="549" t="s">
        <v>977</v>
      </c>
      <c r="E99" s="244"/>
      <c r="F99" s="244"/>
      <c r="G99" s="298"/>
      <c r="H99" s="298"/>
      <c r="I99" s="298"/>
      <c r="J99" s="551" t="s">
        <v>442</v>
      </c>
      <c r="K99" s="302" t="str">
        <f>B99</f>
        <v>17.</v>
      </c>
      <c r="L99" s="2685" t="str">
        <f>IF($S$68="No","",MIN(P93,N98))</f>
        <v/>
      </c>
      <c r="M99" s="640"/>
      <c r="N99" s="927"/>
      <c r="O99" s="634"/>
      <c r="P99" s="634"/>
      <c r="Q99" s="331"/>
      <c r="R99" s="917"/>
      <c r="S99" s="768"/>
      <c r="T99" s="56"/>
    </row>
    <row r="100" spans="1:23" ht="12.75" customHeight="1">
      <c r="A100" s="389"/>
      <c r="B100" s="1166" t="s">
        <v>773</v>
      </c>
      <c r="C100" s="237"/>
      <c r="D100" s="549" t="s">
        <v>48</v>
      </c>
      <c r="E100" s="549"/>
      <c r="F100" s="549"/>
      <c r="G100" s="298"/>
      <c r="H100" s="298"/>
      <c r="I100" s="298"/>
      <c r="J100" s="551" t="s">
        <v>985</v>
      </c>
      <c r="K100" s="302" t="str">
        <f>B100</f>
        <v>18.</v>
      </c>
      <c r="L100" s="2685" t="str">
        <f>IF($S$68="No","",IF(SchDTW_Line1-L89&lt;0,0,SUM(SchDTW_Line1,-L89)))</f>
        <v/>
      </c>
      <c r="M100" s="640"/>
      <c r="N100" s="634"/>
      <c r="O100" s="634"/>
      <c r="P100" s="634"/>
      <c r="Q100" s="332"/>
      <c r="R100" s="1245"/>
      <c r="S100" s="759"/>
      <c r="T100" s="56"/>
    </row>
    <row r="101" spans="1:23" ht="12.75" customHeight="1">
      <c r="A101" s="389"/>
      <c r="B101" s="1166" t="s">
        <v>774</v>
      </c>
      <c r="C101" s="302"/>
      <c r="D101" s="549" t="s">
        <v>979</v>
      </c>
      <c r="E101" s="549"/>
      <c r="F101" s="549"/>
      <c r="G101" s="298"/>
      <c r="H101" s="298"/>
      <c r="I101" s="298"/>
      <c r="J101" s="299"/>
      <c r="K101" s="299"/>
      <c r="L101" s="551" t="s">
        <v>1157</v>
      </c>
      <c r="M101" s="302" t="str">
        <f>B101</f>
        <v>19.</v>
      </c>
      <c r="N101" s="2685" t="str">
        <f>IF($S$68="No","",MAX(L99,L100))</f>
        <v/>
      </c>
      <c r="O101" s="551"/>
      <c r="P101" s="634"/>
      <c r="Q101" s="332"/>
      <c r="R101" s="1245"/>
      <c r="S101" s="759"/>
      <c r="T101" s="56"/>
    </row>
    <row r="102" spans="1:23" ht="12.75" customHeight="1">
      <c r="A102" s="389"/>
      <c r="B102" s="1166" t="s">
        <v>559</v>
      </c>
      <c r="C102" s="302"/>
      <c r="D102" s="549" t="s">
        <v>980</v>
      </c>
      <c r="E102" s="549"/>
      <c r="F102" s="549"/>
      <c r="G102" s="298"/>
      <c r="H102" s="298"/>
      <c r="I102" s="298"/>
      <c r="J102" s="299"/>
      <c r="K102" s="299"/>
      <c r="L102" s="551" t="s">
        <v>596</v>
      </c>
      <c r="M102" s="302" t="str">
        <f>B102</f>
        <v>20.</v>
      </c>
      <c r="N102" s="2685" t="str">
        <f>IF($S$68="No","",SUM(N98,-L99))</f>
        <v/>
      </c>
      <c r="O102" s="551"/>
      <c r="P102" s="855">
        <f>IF(N102&lt;&gt;"",N102,0)</f>
        <v>0</v>
      </c>
      <c r="Q102" s="331"/>
      <c r="R102" s="917"/>
      <c r="S102" s="1531" t="b">
        <f>IF(SchDTW_Line1=N98,TRUE,FALSE)</f>
        <v>1</v>
      </c>
      <c r="T102" s="56"/>
    </row>
    <row r="103" spans="1:23" s="1363" customFormat="1" ht="12.75" customHeight="1">
      <c r="A103" s="389"/>
      <c r="B103" s="301"/>
      <c r="C103" s="302"/>
      <c r="D103" s="285" t="s">
        <v>1743</v>
      </c>
      <c r="E103" s="285"/>
      <c r="F103" s="285"/>
      <c r="G103" s="298"/>
      <c r="H103" s="298"/>
      <c r="I103" s="298"/>
      <c r="J103" s="299"/>
      <c r="K103" s="299"/>
      <c r="L103" s="299"/>
      <c r="M103" s="299"/>
      <c r="N103" s="637"/>
      <c r="O103" s="551"/>
      <c r="P103" s="1360"/>
      <c r="Q103" s="331"/>
      <c r="R103" s="1361"/>
      <c r="S103" s="2585" t="str">
        <f>IF($S$68="No","",IF(Skip2141,"Skip lines 21 through 41.","Go to Line 21."))</f>
        <v/>
      </c>
      <c r="T103" s="56"/>
      <c r="U103" s="1362"/>
      <c r="V103" s="1362"/>
      <c r="W103" s="1362"/>
    </row>
    <row r="104" spans="1:23" ht="12.75" customHeight="1">
      <c r="A104" s="389"/>
      <c r="B104" s="1167" t="s">
        <v>560</v>
      </c>
      <c r="C104" s="302"/>
      <c r="D104" s="549" t="s">
        <v>982</v>
      </c>
      <c r="E104" s="244"/>
      <c r="F104" s="244"/>
      <c r="G104" s="298"/>
      <c r="H104" s="298"/>
      <c r="I104" s="298"/>
      <c r="J104" s="551" t="s">
        <v>374</v>
      </c>
      <c r="K104" s="302" t="str">
        <f>B104</f>
        <v>21.</v>
      </c>
      <c r="L104" s="2685" t="str">
        <f>IF($S$68="No","",IF(Skip2141,"",MIN(SchDTW_Line1,P92)))</f>
        <v/>
      </c>
      <c r="M104" s="640"/>
      <c r="N104" s="927"/>
      <c r="O104" s="634"/>
      <c r="P104" s="634"/>
      <c r="Q104" s="331"/>
      <c r="R104" s="917"/>
      <c r="S104" s="759"/>
      <c r="T104" s="56"/>
    </row>
    <row r="105" spans="1:23" ht="12.75" customHeight="1">
      <c r="A105" s="389"/>
      <c r="B105" s="1166" t="s">
        <v>561</v>
      </c>
      <c r="C105" s="237"/>
      <c r="D105" s="549" t="s">
        <v>983</v>
      </c>
      <c r="E105" s="549"/>
      <c r="F105" s="549"/>
      <c r="G105" s="298"/>
      <c r="H105" s="298"/>
      <c r="I105" s="298"/>
      <c r="J105" s="888" t="s">
        <v>529</v>
      </c>
      <c r="K105" s="302" t="str">
        <f>B105</f>
        <v>22.</v>
      </c>
      <c r="L105" s="2685" t="str">
        <f>IF($S$68="No","",IF(Skip2141,"",IF(N102="",0,N102)))</f>
        <v/>
      </c>
      <c r="M105" s="640"/>
      <c r="N105" s="634"/>
      <c r="O105" s="634"/>
      <c r="P105" s="634"/>
      <c r="Q105" s="332"/>
      <c r="R105" s="1245"/>
      <c r="S105" s="985"/>
      <c r="T105" s="56"/>
    </row>
    <row r="106" spans="1:23" ht="12.75" customHeight="1">
      <c r="A106" s="389"/>
      <c r="B106" s="1166" t="s">
        <v>562</v>
      </c>
      <c r="C106" s="302"/>
      <c r="D106" s="549" t="s">
        <v>984</v>
      </c>
      <c r="E106" s="549"/>
      <c r="F106" s="549"/>
      <c r="G106" s="298"/>
      <c r="H106" s="298"/>
      <c r="I106" s="298"/>
      <c r="J106" s="299"/>
      <c r="K106" s="299"/>
      <c r="L106" s="551" t="s">
        <v>233</v>
      </c>
      <c r="M106" s="302" t="str">
        <f>B106</f>
        <v>23.</v>
      </c>
      <c r="N106" s="2685" t="str">
        <f>IF(OR($S$68="No",Skip2141),"",SUM(L104,-L105))</f>
        <v/>
      </c>
      <c r="O106" s="551"/>
      <c r="P106" s="642"/>
      <c r="Q106" s="332"/>
      <c r="R106" s="1245"/>
      <c r="S106" s="985"/>
      <c r="T106" s="56"/>
    </row>
    <row r="107" spans="1:23" ht="14.25" customHeight="1">
      <c r="A107" s="389"/>
      <c r="B107" s="1165">
        <v>24</v>
      </c>
      <c r="C107" s="302"/>
      <c r="D107" s="549" t="s">
        <v>1723</v>
      </c>
      <c r="E107" s="2810"/>
      <c r="F107" s="2810"/>
      <c r="G107" s="2811"/>
      <c r="H107" s="2811"/>
      <c r="I107" s="2811"/>
      <c r="J107" s="299"/>
      <c r="K107" s="299"/>
      <c r="L107" s="299"/>
      <c r="M107" s="299"/>
      <c r="N107" s="634"/>
      <c r="O107" s="634"/>
      <c r="P107" s="634"/>
      <c r="Q107" s="333"/>
      <c r="R107" s="917"/>
      <c r="S107" s="821"/>
      <c r="T107" s="56"/>
    </row>
    <row r="108" spans="1:23" ht="14.25" customHeight="1">
      <c r="A108" s="389"/>
      <c r="B108" s="2733" t="b">
        <f>IF(File_Single&lt;&gt;"",TRUE,FALSE)</f>
        <v>0</v>
      </c>
      <c r="C108" s="302"/>
      <c r="D108" s="548" t="s">
        <v>549</v>
      </c>
      <c r="E108" s="2810" t="str">
        <f>TEXT(N108,"$0,000")&amp;" if single;"</f>
        <v>$415,050 if single;</v>
      </c>
      <c r="F108" s="2810"/>
      <c r="G108" s="2810"/>
      <c r="H108" s="2811"/>
      <c r="I108" s="2811"/>
      <c r="J108" s="299"/>
      <c r="K108" s="299"/>
      <c r="L108" s="299"/>
      <c r="M108" s="299"/>
      <c r="N108" s="928">
        <v>415050</v>
      </c>
      <c r="O108" s="634"/>
      <c r="P108" s="634"/>
      <c r="Q108" s="333"/>
      <c r="R108" s="917"/>
      <c r="S108" s="759"/>
      <c r="T108" s="56"/>
    </row>
    <row r="109" spans="1:23">
      <c r="A109" s="389"/>
      <c r="B109" s="2733" t="b">
        <f>IF(File_Marr_Sep&lt;&gt;"",TRUE,FALSE)</f>
        <v>0</v>
      </c>
      <c r="C109" s="302"/>
      <c r="D109" s="548" t="s">
        <v>549</v>
      </c>
      <c r="E109" s="2810" t="str">
        <f>TEXT(N109,"$0,000")&amp;" if married filing separately;"</f>
        <v>$233,475 if married filing separately;</v>
      </c>
      <c r="F109" s="548"/>
      <c r="G109" s="2811"/>
      <c r="H109" s="2811"/>
      <c r="I109" s="2811"/>
      <c r="J109" s="299"/>
      <c r="K109" s="299"/>
      <c r="L109" s="928" t="str">
        <f>IF(File_Single&lt;&gt;"",N108,IF(File_Marr_Sep&lt;&gt;"",N109,IF(OR(File_Marr_Joint&lt;&gt;"",File_Qual_Widow),N110,IF(File_Head&lt;&gt;"",N111,"Filing status?"))))</f>
        <v>Filing status?</v>
      </c>
      <c r="M109" s="639"/>
      <c r="N109" s="928">
        <v>233475</v>
      </c>
      <c r="O109" s="634"/>
      <c r="P109" s="634"/>
      <c r="Q109" s="333"/>
      <c r="R109" s="917"/>
      <c r="S109" s="759"/>
      <c r="T109" s="56"/>
    </row>
    <row r="110" spans="1:23" ht="13.5" customHeight="1">
      <c r="A110" s="389"/>
      <c r="B110" s="2733" t="b">
        <f>IF(OR(File_Marr_Joint&lt;&gt;"",File_Qual_Widow&lt;&gt;""),TRUE,FALSE)</f>
        <v>0</v>
      </c>
      <c r="C110" s="302"/>
      <c r="D110" s="548" t="s">
        <v>549</v>
      </c>
      <c r="E110" s="2810" t="str">
        <f>TEXT(N110,"$0,000")&amp;" if married filing jointly or qualifying widow(er); or"</f>
        <v>$466,950 if married filing jointly or qualifying widow(er); or</v>
      </c>
      <c r="F110" s="548"/>
      <c r="G110" s="2811"/>
      <c r="H110" s="2811"/>
      <c r="I110" s="2811"/>
      <c r="J110" s="421" t="s">
        <v>219</v>
      </c>
      <c r="K110" s="1164">
        <f>B107</f>
        <v>24</v>
      </c>
      <c r="L110" s="2685" t="str">
        <f>IF(OR($S$68="No",Skip2141),"",L109)</f>
        <v/>
      </c>
      <c r="M110" s="640"/>
      <c r="N110" s="928">
        <v>466950</v>
      </c>
      <c r="O110" s="634"/>
      <c r="P110" s="634"/>
      <c r="Q110" s="333"/>
      <c r="R110" s="917"/>
      <c r="S110" s="768"/>
      <c r="T110" s="56"/>
    </row>
    <row r="111" spans="1:23" ht="13.5" customHeight="1">
      <c r="A111" s="389"/>
      <c r="B111" s="2733" t="b">
        <f>IF(File_Head&lt;&gt;"",TRUE,FALSE)</f>
        <v>0</v>
      </c>
      <c r="C111" s="302"/>
      <c r="D111" s="548" t="s">
        <v>549</v>
      </c>
      <c r="E111" s="2810" t="str">
        <f>TEXT(N111,"$0,000")&amp;" if head of household."</f>
        <v>$441,000 if head of household.</v>
      </c>
      <c r="F111" s="548"/>
      <c r="G111" s="2811"/>
      <c r="H111" s="2811"/>
      <c r="I111" s="2811"/>
      <c r="J111" s="299"/>
      <c r="K111" s="299"/>
      <c r="L111" s="299"/>
      <c r="M111" s="299"/>
      <c r="N111" s="928">
        <v>441000</v>
      </c>
      <c r="O111" s="634"/>
      <c r="P111" s="634"/>
      <c r="Q111" s="333"/>
      <c r="R111" s="917"/>
      <c r="S111" s="759"/>
      <c r="T111" s="56"/>
    </row>
    <row r="112" spans="1:23" ht="13.5" customHeight="1">
      <c r="A112" s="389"/>
      <c r="B112" s="1165">
        <v>25</v>
      </c>
      <c r="C112" s="302"/>
      <c r="D112" s="549" t="s">
        <v>1724</v>
      </c>
      <c r="E112" s="2810"/>
      <c r="F112" s="548"/>
      <c r="G112" s="2811"/>
      <c r="H112" s="2811"/>
      <c r="I112" s="2811"/>
      <c r="J112" s="299"/>
      <c r="K112" s="1164">
        <f>B112</f>
        <v>25</v>
      </c>
      <c r="L112" s="2685" t="str">
        <f>IF(OR($S$68="No",Skip2141),"",MIN(SchDTW_Line1,L110))</f>
        <v/>
      </c>
      <c r="M112" s="299"/>
      <c r="N112" s="928"/>
      <c r="O112" s="634"/>
      <c r="P112" s="634"/>
      <c r="Q112" s="333"/>
      <c r="R112" s="917"/>
      <c r="S112" s="759"/>
      <c r="T112" s="56"/>
    </row>
    <row r="113" spans="1:23" ht="13.5" customHeight="1">
      <c r="A113" s="389"/>
      <c r="B113" s="1165">
        <v>26</v>
      </c>
      <c r="C113" s="302"/>
      <c r="D113" s="549" t="s">
        <v>1725</v>
      </c>
      <c r="E113" s="2810"/>
      <c r="F113" s="548"/>
      <c r="G113" s="2811"/>
      <c r="H113" s="2811"/>
      <c r="I113" s="2811"/>
      <c r="J113" s="299"/>
      <c r="K113" s="1164">
        <f>B113</f>
        <v>26</v>
      </c>
      <c r="L113" s="2685" t="str">
        <f>IF(OR($S$68="No",Skip2141),"",SUM(SchDTW_Line19,N102))</f>
        <v/>
      </c>
      <c r="M113" s="299"/>
      <c r="N113" s="928"/>
      <c r="O113" s="634"/>
      <c r="P113" s="634"/>
      <c r="Q113" s="333"/>
      <c r="R113" s="917"/>
      <c r="S113" s="759"/>
      <c r="T113" s="56"/>
    </row>
    <row r="114" spans="1:23" ht="13.5" customHeight="1">
      <c r="A114" s="389"/>
      <c r="B114" s="1165">
        <v>27</v>
      </c>
      <c r="C114" s="302"/>
      <c r="D114" s="549" t="s">
        <v>1726</v>
      </c>
      <c r="E114" s="2810"/>
      <c r="F114" s="548"/>
      <c r="G114" s="2811"/>
      <c r="H114" s="2811"/>
      <c r="I114" s="2811"/>
      <c r="J114" s="299"/>
      <c r="K114" s="1164">
        <f>B114</f>
        <v>27</v>
      </c>
      <c r="L114" s="2685" t="str">
        <f>IF(OR($S$68="No",Skip2141),"",IF(SUM(L112,-L113)&lt;=0,0,SUM(L112,-L113)))</f>
        <v/>
      </c>
      <c r="M114" s="299"/>
      <c r="N114" s="928"/>
      <c r="O114" s="634"/>
      <c r="P114" s="634"/>
      <c r="Q114" s="333"/>
      <c r="R114" s="917"/>
      <c r="S114" s="759"/>
      <c r="T114" s="56"/>
    </row>
    <row r="115" spans="1:23" ht="13.5" customHeight="1">
      <c r="A115" s="389"/>
      <c r="B115" s="1165">
        <v>28</v>
      </c>
      <c r="C115" s="302"/>
      <c r="D115" s="549" t="s">
        <v>1727</v>
      </c>
      <c r="E115" s="2810"/>
      <c r="F115" s="548"/>
      <c r="G115" s="2811"/>
      <c r="H115" s="2811"/>
      <c r="I115" s="2811"/>
      <c r="J115" s="299"/>
      <c r="K115" s="1164"/>
      <c r="L115" s="299"/>
      <c r="M115" s="1164">
        <f>B115</f>
        <v>28</v>
      </c>
      <c r="N115" s="2685" t="str">
        <f>IF(OR($S$68="No",Skip2141),"",MIN(N106,L114))</f>
        <v/>
      </c>
      <c r="O115" s="634"/>
      <c r="P115" s="634"/>
      <c r="Q115" s="333"/>
      <c r="R115" s="917"/>
      <c r="S115" s="759"/>
      <c r="T115" s="56"/>
    </row>
    <row r="116" spans="1:23" ht="13.5" customHeight="1">
      <c r="A116" s="389"/>
      <c r="B116" s="1165">
        <v>29</v>
      </c>
      <c r="C116" s="302"/>
      <c r="D116" s="549" t="str">
        <f>"Multiply line 28 by "&amp;TEXT(R116,"0%")&amp;" ("&amp;TEXT(R116,"0.00")&amp;")"</f>
        <v>Multiply line 28 by 15% (0.15)</v>
      </c>
      <c r="E116" s="2810"/>
      <c r="F116" s="548"/>
      <c r="G116" s="2811"/>
      <c r="H116" s="2811"/>
      <c r="I116" s="2811"/>
      <c r="J116" s="299"/>
      <c r="K116" s="299"/>
      <c r="L116" s="299"/>
      <c r="M116" s="299"/>
      <c r="N116" s="928"/>
      <c r="O116" s="1164">
        <f>B116</f>
        <v>29</v>
      </c>
      <c r="P116" s="2685" t="str">
        <f>IF(OR($S$68="No",Skip2141),"",ROUND($N$115*R116,0))</f>
        <v/>
      </c>
      <c r="Q116" s="333"/>
      <c r="R116" s="917">
        <v>0.15</v>
      </c>
      <c r="S116" s="759"/>
      <c r="T116" s="56"/>
    </row>
    <row r="117" spans="1:23" ht="13.5" customHeight="1">
      <c r="A117" s="389"/>
      <c r="B117" s="1165">
        <v>30</v>
      </c>
      <c r="C117" s="302"/>
      <c r="D117" s="549" t="s">
        <v>1728</v>
      </c>
      <c r="E117" s="2810"/>
      <c r="F117" s="548"/>
      <c r="G117" s="2811"/>
      <c r="H117" s="2811"/>
      <c r="I117" s="2811"/>
      <c r="J117" s="299"/>
      <c r="K117" s="1164">
        <f>B117</f>
        <v>30</v>
      </c>
      <c r="L117" s="2685" t="str">
        <f>IF(OR($S$68="No",Skip2141),"",SUM(L105,N115))</f>
        <v/>
      </c>
      <c r="M117" s="299"/>
      <c r="N117" s="928"/>
      <c r="O117" s="634"/>
      <c r="P117" s="634"/>
      <c r="Q117" s="333"/>
      <c r="R117" s="917"/>
      <c r="S117" s="1531" t="b">
        <f>IF(OR(S68="No",Skip2141),FALSE,IF(SchDTW_Line1=L117,TRUE,FALSE))</f>
        <v>0</v>
      </c>
      <c r="T117" s="56"/>
    </row>
    <row r="118" spans="1:23" ht="13.5" customHeight="1">
      <c r="A118" s="389"/>
      <c r="B118" s="301"/>
      <c r="C118" s="302"/>
      <c r="D118" s="285" t="s">
        <v>1729</v>
      </c>
      <c r="E118" s="2810"/>
      <c r="F118" s="548"/>
      <c r="G118" s="2811"/>
      <c r="H118" s="2811"/>
      <c r="I118" s="2811"/>
      <c r="J118" s="299"/>
      <c r="K118" s="299"/>
      <c r="L118" s="299"/>
      <c r="M118" s="299"/>
      <c r="N118" s="928"/>
      <c r="O118" s="634"/>
      <c r="P118" s="634"/>
      <c r="Q118" s="333"/>
      <c r="R118" s="917"/>
      <c r="S118" s="2585" t="str">
        <f>IF(OR($S$68="No",Skip2141),"",IF(Skip3141,"Skip lines 31 through 41.","Go to Line 31."))</f>
        <v/>
      </c>
      <c r="T118" s="56"/>
    </row>
    <row r="119" spans="1:23" ht="13.5" customHeight="1">
      <c r="A119" s="389"/>
      <c r="B119" s="1165">
        <v>31</v>
      </c>
      <c r="C119" s="302"/>
      <c r="D119" s="549" t="s">
        <v>1733</v>
      </c>
      <c r="E119" s="2810"/>
      <c r="F119" s="548"/>
      <c r="G119" s="2811"/>
      <c r="H119" s="2811"/>
      <c r="I119" s="2811"/>
      <c r="J119" s="299"/>
      <c r="K119" s="299"/>
      <c r="L119" s="299"/>
      <c r="M119" s="1164">
        <f>B119</f>
        <v>31</v>
      </c>
      <c r="N119" s="2685" t="str">
        <f>IF(OR($S$68="No",Skip2141,Skip3141),"",IF(L104-L117&lt;=0,0,SUM(L104,-L117)))</f>
        <v/>
      </c>
      <c r="O119" s="634"/>
      <c r="P119" s="634"/>
      <c r="Q119" s="333"/>
      <c r="R119" s="917"/>
      <c r="S119" s="759"/>
      <c r="T119" s="56"/>
    </row>
    <row r="120" spans="1:23" ht="12.75" customHeight="1">
      <c r="A120" s="389"/>
      <c r="B120" s="1167" t="s">
        <v>567</v>
      </c>
      <c r="C120" s="302"/>
      <c r="D120" s="244" t="str">
        <f>"Multiply line 31 by "&amp;TEXT(R120,"0%")&amp;" ("&amp;TEXT(R120,"0.00")&amp;")"</f>
        <v>Multiply line 31 by 20% (0.20)</v>
      </c>
      <c r="E120" s="244"/>
      <c r="F120" s="244"/>
      <c r="G120" s="298"/>
      <c r="H120" s="298"/>
      <c r="I120" s="298"/>
      <c r="J120" s="299"/>
      <c r="K120" s="302"/>
      <c r="L120" s="302"/>
      <c r="M120" s="302"/>
      <c r="N120" s="551" t="s">
        <v>1007</v>
      </c>
      <c r="O120" s="551" t="str">
        <f>B120</f>
        <v>32.</v>
      </c>
      <c r="P120" s="2685" t="str">
        <f>IF(OR($S$68="No",Skip2141,Skip3141),"",ROUND((N119*R120),0))</f>
        <v/>
      </c>
      <c r="Q120" s="332"/>
      <c r="R120" s="917">
        <v>0.2</v>
      </c>
      <c r="S120" s="1531" t="b">
        <f>IF(OR(SchDLine19=0,SchDLine19=""),TRUE,FALSE)</f>
        <v>1</v>
      </c>
      <c r="T120" s="56"/>
    </row>
    <row r="121" spans="1:23" ht="12.75" customHeight="1">
      <c r="A121" s="389"/>
      <c r="B121" s="301"/>
      <c r="C121" s="302"/>
      <c r="D121" s="285" t="s">
        <v>1732</v>
      </c>
      <c r="E121" s="285"/>
      <c r="F121" s="285"/>
      <c r="G121" s="298"/>
      <c r="H121" s="298"/>
      <c r="I121" s="298"/>
      <c r="J121" s="299"/>
      <c r="K121" s="299"/>
      <c r="L121" s="299"/>
      <c r="M121" s="299"/>
      <c r="N121" s="637"/>
      <c r="O121" s="551"/>
      <c r="P121" s="641"/>
      <c r="Q121" s="331"/>
      <c r="R121" s="917"/>
      <c r="S121" s="768" t="str">
        <f>IF(OR($S$68="No",Skip2141,Skip3141),"",IF(Skip3338,"Skip lines 33 through 38.","Go to line 33."))</f>
        <v/>
      </c>
      <c r="T121" s="56"/>
    </row>
    <row r="122" spans="1:23" ht="12.75" customHeight="1">
      <c r="A122" s="389"/>
      <c r="B122" s="1167" t="s">
        <v>568</v>
      </c>
      <c r="C122" s="302"/>
      <c r="D122" s="244" t="s">
        <v>379</v>
      </c>
      <c r="E122" s="244"/>
      <c r="F122" s="244"/>
      <c r="G122" s="298"/>
      <c r="H122" s="298"/>
      <c r="I122" s="298"/>
      <c r="J122" s="888" t="s">
        <v>907</v>
      </c>
      <c r="K122" s="302" t="str">
        <f>B122</f>
        <v>33.</v>
      </c>
      <c r="L122" s="2685" t="str">
        <f>IF(OR($S$68="No",Skip2141,Skip3141,Skip3338),"",MIN(N88,'Sch. D'!N75))</f>
        <v/>
      </c>
      <c r="M122" s="640"/>
      <c r="N122" s="640"/>
      <c r="O122" s="551"/>
      <c r="P122" s="552"/>
      <c r="Q122" s="331"/>
      <c r="R122" s="917"/>
      <c r="S122" s="768"/>
      <c r="T122" s="56"/>
    </row>
    <row r="123" spans="1:23" ht="12.75" customHeight="1">
      <c r="A123" s="389"/>
      <c r="B123" s="1165">
        <v>34</v>
      </c>
      <c r="C123" s="302"/>
      <c r="D123" s="549" t="s">
        <v>986</v>
      </c>
      <c r="E123" s="244"/>
      <c r="F123" s="244"/>
      <c r="G123" s="298"/>
      <c r="H123" s="302" t="s">
        <v>1001</v>
      </c>
      <c r="I123" s="302">
        <f>B123</f>
        <v>34</v>
      </c>
      <c r="J123" s="2685" t="str">
        <f>IF(OR($S$68="No",Skip2141,Skip3141,Skip3338),"",SUM(L89,SchDTW_Line19))</f>
        <v/>
      </c>
      <c r="K123" s="302"/>
      <c r="L123" s="637"/>
      <c r="M123" s="637"/>
      <c r="N123" s="637"/>
      <c r="O123" s="551"/>
      <c r="P123" s="552"/>
      <c r="Q123" s="331"/>
      <c r="R123" s="917"/>
      <c r="S123" s="768"/>
      <c r="T123" s="56"/>
    </row>
    <row r="124" spans="1:23" ht="12.75" customHeight="1">
      <c r="A124" s="389"/>
      <c r="B124" s="1165">
        <v>35</v>
      </c>
      <c r="C124" s="302"/>
      <c r="D124" s="549" t="s">
        <v>987</v>
      </c>
      <c r="E124" s="244"/>
      <c r="F124" s="244"/>
      <c r="G124" s="298"/>
      <c r="H124" s="302" t="s">
        <v>923</v>
      </c>
      <c r="I124" s="302">
        <f>B124</f>
        <v>35</v>
      </c>
      <c r="J124" s="2685" t="str">
        <f>IF(OR($S$68="No",Skip2141,Skip3141,Skip3338),"",SchDTW_Line1)</f>
        <v/>
      </c>
      <c r="K124" s="302"/>
      <c r="L124" s="637"/>
      <c r="M124" s="637"/>
      <c r="N124" s="637"/>
      <c r="O124" s="551"/>
      <c r="P124" s="552"/>
      <c r="Q124" s="331"/>
      <c r="R124" s="917"/>
      <c r="S124" s="768"/>
      <c r="T124" s="56"/>
    </row>
    <row r="125" spans="1:23" ht="12.75" customHeight="1">
      <c r="A125" s="389"/>
      <c r="B125" s="1165">
        <v>36</v>
      </c>
      <c r="C125" s="302"/>
      <c r="D125" s="549" t="s">
        <v>1731</v>
      </c>
      <c r="E125" s="244"/>
      <c r="F125" s="244"/>
      <c r="G125" s="298"/>
      <c r="H125" s="298"/>
      <c r="I125" s="298"/>
      <c r="J125" s="551" t="s">
        <v>632</v>
      </c>
      <c r="K125" s="302">
        <f>B125</f>
        <v>36</v>
      </c>
      <c r="L125" s="2685" t="str">
        <f>IF(OR($S$68="No",Skip2141,Skip3141,Skip3338),"",IF(SUM(J123,-J124)&lt;=0,0,SUM(J123,-J124)))</f>
        <v/>
      </c>
      <c r="M125" s="640"/>
      <c r="N125" s="640"/>
      <c r="O125" s="551"/>
      <c r="P125" s="552"/>
      <c r="Q125" s="331"/>
      <c r="R125" s="917"/>
      <c r="S125" s="768"/>
      <c r="T125" s="56"/>
    </row>
    <row r="126" spans="1:23" ht="12.75" customHeight="1">
      <c r="B126" s="1165">
        <v>37</v>
      </c>
      <c r="C126" s="302"/>
      <c r="D126" s="549" t="s">
        <v>1730</v>
      </c>
      <c r="E126" s="244"/>
      <c r="F126" s="244"/>
      <c r="G126" s="298"/>
      <c r="H126" s="298"/>
      <c r="I126" s="298"/>
      <c r="J126" s="299"/>
      <c r="K126" s="299"/>
      <c r="L126" s="551" t="s">
        <v>730</v>
      </c>
      <c r="M126" s="551">
        <f>B126</f>
        <v>37</v>
      </c>
      <c r="N126" s="2685" t="str">
        <f>IF(OR($S$68="No",Skip2141,Skip3141,Skip3338),"",IF(L122-L125&lt;=0,0,SUM(L122,-L125)))</f>
        <v/>
      </c>
      <c r="O126" s="551"/>
      <c r="P126" s="552"/>
      <c r="Q126" s="331"/>
      <c r="R126" s="917"/>
      <c r="S126" s="768"/>
      <c r="T126" s="56"/>
    </row>
    <row r="127" spans="1:23" ht="12.75" customHeight="1">
      <c r="A127" s="1525"/>
      <c r="B127" s="1165">
        <v>38</v>
      </c>
      <c r="C127" s="302"/>
      <c r="D127" s="244" t="str">
        <f>"Multiply line 37 by "&amp;TEXT(R127,"0%")&amp;" ("&amp;TEXT(R127,"0.00")&amp;")"</f>
        <v>Multiply line 37 by 25% (0.25)</v>
      </c>
      <c r="E127" s="244"/>
      <c r="F127" s="244"/>
      <c r="G127" s="298"/>
      <c r="H127" s="298"/>
      <c r="I127" s="298"/>
      <c r="J127" s="299"/>
      <c r="K127" s="299"/>
      <c r="L127" s="299"/>
      <c r="M127" s="299"/>
      <c r="N127" s="551" t="s">
        <v>988</v>
      </c>
      <c r="O127" s="551">
        <f>B127</f>
        <v>38</v>
      </c>
      <c r="P127" s="2685" t="str">
        <f>IF(OR($S$68="No",Skip2141,Skip3141,Skip3338),"",ROUND((N126*R127),0))</f>
        <v/>
      </c>
      <c r="Q127" s="331"/>
      <c r="R127" s="917">
        <v>0.25</v>
      </c>
      <c r="S127" s="1531" t="b">
        <f>IF(OR(SchDLine18=0,SchDLine18=""),TRUE,FALSE)</f>
        <v>1</v>
      </c>
      <c r="T127" s="56"/>
    </row>
    <row r="128" spans="1:23" ht="12.75" customHeight="1" thickBot="1">
      <c r="A128" s="1525"/>
      <c r="B128" s="301"/>
      <c r="C128" s="302"/>
      <c r="D128" s="285" t="s">
        <v>1744</v>
      </c>
      <c r="E128" s="285"/>
      <c r="F128" s="285"/>
      <c r="G128" s="298"/>
      <c r="H128" s="298"/>
      <c r="I128" s="298"/>
      <c r="J128" s="299"/>
      <c r="K128" s="299"/>
      <c r="L128" s="299"/>
      <c r="M128" s="299"/>
      <c r="N128" s="637"/>
      <c r="O128" s="551"/>
      <c r="P128" s="641"/>
      <c r="Q128" s="331"/>
      <c r="R128" s="917"/>
      <c r="S128" s="768" t="str">
        <f>IF(OR($S$68="No",Skip2141,Skip3141,Skip3338),"",IF(Skip3941,"Skip lines 39 through 41.","Go to line 39."))</f>
        <v/>
      </c>
      <c r="T128" s="56"/>
      <c r="W128" s="1473" t="s">
        <v>989</v>
      </c>
    </row>
    <row r="129" spans="1:31" ht="12.75" customHeight="1">
      <c r="A129" s="1525"/>
      <c r="B129" s="1167" t="s">
        <v>1735</v>
      </c>
      <c r="C129" s="302"/>
      <c r="D129" s="549" t="s">
        <v>1734</v>
      </c>
      <c r="E129" s="244"/>
      <c r="F129" s="244"/>
      <c r="G129" s="298"/>
      <c r="H129" s="298"/>
      <c r="I129" s="298"/>
      <c r="J129" s="299"/>
      <c r="K129" s="299"/>
      <c r="L129" s="2687" t="s">
        <v>483</v>
      </c>
      <c r="M129" s="551" t="str">
        <f>B129</f>
        <v>39.</v>
      </c>
      <c r="N129" s="2685" t="str">
        <f>IF(OR($S$68="No",Skip2141,Skip3141,Skip3941),"",SUM(SchDTW_Line19,N102,$N$115,N119,N126))</f>
        <v/>
      </c>
      <c r="O129" s="551"/>
      <c r="P129" s="642"/>
      <c r="Q129" s="331"/>
      <c r="R129" s="917"/>
      <c r="S129" s="768"/>
      <c r="T129" s="56"/>
      <c r="W129" s="770" t="str">
        <f>SchDTW_Line19</f>
        <v/>
      </c>
      <c r="X129" s="771"/>
      <c r="Y129" s="771"/>
      <c r="Z129" s="771"/>
      <c r="AA129" s="771"/>
      <c r="AB129" s="771"/>
      <c r="AC129" s="771"/>
      <c r="AD129" s="771"/>
      <c r="AE129" s="772"/>
    </row>
    <row r="130" spans="1:31" ht="12.75" customHeight="1">
      <c r="A130" s="1525"/>
      <c r="B130" s="1167" t="s">
        <v>1737</v>
      </c>
      <c r="C130" s="302"/>
      <c r="D130" s="549" t="s">
        <v>1736</v>
      </c>
      <c r="E130" s="244"/>
      <c r="F130" s="244"/>
      <c r="G130" s="298"/>
      <c r="H130" s="298"/>
      <c r="I130" s="298"/>
      <c r="J130" s="299"/>
      <c r="K130" s="299"/>
      <c r="L130" s="2687" t="s">
        <v>1158</v>
      </c>
      <c r="M130" s="551" t="str">
        <f>B130</f>
        <v>40.</v>
      </c>
      <c r="N130" s="2685" t="str">
        <f>IF(OR($S$68="No",Skip2141,Skip3141,Skip3941),"",SUM(SchDTW_Line1,-N129))</f>
        <v/>
      </c>
      <c r="O130" s="551"/>
      <c r="P130" s="764"/>
      <c r="Q130" s="331"/>
      <c r="R130" s="917"/>
      <c r="S130" s="768"/>
      <c r="T130" s="56"/>
      <c r="W130" s="773" t="str">
        <f>IF(W129&lt;&gt;"",ROUND(W129,0),"")</f>
        <v/>
      </c>
      <c r="X130" s="774" t="s">
        <v>124</v>
      </c>
      <c r="Y130" s="1491" t="s">
        <v>894</v>
      </c>
      <c r="Z130" s="656" t="s">
        <v>739</v>
      </c>
      <c r="AA130" s="656" t="s">
        <v>740</v>
      </c>
      <c r="AB130" s="656" t="s">
        <v>124</v>
      </c>
      <c r="AC130" s="1491" t="s">
        <v>894</v>
      </c>
      <c r="AD130" s="656" t="s">
        <v>739</v>
      </c>
      <c r="AE130" s="659" t="s">
        <v>740</v>
      </c>
    </row>
    <row r="131" spans="1:31" ht="12.75" customHeight="1">
      <c r="A131" s="1525"/>
      <c r="B131" s="1167" t="s">
        <v>1738</v>
      </c>
      <c r="C131" s="302"/>
      <c r="D131" s="244" t="str">
        <f>"Multiply line 40 by "&amp;TEXT(R131,"0%")&amp;" ("&amp;TEXT(R131,"0.00")&amp;")"</f>
        <v>Multiply line 40 by 28% (0.28)</v>
      </c>
      <c r="E131" s="244"/>
      <c r="F131" s="244"/>
      <c r="G131" s="298"/>
      <c r="H131" s="298"/>
      <c r="I131" s="298"/>
      <c r="J131" s="299"/>
      <c r="K131" s="299"/>
      <c r="L131" s="299"/>
      <c r="M131" s="299"/>
      <c r="N131" s="551" t="s">
        <v>1007</v>
      </c>
      <c r="O131" s="551" t="str">
        <f>B131</f>
        <v>41.</v>
      </c>
      <c r="P131" s="2685" t="str">
        <f>IF(OR($S$68="No",Skip2141,Skip3141,Skip3941),"",ROUND(N130*R131,0))</f>
        <v/>
      </c>
      <c r="Q131" s="331"/>
      <c r="R131" s="917">
        <v>0.28000000000000003</v>
      </c>
      <c r="S131" s="985" t="s">
        <v>149</v>
      </c>
      <c r="T131" s="866"/>
      <c r="W131" s="773" t="str">
        <f>IF(W129="","",IF(W129&gt;=3000,INT(W130/50),IF(W129&gt;=25,INT(W130/25),IF(W129&gt;=5,INT((W130+5)/10),0))))</f>
        <v/>
      </c>
      <c r="X131" s="876" t="e">
        <f>LOOKUP(W132,'Tax Table'!$A$2:$A$2063,'Tax Table'!$C$2:$C$2063)</f>
        <v>#N/A</v>
      </c>
      <c r="Y131" s="876" t="e">
        <f>LOOKUP(W132,'Tax Table'!$A$2:$A$2063,'Tax Table'!$D$2:$D$2063)</f>
        <v>#N/A</v>
      </c>
      <c r="Z131" s="876" t="e">
        <f>LOOKUP(W132,'Tax Table'!$A$2:$A$2063,'Tax Table'!$E$2:$E$2063)</f>
        <v>#N/A</v>
      </c>
      <c r="AA131" s="876" t="e">
        <f>LOOKUP(W132,'Tax Table'!$A$2:$A$2063,'Tax Table'!$F$2:$F$2063)</f>
        <v>#N/A</v>
      </c>
      <c r="AB131" s="876" t="str">
        <f>"---"</f>
        <v>---</v>
      </c>
      <c r="AC131" s="876" t="str">
        <f>"---"</f>
        <v>---</v>
      </c>
      <c r="AD131" s="876" t="str">
        <f>"---"</f>
        <v>---</v>
      </c>
      <c r="AE131" s="877" t="str">
        <f>"---"</f>
        <v>---</v>
      </c>
    </row>
    <row r="132" spans="1:31" ht="12.75" customHeight="1">
      <c r="A132" s="1525"/>
      <c r="B132" s="1167" t="s">
        <v>1739</v>
      </c>
      <c r="C132" s="302"/>
      <c r="D132" s="507" t="s">
        <v>3264</v>
      </c>
      <c r="E132" s="244"/>
      <c r="F132" s="244"/>
      <c r="G132" s="298"/>
      <c r="H132" s="298"/>
      <c r="I132" s="298"/>
      <c r="J132" s="299"/>
      <c r="K132" s="299"/>
      <c r="L132" s="299"/>
      <c r="M132" s="299"/>
      <c r="N132" s="551"/>
      <c r="O132" s="551"/>
      <c r="P132" s="635"/>
      <c r="Q132" s="331"/>
      <c r="R132" s="917"/>
      <c r="S132" s="985" t="s">
        <v>661</v>
      </c>
      <c r="T132" s="866"/>
      <c r="W132" s="775" t="str">
        <f>IF(W131="","",IF(W130&gt;=3000,50*W131,IF(W130&gt;=25,25*W131,IF(W130&gt;=5,(10*W131)-5,W130))))</f>
        <v/>
      </c>
      <c r="X132" s="876" t="e">
        <f>LOOKUP(W132,'Tax Table'!$A$2:$A$2063,'Tax Table'!$C$2:$C$2063)</f>
        <v>#N/A</v>
      </c>
      <c r="Y132" s="876" t="e">
        <f>LOOKUP(W132,'Tax Table'!$A$2:$A$2063,'Tax Table'!$D$2:$D$2063)</f>
        <v>#N/A</v>
      </c>
      <c r="Z132" s="876" t="e">
        <f>LOOKUP(W132,'Tax Table'!$A$2:$A$2063,'Tax Table'!$E$2:$E$2063)</f>
        <v>#N/A</v>
      </c>
      <c r="AA132" s="876" t="e">
        <f>LOOKUP(W132,'Tax Table'!$A$2:$A$2063,'Tax Table'!$F$2:$F$2063)</f>
        <v>#N/A</v>
      </c>
      <c r="AB132" s="876" t="e">
        <f>IF(W129&lt;SectA_a3,"---",IF(W129&lt;=SectA_a4,ROUND((W129*(SectA_b4/100)-SectA_d4),0),IF(W129&lt;=SectA_a5,ROUND((W129*(SectA_b5/100)-SectA_d5),0),IF(W129&lt;=SectA_a6,ROUND((W129*(SectA_b6/100)-SectA_d6),0),ROUND((W129*(SectA_b7/100)-SectA_d7),0)))))</f>
        <v>#VALUE!</v>
      </c>
      <c r="AC132" s="876" t="e">
        <f>IF(W129&lt;SectB_a2,"---",IF(W129&lt;=SectB_a3,ROUND((W129*(SectB_b3/100)-SectB_d3),0),IF(W129&lt;=SectB_a4,ROUND((W129*(SectB_b4/100)-SectB_d4),0),IF(W129&lt;=SectB_a5,ROUND((W129*(SectB_b5/100)-SectB_d5),0),IF(W129&lt;=SectB_a6,ROUND((W129*(SectB_b6/100)-SectB_d6),0),ROUND((W129*(SectB_b7/100)-SectB_d7),0))))))</f>
        <v>#VALUE!</v>
      </c>
      <c r="AD132" s="876" t="e">
        <f>IF(W129&lt;SectC_a2,"---",IF(W129&lt;=SectC_a3,ROUND((W129*(SectC_b3/100)-SectC_d3),0),IF(W129&lt;=SectC_a4,ROUND((W129*(SectC_b4/100)-SectC_d4),0),IF(W129&lt;=SectC_a5,ROUND((W129*(SectC_b5/100)-SectC_d5),0),ROUND((W129*(SectC_b6/100)-SectC_d6),0)))))</f>
        <v>#VALUE!</v>
      </c>
      <c r="AE132" s="877" t="e">
        <f>IF(W129&lt;SectD_a2,"---",IF(W129&lt;=SectD_a3,ROUND((W129*(SectD_b3/100)-SectD_d3),0),IF(W129&lt;=SectD_a4,ROUND((W129*(SectD_b4/100)-SectD_d4),0),IF(W129&lt;=SectD_a5,ROUND((W129*(SectD_b5/100)-SectD_d5),0),IF(W129&lt;=SectD_a6,ROUND((W129*(SectD_b6/100)-SectD_d6),0),ROUND((W129*(SectD_b7/100)-SectD_d7),0))))))</f>
        <v>#VALUE!</v>
      </c>
    </row>
    <row r="133" spans="1:31" ht="12.75" customHeight="1">
      <c r="A133" s="1525"/>
      <c r="B133" s="1166"/>
      <c r="C133" s="302"/>
      <c r="D133" s="507" t="s">
        <v>3263</v>
      </c>
      <c r="E133" s="244"/>
      <c r="F133" s="244"/>
      <c r="G133" s="298"/>
      <c r="H133" s="298"/>
      <c r="I133" s="298"/>
      <c r="J133" s="299"/>
      <c r="K133" s="299"/>
      <c r="L133" s="302"/>
      <c r="M133" s="302"/>
      <c r="N133" s="551" t="s">
        <v>730</v>
      </c>
      <c r="O133" s="551" t="str">
        <f>B132</f>
        <v>42.</v>
      </c>
      <c r="P133" s="2685" t="str">
        <f>IF(S133&lt;&gt;"",S133,IF($S$68="No","",IF(SchDTW_Line19&lt;100000,W133,W134)))</f>
        <v/>
      </c>
      <c r="Q133" s="331"/>
      <c r="R133" s="917"/>
      <c r="S133" s="2686"/>
      <c r="T133" s="866"/>
      <c r="W133" s="658" t="str">
        <f>IF(File_Single&lt;&gt;"",X132,IF(File_Marr_Joint&lt;&gt;"",Y132,IF(File_Marr_Sep&lt;&gt;"", Z132,IF(File_Head&lt;&gt;"",AA132,IF(File_Qual_Widow&lt;&gt;"",Y132,"Filing status?")))))</f>
        <v>Filing status?</v>
      </c>
      <c r="X133" s="656" t="str">
        <f>"&lt;100k"</f>
        <v>&lt;100k</v>
      </c>
      <c r="Y133" s="1190"/>
      <c r="Z133" s="1190"/>
      <c r="AA133" s="1190"/>
      <c r="AB133" s="1190"/>
      <c r="AC133" s="1190"/>
      <c r="AD133" s="656"/>
      <c r="AE133" s="659"/>
    </row>
    <row r="134" spans="1:31" ht="12.75" customHeight="1" thickBot="1">
      <c r="A134" s="1525"/>
      <c r="B134" s="1167" t="s">
        <v>1740</v>
      </c>
      <c r="C134" s="302"/>
      <c r="D134" s="549" t="s">
        <v>1745</v>
      </c>
      <c r="E134" s="244"/>
      <c r="F134" s="244"/>
      <c r="G134" s="298"/>
      <c r="H134" s="302"/>
      <c r="I134" s="302"/>
      <c r="J134" s="298"/>
      <c r="K134" s="298"/>
      <c r="L134" s="298"/>
      <c r="M134" s="298"/>
      <c r="N134" s="551" t="s">
        <v>1007</v>
      </c>
      <c r="O134" s="551" t="str">
        <f>B134</f>
        <v>43.</v>
      </c>
      <c r="P134" s="2685" t="str">
        <f>IF($S$68="No","",SUM(P116,P120,P127,P131,P133))</f>
        <v/>
      </c>
      <c r="Q134" s="331"/>
      <c r="R134" s="917"/>
      <c r="S134" s="769"/>
      <c r="T134" s="866"/>
      <c r="W134" s="657" t="str">
        <f>IF(File_Single&lt;&gt;"",AB132,IF(OR(File_Marr_Joint&lt;&gt;"",File_Qual_Widow&lt;&gt;""),AC132,IF(File_Marr_Sep&lt;&gt;"", AD132,IF(File_Head&lt;&gt;"",AE132,"Filing status?"))))</f>
        <v>Filing status?</v>
      </c>
      <c r="X134" s="776" t="str">
        <f>"&gt;=100k"</f>
        <v>&gt;=100k</v>
      </c>
      <c r="Y134" s="776"/>
      <c r="Z134" s="776"/>
      <c r="AA134" s="776"/>
      <c r="AB134" s="776"/>
      <c r="AC134" s="776"/>
      <c r="AD134" s="776"/>
      <c r="AE134" s="777"/>
    </row>
    <row r="135" spans="1:31" ht="12.75" customHeight="1">
      <c r="A135" s="1525"/>
      <c r="B135" s="1167" t="s">
        <v>1741</v>
      </c>
      <c r="C135" s="302"/>
      <c r="D135" s="549" t="s">
        <v>3266</v>
      </c>
      <c r="E135" s="244"/>
      <c r="F135" s="244"/>
      <c r="G135" s="298"/>
      <c r="H135" s="302"/>
      <c r="I135" s="302"/>
      <c r="J135" s="298"/>
      <c r="K135" s="298"/>
      <c r="L135" s="298"/>
      <c r="M135" s="298"/>
      <c r="N135" s="551"/>
      <c r="O135" s="551"/>
      <c r="P135" s="635"/>
      <c r="Q135" s="331"/>
      <c r="R135" s="917"/>
      <c r="S135" s="769"/>
      <c r="T135" s="866"/>
      <c r="W135" s="307"/>
      <c r="X135" s="656"/>
      <c r="Y135" s="656"/>
      <c r="Z135" s="656"/>
      <c r="AA135" s="656"/>
      <c r="AB135" s="656"/>
      <c r="AC135" s="656"/>
      <c r="AD135" s="656"/>
      <c r="AE135" s="656"/>
    </row>
    <row r="136" spans="1:31" ht="12.75" customHeight="1">
      <c r="A136" s="389"/>
      <c r="B136" s="1166"/>
      <c r="C136" s="302"/>
      <c r="D136" s="549" t="s">
        <v>3265</v>
      </c>
      <c r="E136" s="244"/>
      <c r="F136" s="244"/>
      <c r="G136" s="298"/>
      <c r="H136" s="298"/>
      <c r="I136" s="298"/>
      <c r="J136" s="299"/>
      <c r="K136" s="299"/>
      <c r="L136" s="302"/>
      <c r="M136" s="302"/>
      <c r="N136" s="551" t="s">
        <v>596</v>
      </c>
      <c r="O136" s="551" t="str">
        <f>B135</f>
        <v>44.</v>
      </c>
      <c r="P136" s="2685" t="str">
        <f>IF(S136&lt;&gt;"",S136,IF($S$68="No","",IF(SchDTW_Line1&lt;100000,W143,W144)))</f>
        <v/>
      </c>
      <c r="Q136" s="331"/>
      <c r="R136" s="917"/>
      <c r="S136" s="2686"/>
      <c r="T136" s="866"/>
    </row>
    <row r="137" spans="1:31" ht="12.75" customHeight="1">
      <c r="A137" s="389"/>
      <c r="B137" s="1167" t="s">
        <v>1742</v>
      </c>
      <c r="C137" s="302"/>
      <c r="D137" s="285" t="s">
        <v>1746</v>
      </c>
      <c r="E137" s="518"/>
      <c r="F137" s="518"/>
      <c r="G137" s="298"/>
      <c r="H137" s="298"/>
      <c r="I137" s="298"/>
      <c r="J137" s="299"/>
      <c r="K137" s="299"/>
      <c r="L137" s="302"/>
      <c r="M137" s="302"/>
      <c r="N137" s="637"/>
      <c r="O137" s="551"/>
      <c r="P137" s="552"/>
      <c r="Q137" s="331"/>
      <c r="R137" s="917"/>
      <c r="S137" s="769"/>
      <c r="T137" s="866"/>
    </row>
    <row r="138" spans="1:31" ht="12.75" customHeight="1" thickBot="1">
      <c r="A138" s="1525"/>
      <c r="B138" s="1166"/>
      <c r="C138" s="302"/>
      <c r="D138" s="507" t="s">
        <v>3267</v>
      </c>
      <c r="E138" s="518"/>
      <c r="F138" s="518"/>
      <c r="G138" s="298"/>
      <c r="H138" s="298"/>
      <c r="I138" s="298"/>
      <c r="J138" s="299"/>
      <c r="K138" s="299"/>
      <c r="L138" s="302"/>
      <c r="M138" s="302"/>
      <c r="N138" s="637"/>
      <c r="O138" s="551"/>
      <c r="P138" s="552"/>
      <c r="Q138" s="331"/>
      <c r="R138" s="917"/>
      <c r="S138" s="769"/>
      <c r="T138" s="866"/>
      <c r="W138" s="64" t="s">
        <v>990</v>
      </c>
    </row>
    <row r="139" spans="1:31" ht="12" customHeight="1">
      <c r="A139" s="389"/>
      <c r="B139" s="301"/>
      <c r="C139" s="302"/>
      <c r="D139" s="507" t="s">
        <v>991</v>
      </c>
      <c r="E139" s="244"/>
      <c r="F139" s="244"/>
      <c r="G139" s="298"/>
      <c r="H139" s="298"/>
      <c r="I139" s="298"/>
      <c r="J139" s="299"/>
      <c r="K139" s="299"/>
      <c r="L139" s="302"/>
      <c r="M139" s="302"/>
      <c r="N139" s="551"/>
      <c r="O139" s="551" t="str">
        <f>B137</f>
        <v>45.</v>
      </c>
      <c r="P139" s="2685" t="str">
        <f>IF(S139&lt;&gt;"",S139,IF($S$68="No","",MIN(P134,P136)))</f>
        <v/>
      </c>
      <c r="Q139" s="331"/>
      <c r="R139" s="917"/>
      <c r="S139" s="2686"/>
      <c r="T139" s="866"/>
      <c r="W139" s="770" t="str">
        <f>SchDTW_Line1</f>
        <v/>
      </c>
      <c r="X139" s="771"/>
      <c r="Y139" s="771"/>
      <c r="Z139" s="771"/>
      <c r="AA139" s="771"/>
      <c r="AB139" s="771"/>
      <c r="AC139" s="771"/>
      <c r="AD139" s="771"/>
      <c r="AE139" s="772"/>
    </row>
    <row r="140" spans="1:31" ht="14.25" customHeight="1">
      <c r="A140" s="389"/>
      <c r="B140" s="301"/>
      <c r="C140" s="302"/>
      <c r="D140" s="263"/>
      <c r="E140" s="263"/>
      <c r="F140" s="263"/>
      <c r="G140" s="429"/>
      <c r="H140" s="429"/>
      <c r="I140" s="429"/>
      <c r="J140" s="326"/>
      <c r="K140" s="326"/>
      <c r="L140" s="762"/>
      <c r="M140" s="762"/>
      <c r="N140" s="763"/>
      <c r="O140" s="551"/>
      <c r="P140" s="552"/>
      <c r="Q140" s="331"/>
      <c r="R140" s="917"/>
      <c r="S140" s="769"/>
      <c r="T140" s="866"/>
      <c r="W140" s="773" t="str">
        <f>IF(W139&lt;&gt;"",ROUND(W139,0),"")</f>
        <v/>
      </c>
      <c r="X140" s="774" t="s">
        <v>124</v>
      </c>
      <c r="Y140" s="1491" t="s">
        <v>894</v>
      </c>
      <c r="Z140" s="656" t="s">
        <v>739</v>
      </c>
      <c r="AA140" s="656" t="s">
        <v>740</v>
      </c>
      <c r="AB140" s="656" t="s">
        <v>124</v>
      </c>
      <c r="AC140" s="1491" t="s">
        <v>894</v>
      </c>
      <c r="AD140" s="656" t="s">
        <v>739</v>
      </c>
      <c r="AE140" s="659" t="s">
        <v>740</v>
      </c>
    </row>
    <row r="141" spans="1:31" ht="15.75">
      <c r="A141" s="389"/>
      <c r="B141" s="301"/>
      <c r="C141" s="302"/>
      <c r="D141" s="549" t="s">
        <v>973</v>
      </c>
      <c r="E141" s="244"/>
      <c r="F141" s="244"/>
      <c r="G141" s="298"/>
      <c r="H141" s="298"/>
      <c r="I141" s="298"/>
      <c r="J141" s="299"/>
      <c r="K141" s="299"/>
      <c r="L141" s="302"/>
      <c r="M141" s="302"/>
      <c r="N141" s="637"/>
      <c r="O141" s="551"/>
      <c r="P141" s="552"/>
      <c r="Q141" s="331"/>
      <c r="R141" s="917"/>
      <c r="S141" s="759"/>
      <c r="T141" s="56"/>
      <c r="W141" s="773" t="str">
        <f>IF(W139="","",IF(W139&gt;=3000,INT(W140/50),IF(W139&gt;=25,INT(W140/25),IF(W139&gt;=5,INT((W140+5)/10),0))))</f>
        <v/>
      </c>
      <c r="X141" s="876" t="e">
        <f>LOOKUP(W142,'Tax Table'!$A$2:$A$2063,'Tax Table'!$C$2:$C$2063)</f>
        <v>#N/A</v>
      </c>
      <c r="Y141" s="876" t="e">
        <f>LOOKUP(W142,'Tax Table'!$A$2:$A$2063,'Tax Table'!$D$2:$D$2063)</f>
        <v>#N/A</v>
      </c>
      <c r="Z141" s="876" t="e">
        <f>LOOKUP(W142,'Tax Table'!$A$2:$A$2063,'Tax Table'!$E$2:$E$2063)</f>
        <v>#N/A</v>
      </c>
      <c r="AA141" s="876" t="e">
        <f>LOOKUP(W142,'Tax Table'!$A$2:$A$2063,'Tax Table'!$F$2:$F$2063)</f>
        <v>#N/A</v>
      </c>
      <c r="AB141" s="876" t="str">
        <f>"---"</f>
        <v>---</v>
      </c>
      <c r="AC141" s="876" t="str">
        <f>"---"</f>
        <v>---</v>
      </c>
      <c r="AD141" s="876" t="str">
        <f>"---"</f>
        <v>---</v>
      </c>
      <c r="AE141" s="877" t="str">
        <f>"---"</f>
        <v>---</v>
      </c>
    </row>
    <row r="142" spans="1:31" ht="12.75" customHeight="1">
      <c r="A142" s="389"/>
      <c r="B142" s="301"/>
      <c r="C142" s="302"/>
      <c r="D142" s="549" t="s">
        <v>974</v>
      </c>
      <c r="E142" s="244"/>
      <c r="F142" s="244"/>
      <c r="G142" s="298"/>
      <c r="H142" s="298"/>
      <c r="I142" s="298"/>
      <c r="J142" s="299"/>
      <c r="K142" s="299"/>
      <c r="L142" s="302"/>
      <c r="M142" s="302"/>
      <c r="N142" s="637"/>
      <c r="O142" s="551"/>
      <c r="P142" s="552"/>
      <c r="Q142" s="331"/>
      <c r="R142" s="917"/>
      <c r="S142" s="759"/>
      <c r="T142" s="56"/>
      <c r="W142" s="775" t="str">
        <f>IF(W141="","",IF(W140&gt;=3000,50*W141,IF(W140&gt;=25,25*W141,IF(W140&gt;=5,(10*W141)-5,W140))))</f>
        <v/>
      </c>
      <c r="X142" s="876" t="e">
        <f>LOOKUP(W142,'Tax Table'!$A$2:$A$2063,'Tax Table'!$C$2:$C$2063)</f>
        <v>#N/A</v>
      </c>
      <c r="Y142" s="876" t="e">
        <f>LOOKUP(W142,'Tax Table'!$A$2:$A$2063,'Tax Table'!$D$2:$D$2063)</f>
        <v>#N/A</v>
      </c>
      <c r="Z142" s="876" t="e">
        <f>LOOKUP(W142,'Tax Table'!$A$2:$A$2063,'Tax Table'!$E$2:$E$2063)</f>
        <v>#N/A</v>
      </c>
      <c r="AA142" s="876" t="e">
        <f>LOOKUP(W142,'Tax Table'!$A$2:$A$2063,'Tax Table'!$F$2:$F$2063)</f>
        <v>#N/A</v>
      </c>
      <c r="AB142" s="876" t="e">
        <f>IF(W139&lt;SectA_a3,"---",IF(W139&lt;=SectA_a4,ROUND((W139*(SectA_b4/100)-SectA_d4),0),IF(W139&lt;=SectA_a5,ROUND((W139*(SectA_b5/100)-SectA_d5),0),IF(W139&lt;=SectA_a6,ROUND((W139*(SectA_b6/100)-SectA_d6),0),ROUND((W139*(SectA_b7/100)-SectA_d7),0)))))</f>
        <v>#VALUE!</v>
      </c>
      <c r="AC142" s="876" t="e">
        <f>IF(W139&lt;SectB_a2,"---",IF(W139&lt;=SectB_a3,ROUND((W139*(SectB_b3/100)-SectB_d3),0),IF(W139&lt;=SectB_a4,ROUND((W139*(SectB_b4/100)-SectB_d4),0),IF(W139&lt;=SectB_a5,ROUND((W139*(SectB_b5/100)-SectB_d5),0),IF(W139&lt;=SectB_a6,ROUND((W139*(SectB_b6/100)-SectB_d6),0),ROUND((W139*(SectB_b7/100)-SectB_d7),0))))))</f>
        <v>#VALUE!</v>
      </c>
      <c r="AD142" s="876" t="e">
        <f>IF(W139&lt;SectC_a2,"---",IF(W139&lt;=SectC_a3,ROUND((W139*(SectC_b3/100)-SectC_d3),0),IF(W139&lt;=SectC_a4,ROUND((W139*(SectC_b4/100)-SectC_d4),0),IF(W139&lt;=SectC_a5,ROUND((W139*(SectC_b5/100)-SectC_d5),0),ROUND((W139*(SectC_b6/100)-SectC_d6),0)))))</f>
        <v>#VALUE!</v>
      </c>
      <c r="AE142" s="877" t="e">
        <f>IF(W139&lt;SectD_a2,"---",IF(W139&lt;=SectD_a3,ROUND((W139*(SectD_b3/100)-SectD_d3),0),IF(W139&lt;=SectD_a4,ROUND((W139*(SectD_b4/100)-SectD_d4),0),IF(W139&lt;=SectD_a5,ROUND((W139*(SectD_b5/100)-SectD_d5),0),IF(W139&lt;=SectD_a6,ROUND((W139*(SectD_b6/100)-SectD_d6),0),ROUND((W139*(SectD_b7/100)-SectD_d7),0))))))</f>
        <v>#VALUE!</v>
      </c>
    </row>
    <row r="143" spans="1:31" ht="12" customHeight="1">
      <c r="A143" s="389"/>
      <c r="B143" s="301"/>
      <c r="C143" s="302"/>
      <c r="D143" s="549" t="s">
        <v>975</v>
      </c>
      <c r="E143" s="244"/>
      <c r="F143" s="244"/>
      <c r="G143" s="298"/>
      <c r="H143" s="298"/>
      <c r="I143" s="298"/>
      <c r="J143" s="299"/>
      <c r="K143" s="299"/>
      <c r="L143" s="302"/>
      <c r="M143" s="302"/>
      <c r="N143" s="637"/>
      <c r="O143" s="551"/>
      <c r="P143" s="552"/>
      <c r="Q143" s="331"/>
      <c r="R143" s="917"/>
      <c r="S143" s="759"/>
      <c r="T143" s="56"/>
      <c r="W143" s="658" t="str">
        <f>IF(File_Single&lt;&gt;"",X142,IF(File_Marr_Joint&lt;&gt;"",Y142,IF(File_Marr_Sep&lt;&gt;"", Z142,IF(File_Head&lt;&gt;"",AA142,IF(File_Qual_Widow&lt;&gt;"",Y142,"Filing status?")))))</f>
        <v>Filing status?</v>
      </c>
      <c r="X143" s="656" t="str">
        <f>"&lt;100k"</f>
        <v>&lt;100k</v>
      </c>
      <c r="Y143" s="1190"/>
      <c r="Z143" s="1190"/>
      <c r="AA143" s="1190"/>
      <c r="AB143" s="1190"/>
      <c r="AC143" s="1190"/>
      <c r="AD143" s="656"/>
      <c r="AE143" s="659"/>
    </row>
    <row r="144" spans="1:31" ht="13.5" thickBot="1">
      <c r="A144" s="389"/>
      <c r="B144" s="553"/>
      <c r="C144" s="556"/>
      <c r="D144" s="554"/>
      <c r="E144" s="554"/>
      <c r="F144" s="554"/>
      <c r="G144" s="555"/>
      <c r="H144" s="556"/>
      <c r="I144" s="556"/>
      <c r="J144" s="555"/>
      <c r="K144" s="555"/>
      <c r="L144" s="555"/>
      <c r="M144" s="555"/>
      <c r="N144" s="555"/>
      <c r="O144" s="555"/>
      <c r="P144" s="555"/>
      <c r="Q144" s="555"/>
      <c r="R144" s="917"/>
      <c r="S144" s="759"/>
      <c r="T144" s="408"/>
      <c r="W144" s="657" t="str">
        <f>IF(File_Single&lt;&gt;"",AB142,IF(OR(File_Marr_Joint&lt;&gt;"",File_Qual_Widow&lt;&gt;""),AC142,IF(File_Marr_Sep&lt;&gt;"", AD142,IF(File_Head&lt;&gt;"",AE142,"Filing status?"))))</f>
        <v>Filing status?</v>
      </c>
      <c r="X144" s="776" t="str">
        <f>"&gt;=100k"</f>
        <v>&gt;=100k</v>
      </c>
      <c r="Y144" s="776"/>
      <c r="Z144" s="776"/>
      <c r="AA144" s="776"/>
      <c r="AB144" s="776"/>
      <c r="AC144" s="776"/>
      <c r="AD144" s="776"/>
      <c r="AE144" s="777"/>
    </row>
    <row r="145" spans="1:20" ht="16.5" thickTop="1">
      <c r="A145" s="35"/>
      <c r="B145" s="36"/>
      <c r="C145" s="36"/>
      <c r="D145" s="360"/>
      <c r="E145" s="360"/>
      <c r="F145" s="360"/>
      <c r="G145" s="35"/>
      <c r="H145" s="35"/>
      <c r="I145" s="35"/>
      <c r="J145" s="1691" t="s">
        <v>1554</v>
      </c>
      <c r="K145" s="170"/>
      <c r="L145" s="170"/>
      <c r="M145" s="170"/>
      <c r="N145" s="170"/>
      <c r="O145" s="170"/>
      <c r="P145" s="170"/>
      <c r="Q145" s="170"/>
      <c r="R145" s="717"/>
      <c r="S145" s="408"/>
      <c r="T145" s="408"/>
    </row>
    <row r="146" spans="1:20">
      <c r="A146" s="389"/>
      <c r="B146" s="1687"/>
      <c r="C146" s="1687"/>
      <c r="D146" s="1688"/>
      <c r="E146" s="1688"/>
      <c r="F146" s="1688"/>
      <c r="G146" s="1689"/>
      <c r="H146" s="1689"/>
      <c r="I146" s="1689"/>
      <c r="J146" s="1690"/>
      <c r="K146" s="1690"/>
      <c r="L146" s="1690"/>
      <c r="M146" s="170"/>
      <c r="N146" s="1690"/>
      <c r="O146" s="170"/>
      <c r="P146" s="170"/>
      <c r="Q146" s="170"/>
      <c r="R146" s="170"/>
      <c r="S146" s="408"/>
      <c r="T146" s="408"/>
    </row>
    <row r="147" spans="1:20" ht="13.5" thickBot="1">
      <c r="B147" s="6"/>
      <c r="C147" s="6"/>
      <c r="D147" s="22"/>
      <c r="E147" s="22"/>
      <c r="F147" s="22"/>
      <c r="G147" s="7"/>
      <c r="H147" s="7"/>
      <c r="I147" s="7"/>
      <c r="J147" s="8"/>
      <c r="K147" s="8"/>
      <c r="L147" s="8"/>
      <c r="M147" s="342"/>
      <c r="N147" s="8"/>
      <c r="O147" s="342"/>
      <c r="P147" s="342"/>
      <c r="Q147" s="342"/>
      <c r="R147" s="342"/>
      <c r="S147" s="11"/>
      <c r="T147" s="11"/>
    </row>
    <row r="148" spans="1:20" ht="14.25" thickTop="1" thickBot="1">
      <c r="D148" s="4884" t="s">
        <v>515</v>
      </c>
      <c r="E148" s="5072"/>
      <c r="F148" s="5072"/>
      <c r="G148" s="5072"/>
      <c r="H148" s="5073"/>
      <c r="I148" s="929"/>
      <c r="J148" s="8"/>
      <c r="K148" s="8"/>
      <c r="L148" s="342"/>
      <c r="M148" s="8"/>
      <c r="N148" s="342"/>
      <c r="O148" s="342"/>
      <c r="P148" s="8"/>
      <c r="Q148" s="342"/>
      <c r="R148" s="11"/>
      <c r="S148" s="11"/>
      <c r="T148" s="11"/>
    </row>
    <row r="149" spans="1:20" ht="14.25" thickTop="1" thickBot="1">
      <c r="D149" s="22"/>
      <c r="E149" s="22"/>
      <c r="F149" s="7"/>
      <c r="G149" s="7"/>
      <c r="H149" s="8"/>
      <c r="I149" s="8"/>
      <c r="J149" s="8"/>
      <c r="K149" s="8"/>
      <c r="L149" s="342"/>
      <c r="M149" s="8"/>
      <c r="N149" s="342"/>
      <c r="O149" s="342"/>
      <c r="P149" s="8"/>
      <c r="Q149" s="342"/>
      <c r="R149" s="11"/>
      <c r="S149" s="11"/>
      <c r="T149" s="11"/>
    </row>
    <row r="150" spans="1:20" ht="14.25" thickTop="1" thickBot="1">
      <c r="D150" s="4884" t="s">
        <v>112</v>
      </c>
      <c r="E150" s="5072"/>
      <c r="F150" s="5072"/>
      <c r="G150" s="5072"/>
      <c r="H150" s="5073"/>
      <c r="I150" s="929"/>
      <c r="J150" s="8"/>
      <c r="K150" s="8"/>
      <c r="L150" s="342"/>
      <c r="M150" s="8"/>
      <c r="N150" s="342"/>
      <c r="O150" s="342"/>
      <c r="P150" s="8"/>
      <c r="Q150" s="342"/>
      <c r="R150" s="11"/>
      <c r="T150" s="11"/>
    </row>
    <row r="151" spans="1:20" ht="13.5" thickTop="1"/>
  </sheetData>
  <sheetProtection password="F07E" sheet="1" objects="1" scenarios="1"/>
  <mergeCells count="6">
    <mergeCell ref="S69:S70"/>
    <mergeCell ref="D148:H148"/>
    <mergeCell ref="D150:H150"/>
    <mergeCell ref="B71:C71"/>
    <mergeCell ref="B73:C73"/>
    <mergeCell ref="D82:H82"/>
  </mergeCells>
  <phoneticPr fontId="12" type="noConversion"/>
  <conditionalFormatting sqref="G48:M60 G61:N62 B40:O40 Q40:R62 O41:P49 E47:M47 B48:C49 E48:F49 O51:P51 O50 O53:P54 O52 O56:P56 O55 O58:P62 O57 B35:F35 G35:N36 B34:C34 E34:F34 B5:O6 B16:P16 M17:N17 Q5:R8 O20:R20 M20 E23:F23 O23:R23 Q16:R18 B41:M46 B50:F61 O34:P36 M26:N26 Q25:R26 O29:R30 Q32:R36 B9 B7:C8 E7:O8 F9:O9 B11:R14 D10:O10">
    <cfRule type="expression" dxfId="1212" priority="314" stopIfTrue="1">
      <formula>IF($R$64&lt;&gt;"",1,0)</formula>
    </cfRule>
  </conditionalFormatting>
  <conditionalFormatting sqref="S68">
    <cfRule type="cellIs" dxfId="1211" priority="316" stopIfTrue="1" operator="equal">
      <formula>"Yes"</formula>
    </cfRule>
  </conditionalFormatting>
  <conditionalFormatting sqref="B73:C73">
    <cfRule type="expression" dxfId="1210" priority="319" stopIfTrue="1">
      <formula>IF(U73&gt;0,1,0)</formula>
    </cfRule>
  </conditionalFormatting>
  <conditionalFormatting sqref="E73">
    <cfRule type="expression" dxfId="1209" priority="311" stopIfTrue="1">
      <formula>IF($U73&gt;0,TRUE,FALSE)</formula>
    </cfRule>
  </conditionalFormatting>
  <conditionalFormatting sqref="B47:C47">
    <cfRule type="expression" dxfId="1208" priority="308" stopIfTrue="1">
      <formula>IF($R$64&lt;&gt;"",1,0)</formula>
    </cfRule>
  </conditionalFormatting>
  <conditionalFormatting sqref="C70">
    <cfRule type="expression" dxfId="1207" priority="306">
      <formula>IF(OR($U71&gt;0,$U72&gt;0,$U73&gt;0),TRUE,FALSE)</formula>
    </cfRule>
  </conditionalFormatting>
  <conditionalFormatting sqref="C67">
    <cfRule type="expression" dxfId="1206" priority="305">
      <formula>IF($U70&gt;0,1,0)</formula>
    </cfRule>
  </conditionalFormatting>
  <conditionalFormatting sqref="E71">
    <cfRule type="expression" dxfId="1205" priority="304">
      <formula>IF(OR($U71&gt;0,$U72&gt;0),TRUE,FALSE)</formula>
    </cfRule>
  </conditionalFormatting>
  <conditionalFormatting sqref="B67">
    <cfRule type="expression" dxfId="1204" priority="303">
      <formula>IF($U70&gt;0,1,0)</formula>
    </cfRule>
  </conditionalFormatting>
  <conditionalFormatting sqref="B71:C71">
    <cfRule type="expression" dxfId="1203" priority="302">
      <formula>IF(OR(U71&gt;0,U72&gt;0),1,0)</formula>
    </cfRule>
  </conditionalFormatting>
  <conditionalFormatting sqref="P40">
    <cfRule type="expression" dxfId="1202" priority="301" stopIfTrue="1">
      <formula>IF($R$64&lt;&gt;"",1,0)</formula>
    </cfRule>
  </conditionalFormatting>
  <conditionalFormatting sqref="D47">
    <cfRule type="expression" dxfId="1201" priority="300" stopIfTrue="1">
      <formula>IF($R$64&lt;&gt;"",1,0)</formula>
    </cfRule>
  </conditionalFormatting>
  <conditionalFormatting sqref="D48:D49">
    <cfRule type="expression" dxfId="1200" priority="299" stopIfTrue="1">
      <formula>IF($R$64&lt;&gt;"",1,0)</formula>
    </cfRule>
  </conditionalFormatting>
  <conditionalFormatting sqref="B40:M61 B34:M34 B35:Q35">
    <cfRule type="expression" dxfId="1199" priority="298">
      <formula>IF(NoColor,1,0)</formula>
    </cfRule>
  </conditionalFormatting>
  <conditionalFormatting sqref="N40:Q40 O51:Q51 N50:O50 Q50 N53:Q54 N52:O52 Q52 N56:Q56 N55:O55 Q55 N58:Q61 N57:O57 Q57 N42:Q44 O41:Q41 N46:Q49 O45:Q45">
    <cfRule type="expression" dxfId="1198" priority="297">
      <formula>IF(NoColor,1,0)</formula>
    </cfRule>
  </conditionalFormatting>
  <conditionalFormatting sqref="P79">
    <cfRule type="expression" dxfId="1197" priority="296">
      <formula>IF(NoColor,1,0)</formula>
    </cfRule>
  </conditionalFormatting>
  <conditionalFormatting sqref="L81">
    <cfRule type="expression" dxfId="1196" priority="295">
      <formula>IF(NoColor,1,0)</formula>
    </cfRule>
  </conditionalFormatting>
  <conditionalFormatting sqref="J82">
    <cfRule type="expression" dxfId="1195" priority="294">
      <formula>IF(NoColor,1,0)</formula>
    </cfRule>
  </conditionalFormatting>
  <conditionalFormatting sqref="J83">
    <cfRule type="expression" dxfId="1194" priority="293">
      <formula>IF(NoColor,1,0)</formula>
    </cfRule>
  </conditionalFormatting>
  <conditionalFormatting sqref="L84">
    <cfRule type="expression" dxfId="1193" priority="292">
      <formula>IF(NoColor,1,0)</formula>
    </cfRule>
  </conditionalFormatting>
  <conditionalFormatting sqref="N85">
    <cfRule type="expression" dxfId="1192" priority="291">
      <formula>IF(NoColor,1,0)</formula>
    </cfRule>
  </conditionalFormatting>
  <conditionalFormatting sqref="L86">
    <cfRule type="expression" dxfId="1191" priority="290">
      <formula>IF(NoColor,1,0)</formula>
    </cfRule>
  </conditionalFormatting>
  <conditionalFormatting sqref="L87">
    <cfRule type="expression" dxfId="1190" priority="289">
      <formula>IF(NoColor,1,0)</formula>
    </cfRule>
  </conditionalFormatting>
  <conditionalFormatting sqref="N88">
    <cfRule type="expression" dxfId="1189" priority="288">
      <formula>IF(NoColor,1,0)</formula>
    </cfRule>
  </conditionalFormatting>
  <conditionalFormatting sqref="L89">
    <cfRule type="expression" dxfId="1188" priority="287">
      <formula>IF(NoColor,1,0)</formula>
    </cfRule>
  </conditionalFormatting>
  <conditionalFormatting sqref="L91">
    <cfRule type="expression" dxfId="1187" priority="286">
      <formula>IF(NoColor,1,0)</formula>
    </cfRule>
  </conditionalFormatting>
  <conditionalFormatting sqref="N90">
    <cfRule type="expression" dxfId="1186" priority="285">
      <formula>IF(NoColor,1,0)</formula>
    </cfRule>
  </conditionalFormatting>
  <conditionalFormatting sqref="P92">
    <cfRule type="expression" dxfId="1185" priority="284">
      <formula>IF(NoColor,1,0)</formula>
    </cfRule>
  </conditionalFormatting>
  <conditionalFormatting sqref="P93">
    <cfRule type="expression" dxfId="1184" priority="283">
      <formula>IF(NoColor,1,0)</formula>
    </cfRule>
  </conditionalFormatting>
  <conditionalFormatting sqref="L96">
    <cfRule type="expression" dxfId="1183" priority="282">
      <formula>IF(NoColor,1,0)</formula>
    </cfRule>
  </conditionalFormatting>
  <conditionalFormatting sqref="N98">
    <cfRule type="expression" dxfId="1182" priority="281">
      <formula>IF(NoColor,1,0)</formula>
    </cfRule>
  </conditionalFormatting>
  <conditionalFormatting sqref="L99">
    <cfRule type="expression" dxfId="1181" priority="280">
      <formula>IF(NoColor,1,0)</formula>
    </cfRule>
  </conditionalFormatting>
  <conditionalFormatting sqref="L100">
    <cfRule type="expression" dxfId="1180" priority="279">
      <formula>IF(NoColor,1,0)</formula>
    </cfRule>
  </conditionalFormatting>
  <conditionalFormatting sqref="N101">
    <cfRule type="expression" dxfId="1179" priority="278">
      <formula>IF(NoColor,1,0)</formula>
    </cfRule>
  </conditionalFormatting>
  <conditionalFormatting sqref="N102">
    <cfRule type="expression" dxfId="1178" priority="277">
      <formula>IF(NoColor,1,0)</formula>
    </cfRule>
  </conditionalFormatting>
  <conditionalFormatting sqref="L104">
    <cfRule type="expression" dxfId="1177" priority="276">
      <formula>IF(NoColor,1,0)</formula>
    </cfRule>
  </conditionalFormatting>
  <conditionalFormatting sqref="L105">
    <cfRule type="expression" dxfId="1176" priority="275">
      <formula>IF(NoColor,1,0)</formula>
    </cfRule>
  </conditionalFormatting>
  <conditionalFormatting sqref="N106">
    <cfRule type="expression" dxfId="1175" priority="274">
      <formula>IF(NoColor,1,0)</formula>
    </cfRule>
  </conditionalFormatting>
  <conditionalFormatting sqref="L110">
    <cfRule type="expression" dxfId="1174" priority="273">
      <formula>IF(NoColor,1,0)</formula>
    </cfRule>
  </conditionalFormatting>
  <conditionalFormatting sqref="L112">
    <cfRule type="expression" dxfId="1173" priority="272">
      <formula>IF(NoColor,1,0)</formula>
    </cfRule>
  </conditionalFormatting>
  <conditionalFormatting sqref="L113">
    <cfRule type="expression" dxfId="1172" priority="271">
      <formula>IF(NoColor,1,0)</formula>
    </cfRule>
  </conditionalFormatting>
  <conditionalFormatting sqref="L114">
    <cfRule type="expression" dxfId="1171" priority="270">
      <formula>IF(NoColor,1,0)</formula>
    </cfRule>
  </conditionalFormatting>
  <conditionalFormatting sqref="N115">
    <cfRule type="expression" dxfId="1170" priority="269">
      <formula>IF(NoColor,1,0)</formula>
    </cfRule>
  </conditionalFormatting>
  <conditionalFormatting sqref="N119">
    <cfRule type="expression" dxfId="1169" priority="268">
      <formula>IF(NoColor,1,0)</formula>
    </cfRule>
  </conditionalFormatting>
  <conditionalFormatting sqref="L117">
    <cfRule type="expression" dxfId="1168" priority="267">
      <formula>IF(NoColor,1,0)</formula>
    </cfRule>
  </conditionalFormatting>
  <conditionalFormatting sqref="P116">
    <cfRule type="expression" dxfId="1167" priority="266">
      <formula>IF(NoColor,1,0)</formula>
    </cfRule>
  </conditionalFormatting>
  <conditionalFormatting sqref="P120">
    <cfRule type="expression" dxfId="1166" priority="265">
      <formula>IF(NoColor,1,0)</formula>
    </cfRule>
  </conditionalFormatting>
  <conditionalFormatting sqref="L122">
    <cfRule type="expression" dxfId="1165" priority="264">
      <formula>IF(NoColor,1,0)</formula>
    </cfRule>
  </conditionalFormatting>
  <conditionalFormatting sqref="J123">
    <cfRule type="expression" dxfId="1164" priority="261">
      <formula>IF(NoColor,1,0)</formula>
    </cfRule>
  </conditionalFormatting>
  <conditionalFormatting sqref="J124">
    <cfRule type="expression" dxfId="1163" priority="260">
      <formula>IF(NoColor,1,0)</formula>
    </cfRule>
  </conditionalFormatting>
  <conditionalFormatting sqref="L125">
    <cfRule type="expression" dxfId="1162" priority="259">
      <formula>IF(NoColor,1,0)</formula>
    </cfRule>
  </conditionalFormatting>
  <conditionalFormatting sqref="N126">
    <cfRule type="expression" dxfId="1161" priority="258">
      <formula>IF(NoColor,1,0)</formula>
    </cfRule>
  </conditionalFormatting>
  <conditionalFormatting sqref="P127">
    <cfRule type="expression" dxfId="1160" priority="257">
      <formula>IF(NoColor,1,0)</formula>
    </cfRule>
  </conditionalFormatting>
  <conditionalFormatting sqref="N129">
    <cfRule type="expression" dxfId="1159" priority="256">
      <formula>IF(NoColor,1,0)</formula>
    </cfRule>
  </conditionalFormatting>
  <conditionalFormatting sqref="N130">
    <cfRule type="expression" dxfId="1158" priority="255">
      <formula>IF(NoColor,1,0)</formula>
    </cfRule>
  </conditionalFormatting>
  <conditionalFormatting sqref="P131">
    <cfRule type="expression" dxfId="1157" priority="254">
      <formula>IF(NoColor,1,0)</formula>
    </cfRule>
  </conditionalFormatting>
  <conditionalFormatting sqref="P133">
    <cfRule type="expression" dxfId="1156" priority="253">
      <formula>IF(NoColor,1,0)</formula>
    </cfRule>
  </conditionalFormatting>
  <conditionalFormatting sqref="P134">
    <cfRule type="expression" dxfId="1155" priority="252">
      <formula>IF(NoColor,1,0)</formula>
    </cfRule>
  </conditionalFormatting>
  <conditionalFormatting sqref="P136">
    <cfRule type="expression" dxfId="1154" priority="251">
      <formula>IF(NoColor,1,0)</formula>
    </cfRule>
  </conditionalFormatting>
  <conditionalFormatting sqref="P139">
    <cfRule type="expression" dxfId="1153" priority="250">
      <formula>IF(NoColor,1,0)</formula>
    </cfRule>
  </conditionalFormatting>
  <conditionalFormatting sqref="P50">
    <cfRule type="expression" dxfId="1152" priority="249">
      <formula>IF(NoColor,1,0)</formula>
    </cfRule>
  </conditionalFormatting>
  <conditionalFormatting sqref="P52">
    <cfRule type="expression" dxfId="1151" priority="248">
      <formula>IF(NoColor,1,0)</formula>
    </cfRule>
  </conditionalFormatting>
  <conditionalFormatting sqref="P55">
    <cfRule type="expression" dxfId="1150" priority="247">
      <formula>IF(NoColor,1,0)</formula>
    </cfRule>
  </conditionalFormatting>
  <conditionalFormatting sqref="P57">
    <cfRule type="expression" dxfId="1149" priority="246">
      <formula>IF(NoColor,1,0)</formula>
    </cfRule>
  </conditionalFormatting>
  <conditionalFormatting sqref="N41">
    <cfRule type="expression" dxfId="1148" priority="245">
      <formula>IF(NoColor,1,0)</formula>
    </cfRule>
  </conditionalFormatting>
  <conditionalFormatting sqref="N45">
    <cfRule type="expression" dxfId="1147" priority="244">
      <formula>IF(NoColor,1,0)</formula>
    </cfRule>
  </conditionalFormatting>
  <conditionalFormatting sqref="N51">
    <cfRule type="expression" dxfId="1146" priority="243">
      <formula>IF(NoColor,1,0)</formula>
    </cfRule>
  </conditionalFormatting>
  <conditionalFormatting sqref="D95">
    <cfRule type="expression" dxfId="1145" priority="242">
      <formula>IF(B95,0,1)</formula>
    </cfRule>
  </conditionalFormatting>
  <conditionalFormatting sqref="D96">
    <cfRule type="expression" dxfId="1144" priority="241">
      <formula>IF(B96,0,1)</formula>
    </cfRule>
  </conditionalFormatting>
  <conditionalFormatting sqref="D97">
    <cfRule type="expression" dxfId="1143" priority="240">
      <formula>IF(B97,0,1)</formula>
    </cfRule>
  </conditionalFormatting>
  <conditionalFormatting sqref="D108:D111">
    <cfRule type="expression" dxfId="1142" priority="239">
      <formula>IF(B108,0,1)</formula>
    </cfRule>
  </conditionalFormatting>
  <conditionalFormatting sqref="D142:D143">
    <cfRule type="expression" dxfId="1141" priority="238">
      <formula>IF(Form2555_Used,1,0)</formula>
    </cfRule>
  </conditionalFormatting>
  <conditionalFormatting sqref="G34:M34">
    <cfRule type="expression" dxfId="1140" priority="237" stopIfTrue="1">
      <formula>IF($R$64&lt;&gt;"",1,0)</formula>
    </cfRule>
  </conditionalFormatting>
  <conditionalFormatting sqref="P5">
    <cfRule type="expression" dxfId="1139" priority="235" stopIfTrue="1">
      <formula>IF($R$64&lt;&gt;"",1,0)</formula>
    </cfRule>
  </conditionalFormatting>
  <conditionalFormatting sqref="D34">
    <cfRule type="expression" dxfId="1138" priority="233" stopIfTrue="1">
      <formula>IF($R$64&lt;&gt;"",1,0)</formula>
    </cfRule>
  </conditionalFormatting>
  <conditionalFormatting sqref="B5:M6 B16:P16 M17:N17 B11:M14 B9 B7:C8 E7:M8 F9:M9">
    <cfRule type="expression" dxfId="1137" priority="232">
      <formula>IF(NoColor,1,0)</formula>
    </cfRule>
  </conditionalFormatting>
  <conditionalFormatting sqref="N5:Q5 Q16 N34:Q34 N11:Q14 N6:O9 Q6:Q8">
    <cfRule type="expression" dxfId="1136" priority="231">
      <formula>IF(NoColor,1,0)</formula>
    </cfRule>
  </conditionalFormatting>
  <conditionalFormatting sqref="O17">
    <cfRule type="expression" dxfId="1135" priority="213">
      <formula>IF(NoColor,1,0)</formula>
    </cfRule>
  </conditionalFormatting>
  <conditionalFormatting sqref="B17:F17">
    <cfRule type="expression" dxfId="1134" priority="221" stopIfTrue="1">
      <formula>IF($R$64&lt;&gt;"",1,0)</formula>
    </cfRule>
  </conditionalFormatting>
  <conditionalFormatting sqref="G17:L17">
    <cfRule type="expression" dxfId="1133" priority="220" stopIfTrue="1">
      <formula>IF($R$64&lt;&gt;"",1,0)</formula>
    </cfRule>
  </conditionalFormatting>
  <conditionalFormatting sqref="B17:L17">
    <cfRule type="expression" dxfId="1132" priority="219">
      <formula>IF(NoColor,1,0)</formula>
    </cfRule>
  </conditionalFormatting>
  <conditionalFormatting sqref="Q17">
    <cfRule type="expression" dxfId="1131" priority="218">
      <formula>IF(NoColor,1,0)</formula>
    </cfRule>
  </conditionalFormatting>
  <conditionalFormatting sqref="O17">
    <cfRule type="expression" dxfId="1130" priority="216" stopIfTrue="1">
      <formula>IF($R$64&lt;&gt;"",1,0)</formula>
    </cfRule>
  </conditionalFormatting>
  <conditionalFormatting sqref="O17">
    <cfRule type="expression" dxfId="1129" priority="215">
      <formula>IF(NoColor,1,0)</formula>
    </cfRule>
  </conditionalFormatting>
  <conditionalFormatting sqref="B18:F18">
    <cfRule type="expression" dxfId="1128" priority="212" stopIfTrue="1">
      <formula>IF($R$64&lt;&gt;"",1,0)</formula>
    </cfRule>
  </conditionalFormatting>
  <conditionalFormatting sqref="G18:M18">
    <cfRule type="expression" dxfId="1127" priority="211" stopIfTrue="1">
      <formula>IF($R$64&lt;&gt;"",1,0)</formula>
    </cfRule>
  </conditionalFormatting>
  <conditionalFormatting sqref="B18:M18">
    <cfRule type="expression" dxfId="1126" priority="210">
      <formula>IF(NoColor,1,0)</formula>
    </cfRule>
  </conditionalFormatting>
  <conditionalFormatting sqref="Q18">
    <cfRule type="expression" dxfId="1125" priority="209">
      <formula>IF(NoColor,1,0)</formula>
    </cfRule>
  </conditionalFormatting>
  <conditionalFormatting sqref="O18">
    <cfRule type="expression" dxfId="1124" priority="207" stopIfTrue="1">
      <formula>IF($R$64&lt;&gt;"",1,0)</formula>
    </cfRule>
  </conditionalFormatting>
  <conditionalFormatting sqref="O18">
    <cfRule type="expression" dxfId="1123" priority="206">
      <formula>IF(NoColor,1,0)</formula>
    </cfRule>
  </conditionalFormatting>
  <conditionalFormatting sqref="O18">
    <cfRule type="expression" dxfId="1122" priority="205">
      <formula>IF(NoColor,1,0)</formula>
    </cfRule>
  </conditionalFormatting>
  <conditionalFormatting sqref="N18">
    <cfRule type="expression" dxfId="1121" priority="39">
      <formula>IF(P18&lt;0,1,0)</formula>
    </cfRule>
    <cfRule type="expression" dxfId="1120" priority="204" stopIfTrue="1">
      <formula>IF($R$64&lt;&gt;"",1,0)</formula>
    </cfRule>
  </conditionalFormatting>
  <conditionalFormatting sqref="N18">
    <cfRule type="expression" dxfId="1119" priority="203">
      <formula>IF(NoColor,1,0)</formula>
    </cfRule>
  </conditionalFormatting>
  <conditionalFormatting sqref="Q19:R19">
    <cfRule type="expression" dxfId="1118" priority="202" stopIfTrue="1">
      <formula>IF($R$64&lt;&gt;"",1,0)</formula>
    </cfRule>
  </conditionalFormatting>
  <conditionalFormatting sqref="B19:F19">
    <cfRule type="expression" dxfId="1117" priority="201" stopIfTrue="1">
      <formula>IF($R$64&lt;&gt;"",1,0)</formula>
    </cfRule>
  </conditionalFormatting>
  <conditionalFormatting sqref="G19:M19">
    <cfRule type="expression" dxfId="1116" priority="200" stopIfTrue="1">
      <formula>IF($R$64&lt;&gt;"",1,0)</formula>
    </cfRule>
  </conditionalFormatting>
  <conditionalFormatting sqref="B19:M19">
    <cfRule type="expression" dxfId="1115" priority="199">
      <formula>IF(NoColor,1,0)</formula>
    </cfRule>
  </conditionalFormatting>
  <conditionalFormatting sqref="Q19">
    <cfRule type="expression" dxfId="1114" priority="198">
      <formula>IF(NoColor,1,0)</formula>
    </cfRule>
  </conditionalFormatting>
  <conditionalFormatting sqref="P19">
    <cfRule type="expression" dxfId="1113" priority="197">
      <formula>IF(NoColor,1,0)</formula>
    </cfRule>
  </conditionalFormatting>
  <conditionalFormatting sqref="O19">
    <cfRule type="expression" dxfId="1112" priority="196" stopIfTrue="1">
      <formula>IF($R$64&lt;&gt;"",1,0)</formula>
    </cfRule>
  </conditionalFormatting>
  <conditionalFormatting sqref="O19">
    <cfRule type="expression" dxfId="1111" priority="195">
      <formula>IF(NoColor,1,0)</formula>
    </cfRule>
  </conditionalFormatting>
  <conditionalFormatting sqref="O19">
    <cfRule type="expression" dxfId="1110" priority="194">
      <formula>IF(NoColor,1,0)</formula>
    </cfRule>
  </conditionalFormatting>
  <conditionalFormatting sqref="B20:F20">
    <cfRule type="expression" dxfId="1109" priority="191" stopIfTrue="1">
      <formula>IF($R$64&lt;&gt;"",1,0)</formula>
    </cfRule>
  </conditionalFormatting>
  <conditionalFormatting sqref="G20:K20">
    <cfRule type="expression" dxfId="1108" priority="190" stopIfTrue="1">
      <formula>IF($R$64&lt;&gt;"",1,0)</formula>
    </cfRule>
  </conditionalFormatting>
  <conditionalFormatting sqref="B20:K20 M20">
    <cfRule type="expression" dxfId="1107" priority="189">
      <formula>IF(NoColor,1,0)</formula>
    </cfRule>
  </conditionalFormatting>
  <conditionalFormatting sqref="N20:Q20">
    <cfRule type="expression" dxfId="1106" priority="188">
      <formula>IF(NoColor,1,0)</formula>
    </cfRule>
  </conditionalFormatting>
  <conditionalFormatting sqref="N19">
    <cfRule type="expression" dxfId="1105" priority="187" stopIfTrue="1">
      <formula>IF($R$64&lt;&gt;"",1,0)</formula>
    </cfRule>
  </conditionalFormatting>
  <conditionalFormatting sqref="N19">
    <cfRule type="expression" dxfId="1104" priority="186">
      <formula>IF(NoColor,1,0)</formula>
    </cfRule>
  </conditionalFormatting>
  <conditionalFormatting sqref="L20">
    <cfRule type="expression" dxfId="1103" priority="158">
      <formula>IF(NoColor,1,0)</formula>
    </cfRule>
  </conditionalFormatting>
  <conditionalFormatting sqref="O23:P23">
    <cfRule type="expression" dxfId="1102" priority="183">
      <formula>IF(NoColor,1,0)</formula>
    </cfRule>
  </conditionalFormatting>
  <conditionalFormatting sqref="O15:R15">
    <cfRule type="expression" dxfId="1101" priority="182" stopIfTrue="1">
      <formula>IF($R$64&lt;&gt;"",1,0)</formula>
    </cfRule>
  </conditionalFormatting>
  <conditionalFormatting sqref="B15:M15">
    <cfRule type="expression" dxfId="1100" priority="181" stopIfTrue="1">
      <formula>IF($R$64&lt;&gt;"",1,0)</formula>
    </cfRule>
  </conditionalFormatting>
  <conditionalFormatting sqref="B15:M15">
    <cfRule type="expression" dxfId="1099" priority="180">
      <formula>IF(NoColor,1,0)</formula>
    </cfRule>
  </conditionalFormatting>
  <conditionalFormatting sqref="N15:Q15">
    <cfRule type="expression" dxfId="1098" priority="179">
      <formula>IF(NoColor,1,0)</formula>
    </cfRule>
  </conditionalFormatting>
  <conditionalFormatting sqref="O21:R21">
    <cfRule type="expression" dxfId="1097" priority="178" stopIfTrue="1">
      <formula>IF($R$64&lt;&gt;"",1,0)</formula>
    </cfRule>
  </conditionalFormatting>
  <conditionalFormatting sqref="B21:M21">
    <cfRule type="expression" dxfId="1096" priority="177" stopIfTrue="1">
      <formula>IF($R$64&lt;&gt;"",1,0)</formula>
    </cfRule>
  </conditionalFormatting>
  <conditionalFormatting sqref="B21:M21">
    <cfRule type="expression" dxfId="1095" priority="176">
      <formula>IF(NoColor,1,0)</formula>
    </cfRule>
  </conditionalFormatting>
  <conditionalFormatting sqref="N21:Q21">
    <cfRule type="expression" dxfId="1094" priority="175">
      <formula>IF(NoColor,1,0)</formula>
    </cfRule>
  </conditionalFormatting>
  <conditionalFormatting sqref="Q22:R22">
    <cfRule type="expression" dxfId="1093" priority="170" stopIfTrue="1">
      <formula>IF($R$64&lt;&gt;"",1,0)</formula>
    </cfRule>
  </conditionalFormatting>
  <conditionalFormatting sqref="B22:F22">
    <cfRule type="expression" dxfId="1092" priority="169" stopIfTrue="1">
      <formula>IF($R$64&lt;&gt;"",1,0)</formula>
    </cfRule>
  </conditionalFormatting>
  <conditionalFormatting sqref="G22:M22">
    <cfRule type="expression" dxfId="1091" priority="168" stopIfTrue="1">
      <formula>IF($R$64&lt;&gt;"",1,0)</formula>
    </cfRule>
  </conditionalFormatting>
  <conditionalFormatting sqref="B22:M22">
    <cfRule type="expression" dxfId="1090" priority="167">
      <formula>IF(NoColor,1,0)</formula>
    </cfRule>
  </conditionalFormatting>
  <conditionalFormatting sqref="Q22">
    <cfRule type="expression" dxfId="1089" priority="166">
      <formula>IF(NoColor,1,0)</formula>
    </cfRule>
  </conditionalFormatting>
  <conditionalFormatting sqref="O22">
    <cfRule type="expression" dxfId="1088" priority="164" stopIfTrue="1">
      <formula>IF($R$64&lt;&gt;"",1,0)</formula>
    </cfRule>
  </conditionalFormatting>
  <conditionalFormatting sqref="O22">
    <cfRule type="expression" dxfId="1087" priority="163">
      <formula>IF(NoColor,1,0)</formula>
    </cfRule>
  </conditionalFormatting>
  <conditionalFormatting sqref="O22">
    <cfRule type="expression" dxfId="1086" priority="162">
      <formula>IF(NoColor,1,0)</formula>
    </cfRule>
  </conditionalFormatting>
  <conditionalFormatting sqref="N22">
    <cfRule type="expression" dxfId="1085" priority="161" stopIfTrue="1">
      <formula>IF($R$64&lt;&gt;"",1,0)</formula>
    </cfRule>
  </conditionalFormatting>
  <conditionalFormatting sqref="N22">
    <cfRule type="expression" dxfId="1084" priority="160">
      <formula>IF(NoColor,1,0)</formula>
    </cfRule>
  </conditionalFormatting>
  <conditionalFormatting sqref="L20">
    <cfRule type="expression" dxfId="1083" priority="159" stopIfTrue="1">
      <formula>IF($R$64&lt;&gt;"",1,0)</formula>
    </cfRule>
  </conditionalFormatting>
  <conditionalFormatting sqref="Q23">
    <cfRule type="expression" dxfId="1082" priority="151">
      <formula>IF(NoColor,1,0)</formula>
    </cfRule>
  </conditionalFormatting>
  <conditionalFormatting sqref="C23">
    <cfRule type="expression" dxfId="1081" priority="154" stopIfTrue="1">
      <formula>IF($R$64&lt;&gt;"",1,0)</formula>
    </cfRule>
  </conditionalFormatting>
  <conditionalFormatting sqref="G23:K23">
    <cfRule type="expression" dxfId="1080" priority="153" stopIfTrue="1">
      <formula>IF($R$64&lt;&gt;"",1,0)</formula>
    </cfRule>
  </conditionalFormatting>
  <conditionalFormatting sqref="C23 E23:K23">
    <cfRule type="expression" dxfId="1079" priority="152">
      <formula>IF(NoColor,1,0)</formula>
    </cfRule>
  </conditionalFormatting>
  <conditionalFormatting sqref="D23">
    <cfRule type="expression" dxfId="1078" priority="146" stopIfTrue="1">
      <formula>IF($R$64&lt;&gt;"",1,0)</formula>
    </cfRule>
  </conditionalFormatting>
  <conditionalFormatting sqref="D23">
    <cfRule type="expression" dxfId="1077" priority="145">
      <formula>IF(NoColor,1,0)</formula>
    </cfRule>
  </conditionalFormatting>
  <conditionalFormatting sqref="B23">
    <cfRule type="expression" dxfId="1076" priority="144" stopIfTrue="1">
      <formula>IF($R$64&lt;&gt;"",1,0)</formula>
    </cfRule>
  </conditionalFormatting>
  <conditionalFormatting sqref="B23">
    <cfRule type="expression" dxfId="1075" priority="143">
      <formula>IF(NoColor,1,0)</formula>
    </cfRule>
  </conditionalFormatting>
  <conditionalFormatting sqref="M23">
    <cfRule type="expression" dxfId="1074" priority="142" stopIfTrue="1">
      <formula>IF($R$64&lt;&gt;"",1,0)</formula>
    </cfRule>
  </conditionalFormatting>
  <conditionalFormatting sqref="M23">
    <cfRule type="expression" dxfId="1073" priority="141">
      <formula>IF(NoColor,1,0)</formula>
    </cfRule>
  </conditionalFormatting>
  <conditionalFormatting sqref="N23">
    <cfRule type="expression" dxfId="1072" priority="140">
      <formula>IF(NoColor,1,0)</formula>
    </cfRule>
  </conditionalFormatting>
  <conditionalFormatting sqref="L23">
    <cfRule type="expression" dxfId="1071" priority="138">
      <formula>IF(NoColor,1,0)</formula>
    </cfRule>
  </conditionalFormatting>
  <conditionalFormatting sqref="L23">
    <cfRule type="expression" dxfId="1070" priority="139" stopIfTrue="1">
      <formula>IF($R$64&lt;&gt;"",1,0)</formula>
    </cfRule>
  </conditionalFormatting>
  <conditionalFormatting sqref="Q24:R24">
    <cfRule type="expression" dxfId="1069" priority="137" stopIfTrue="1">
      <formula>IF($R$64&lt;&gt;"",1,0)</formula>
    </cfRule>
  </conditionalFormatting>
  <conditionalFormatting sqref="B24:F24">
    <cfRule type="expression" dxfId="1068" priority="136" stopIfTrue="1">
      <formula>IF($R$64&lt;&gt;"",1,0)</formula>
    </cfRule>
  </conditionalFormatting>
  <conditionalFormatting sqref="G24:M24">
    <cfRule type="expression" dxfId="1067" priority="135" stopIfTrue="1">
      <formula>IF($R$64&lt;&gt;"",1,0)</formula>
    </cfRule>
  </conditionalFormatting>
  <conditionalFormatting sqref="B24:M24">
    <cfRule type="expression" dxfId="1066" priority="134">
      <formula>IF(NoColor,1,0)</formula>
    </cfRule>
  </conditionalFormatting>
  <conditionalFormatting sqref="Q24">
    <cfRule type="expression" dxfId="1065" priority="133">
      <formula>IF(NoColor,1,0)</formula>
    </cfRule>
  </conditionalFormatting>
  <conditionalFormatting sqref="O24">
    <cfRule type="expression" dxfId="1064" priority="131" stopIfTrue="1">
      <formula>IF($R$64&lt;&gt;"",1,0)</formula>
    </cfRule>
  </conditionalFormatting>
  <conditionalFormatting sqref="O24">
    <cfRule type="expression" dxfId="1063" priority="130">
      <formula>IF(NoColor,1,0)</formula>
    </cfRule>
  </conditionalFormatting>
  <conditionalFormatting sqref="O24">
    <cfRule type="expression" dxfId="1062" priority="129">
      <formula>IF(NoColor,1,0)</formula>
    </cfRule>
  </conditionalFormatting>
  <conditionalFormatting sqref="N28">
    <cfRule type="expression" dxfId="1061" priority="98">
      <formula>IF(NoColor,1,0)</formula>
    </cfRule>
  </conditionalFormatting>
  <conditionalFormatting sqref="N24">
    <cfRule type="expression" dxfId="1060" priority="126" stopIfTrue="1">
      <formula>IF($R$64&lt;&gt;"",1,0)</formula>
    </cfRule>
  </conditionalFormatting>
  <conditionalFormatting sqref="N24">
    <cfRule type="expression" dxfId="1059" priority="125">
      <formula>IF(NoColor,1,0)</formula>
    </cfRule>
  </conditionalFormatting>
  <conditionalFormatting sqref="D47">
    <cfRule type="expression" dxfId="1058" priority="124" stopIfTrue="1">
      <formula>IF($R$64&lt;&gt;"",1,0)</formula>
    </cfRule>
  </conditionalFormatting>
  <conditionalFormatting sqref="B25:P25">
    <cfRule type="expression" dxfId="1057" priority="123" stopIfTrue="1">
      <formula>IF($R$64&lt;&gt;"",1,0)</formula>
    </cfRule>
  </conditionalFormatting>
  <conditionalFormatting sqref="B25:P25 M26:N26">
    <cfRule type="expression" dxfId="1056" priority="122">
      <formula>IF(NoColor,1,0)</formula>
    </cfRule>
  </conditionalFormatting>
  <conditionalFormatting sqref="Q25">
    <cfRule type="expression" dxfId="1055" priority="121">
      <formula>IF(NoColor,1,0)</formula>
    </cfRule>
  </conditionalFormatting>
  <conditionalFormatting sqref="O26">
    <cfRule type="expression" dxfId="1054" priority="113">
      <formula>IF(NoColor,1,0)</formula>
    </cfRule>
  </conditionalFormatting>
  <conditionalFormatting sqref="B26:F26">
    <cfRule type="expression" dxfId="1053" priority="120" stopIfTrue="1">
      <formula>IF($R$64&lt;&gt;"",1,0)</formula>
    </cfRule>
  </conditionalFormatting>
  <conditionalFormatting sqref="G26:L26">
    <cfRule type="expression" dxfId="1052" priority="119" stopIfTrue="1">
      <formula>IF($R$64&lt;&gt;"",1,0)</formula>
    </cfRule>
  </conditionalFormatting>
  <conditionalFormatting sqref="B26:L26">
    <cfRule type="expression" dxfId="1051" priority="118">
      <formula>IF(NoColor,1,0)</formula>
    </cfRule>
  </conditionalFormatting>
  <conditionalFormatting sqref="Q26">
    <cfRule type="expression" dxfId="1050" priority="117">
      <formula>IF(NoColor,1,0)</formula>
    </cfRule>
  </conditionalFormatting>
  <conditionalFormatting sqref="O26">
    <cfRule type="expression" dxfId="1049" priority="116" stopIfTrue="1">
      <formula>IF($R$64&lt;&gt;"",1,0)</formula>
    </cfRule>
  </conditionalFormatting>
  <conditionalFormatting sqref="O26">
    <cfRule type="expression" dxfId="1048" priority="115">
      <formula>IF(NoColor,1,0)</formula>
    </cfRule>
  </conditionalFormatting>
  <conditionalFormatting sqref="O27:R27">
    <cfRule type="expression" dxfId="1047" priority="112" stopIfTrue="1">
      <formula>IF($R$64&lt;&gt;"",1,0)</formula>
    </cfRule>
  </conditionalFormatting>
  <conditionalFormatting sqref="B27:M27">
    <cfRule type="expression" dxfId="1046" priority="111" stopIfTrue="1">
      <formula>IF($R$64&lt;&gt;"",1,0)</formula>
    </cfRule>
  </conditionalFormatting>
  <conditionalFormatting sqref="B27:M27">
    <cfRule type="expression" dxfId="1045" priority="110">
      <formula>IF(NoColor,1,0)</formula>
    </cfRule>
  </conditionalFormatting>
  <conditionalFormatting sqref="O27:Q27">
    <cfRule type="expression" dxfId="1044" priority="109">
      <formula>IF(NoColor,1,0)</formula>
    </cfRule>
  </conditionalFormatting>
  <conditionalFormatting sqref="Q28:R28">
    <cfRule type="expression" dxfId="1043" priority="108" stopIfTrue="1">
      <formula>IF($R$64&lt;&gt;"",1,0)</formula>
    </cfRule>
  </conditionalFormatting>
  <conditionalFormatting sqref="B28:F28">
    <cfRule type="expression" dxfId="1042" priority="107" stopIfTrue="1">
      <formula>IF($R$64&lt;&gt;"",1,0)</formula>
    </cfRule>
  </conditionalFormatting>
  <conditionalFormatting sqref="G28:M28">
    <cfRule type="expression" dxfId="1041" priority="106" stopIfTrue="1">
      <formula>IF($R$64&lt;&gt;"",1,0)</formula>
    </cfRule>
  </conditionalFormatting>
  <conditionalFormatting sqref="B28:M28">
    <cfRule type="expression" dxfId="1040" priority="105">
      <formula>IF(NoColor,1,0)</formula>
    </cfRule>
  </conditionalFormatting>
  <conditionalFormatting sqref="Q28">
    <cfRule type="expression" dxfId="1039" priority="104">
      <formula>IF(NoColor,1,0)</formula>
    </cfRule>
  </conditionalFormatting>
  <conditionalFormatting sqref="O28">
    <cfRule type="expression" dxfId="1038" priority="102" stopIfTrue="1">
      <formula>IF($R$64&lt;&gt;"",1,0)</formula>
    </cfRule>
  </conditionalFormatting>
  <conditionalFormatting sqref="O28">
    <cfRule type="expression" dxfId="1037" priority="101">
      <formula>IF(NoColor,1,0)</formula>
    </cfRule>
  </conditionalFormatting>
  <conditionalFormatting sqref="O28">
    <cfRule type="expression" dxfId="1036" priority="100">
      <formula>IF(NoColor,1,0)</formula>
    </cfRule>
  </conditionalFormatting>
  <conditionalFormatting sqref="N28">
    <cfRule type="expression" dxfId="1035" priority="99" stopIfTrue="1">
      <formula>IF($R$64&lt;&gt;"",1,0)</formula>
    </cfRule>
  </conditionalFormatting>
  <conditionalFormatting sqref="O31">
    <cfRule type="expression" dxfId="1034" priority="55">
      <formula>IF(NoColor,1,0)</formula>
    </cfRule>
  </conditionalFormatting>
  <conditionalFormatting sqref="E29:F29">
    <cfRule type="expression" dxfId="1033" priority="92" stopIfTrue="1">
      <formula>IF($R$64&lt;&gt;"",1,0)</formula>
    </cfRule>
  </conditionalFormatting>
  <conditionalFormatting sqref="O29:P29">
    <cfRule type="expression" dxfId="1032" priority="91">
      <formula>IF(NoColor,1,0)</formula>
    </cfRule>
  </conditionalFormatting>
  <conditionalFormatting sqref="Q29">
    <cfRule type="expression" dxfId="1031" priority="87">
      <formula>IF(NoColor,1,0)</formula>
    </cfRule>
  </conditionalFormatting>
  <conditionalFormatting sqref="C29">
    <cfRule type="expression" dxfId="1030" priority="90" stopIfTrue="1">
      <formula>IF($R$64&lt;&gt;"",1,0)</formula>
    </cfRule>
  </conditionalFormatting>
  <conditionalFormatting sqref="G29:K29">
    <cfRule type="expression" dxfId="1029" priority="89" stopIfTrue="1">
      <formula>IF($R$64&lt;&gt;"",1,0)</formula>
    </cfRule>
  </conditionalFormatting>
  <conditionalFormatting sqref="C29 E29:K29">
    <cfRule type="expression" dxfId="1028" priority="88">
      <formula>IF(NoColor,1,0)</formula>
    </cfRule>
  </conditionalFormatting>
  <conditionalFormatting sqref="D29">
    <cfRule type="expression" dxfId="1027" priority="86" stopIfTrue="1">
      <formula>IF($R$64&lt;&gt;"",1,0)</formula>
    </cfRule>
  </conditionalFormatting>
  <conditionalFormatting sqref="D29">
    <cfRule type="expression" dxfId="1026" priority="85">
      <formula>IF(NoColor,1,0)</formula>
    </cfRule>
  </conditionalFormatting>
  <conditionalFormatting sqref="B29">
    <cfRule type="expression" dxfId="1025" priority="84" stopIfTrue="1">
      <formula>IF($R$64&lt;&gt;"",1,0)</formula>
    </cfRule>
  </conditionalFormatting>
  <conditionalFormatting sqref="B29">
    <cfRule type="expression" dxfId="1024" priority="83">
      <formula>IF(NoColor,1,0)</formula>
    </cfRule>
  </conditionalFormatting>
  <conditionalFormatting sqref="M29">
    <cfRule type="expression" dxfId="1023" priority="82" stopIfTrue="1">
      <formula>IF($R$64&lt;&gt;"",1,0)</formula>
    </cfRule>
  </conditionalFormatting>
  <conditionalFormatting sqref="M29">
    <cfRule type="expression" dxfId="1022" priority="81">
      <formula>IF(NoColor,1,0)</formula>
    </cfRule>
  </conditionalFormatting>
  <conditionalFormatting sqref="N29">
    <cfRule type="expression" dxfId="1021" priority="80">
      <formula>IF(NoColor,1,0)</formula>
    </cfRule>
  </conditionalFormatting>
  <conditionalFormatting sqref="L29">
    <cfRule type="expression" dxfId="1020" priority="78">
      <formula>IF(NoColor,1,0)</formula>
    </cfRule>
  </conditionalFormatting>
  <conditionalFormatting sqref="L29">
    <cfRule type="expression" dxfId="1019" priority="79" stopIfTrue="1">
      <formula>IF($R$64&lt;&gt;"",1,0)</formula>
    </cfRule>
  </conditionalFormatting>
  <conditionalFormatting sqref="E30:F30">
    <cfRule type="expression" dxfId="1018" priority="77" stopIfTrue="1">
      <formula>IF($R$64&lt;&gt;"",1,0)</formula>
    </cfRule>
  </conditionalFormatting>
  <conditionalFormatting sqref="O30:P30">
    <cfRule type="expression" dxfId="1017" priority="76">
      <formula>IF(NoColor,1,0)</formula>
    </cfRule>
  </conditionalFormatting>
  <conditionalFormatting sqref="Q30">
    <cfRule type="expression" dxfId="1016" priority="72">
      <formula>IF(NoColor,1,0)</formula>
    </cfRule>
  </conditionalFormatting>
  <conditionalFormatting sqref="C30">
    <cfRule type="expression" dxfId="1015" priority="75" stopIfTrue="1">
      <formula>IF($R$64&lt;&gt;"",1,0)</formula>
    </cfRule>
  </conditionalFormatting>
  <conditionalFormatting sqref="G30:K30">
    <cfRule type="expression" dxfId="1014" priority="74" stopIfTrue="1">
      <formula>IF($R$64&lt;&gt;"",1,0)</formula>
    </cfRule>
  </conditionalFormatting>
  <conditionalFormatting sqref="C30 E30:K30">
    <cfRule type="expression" dxfId="1013" priority="73">
      <formula>IF(NoColor,1,0)</formula>
    </cfRule>
  </conditionalFormatting>
  <conditionalFormatting sqref="D30">
    <cfRule type="expression" dxfId="1012" priority="71" stopIfTrue="1">
      <formula>IF($R$64&lt;&gt;"",1,0)</formula>
    </cfRule>
  </conditionalFormatting>
  <conditionalFormatting sqref="D30">
    <cfRule type="expression" dxfId="1011" priority="70">
      <formula>IF(NoColor,1,0)</formula>
    </cfRule>
  </conditionalFormatting>
  <conditionalFormatting sqref="B30">
    <cfRule type="expression" dxfId="1010" priority="69" stopIfTrue="1">
      <formula>IF($R$64&lt;&gt;"",1,0)</formula>
    </cfRule>
  </conditionalFormatting>
  <conditionalFormatting sqref="B30">
    <cfRule type="expression" dxfId="1009" priority="68">
      <formula>IF(NoColor,1,0)</formula>
    </cfRule>
  </conditionalFormatting>
  <conditionalFormatting sqref="M30">
    <cfRule type="expression" dxfId="1008" priority="67" stopIfTrue="1">
      <formula>IF($R$64&lt;&gt;"",1,0)</formula>
    </cfRule>
  </conditionalFormatting>
  <conditionalFormatting sqref="M30">
    <cfRule type="expression" dxfId="1007" priority="66">
      <formula>IF(NoColor,1,0)</formula>
    </cfRule>
  </conditionalFormatting>
  <conditionalFormatting sqref="N30">
    <cfRule type="expression" dxfId="1006" priority="65">
      <formula>IF(NoColor,1,0)</formula>
    </cfRule>
  </conditionalFormatting>
  <conditionalFormatting sqref="L30">
    <cfRule type="expression" dxfId="1005" priority="63">
      <formula>IF(NoColor,1,0)</formula>
    </cfRule>
  </conditionalFormatting>
  <conditionalFormatting sqref="L30">
    <cfRule type="expression" dxfId="1004" priority="64" stopIfTrue="1">
      <formula>IF($R$64&lt;&gt;"",1,0)</formula>
    </cfRule>
  </conditionalFormatting>
  <conditionalFormatting sqref="Q31:R31">
    <cfRule type="expression" dxfId="1003" priority="62" stopIfTrue="1">
      <formula>IF($R$64&lt;&gt;"",1,0)</formula>
    </cfRule>
  </conditionalFormatting>
  <conditionalFormatting sqref="B31:F31">
    <cfRule type="expression" dxfId="1002" priority="61" stopIfTrue="1">
      <formula>IF($R$64&lt;&gt;"",1,0)</formula>
    </cfRule>
  </conditionalFormatting>
  <conditionalFormatting sqref="G31:M31">
    <cfRule type="expression" dxfId="1001" priority="60" stopIfTrue="1">
      <formula>IF($R$64&lt;&gt;"",1,0)</formula>
    </cfRule>
  </conditionalFormatting>
  <conditionalFormatting sqref="B31:M31">
    <cfRule type="expression" dxfId="1000" priority="59">
      <formula>IF(NoColor,1,0)</formula>
    </cfRule>
  </conditionalFormatting>
  <conditionalFormatting sqref="Q31">
    <cfRule type="expression" dxfId="999" priority="58">
      <formula>IF(NoColor,1,0)</formula>
    </cfRule>
  </conditionalFormatting>
  <conditionalFormatting sqref="O31">
    <cfRule type="expression" dxfId="998" priority="56" stopIfTrue="1">
      <formula>IF($R$64&lt;&gt;"",1,0)</formula>
    </cfRule>
  </conditionalFormatting>
  <conditionalFormatting sqref="O31">
    <cfRule type="expression" dxfId="997" priority="54">
      <formula>IF(NoColor,1,0)</formula>
    </cfRule>
  </conditionalFormatting>
  <conditionalFormatting sqref="N31">
    <cfRule type="expression" dxfId="996" priority="53" stopIfTrue="1">
      <formula>IF($R$64&lt;&gt;"",1,0)</formula>
    </cfRule>
  </conditionalFormatting>
  <conditionalFormatting sqref="N31">
    <cfRule type="expression" dxfId="995" priority="52">
      <formula>IF(NoColor,1,0)</formula>
    </cfRule>
  </conditionalFormatting>
  <conditionalFormatting sqref="M33:N33">
    <cfRule type="expression" dxfId="994" priority="51" stopIfTrue="1">
      <formula>IF($R$64&lt;&gt;"",1,0)</formula>
    </cfRule>
  </conditionalFormatting>
  <conditionalFormatting sqref="B32:P32">
    <cfRule type="expression" dxfId="993" priority="50" stopIfTrue="1">
      <formula>IF($R$64&lt;&gt;"",1,0)</formula>
    </cfRule>
  </conditionalFormatting>
  <conditionalFormatting sqref="B32:P32 M33:N33">
    <cfRule type="expression" dxfId="992" priority="49">
      <formula>IF(NoColor,1,0)</formula>
    </cfRule>
  </conditionalFormatting>
  <conditionalFormatting sqref="Q32">
    <cfRule type="expression" dxfId="991" priority="48">
      <formula>IF(NoColor,1,0)</formula>
    </cfRule>
  </conditionalFormatting>
  <conditionalFormatting sqref="O33">
    <cfRule type="expression" dxfId="990" priority="40">
      <formula>IF(NoColor,1,0)</formula>
    </cfRule>
  </conditionalFormatting>
  <conditionalFormatting sqref="B33:F33">
    <cfRule type="expression" dxfId="989" priority="47" stopIfTrue="1">
      <formula>IF($R$64&lt;&gt;"",1,0)</formula>
    </cfRule>
  </conditionalFormatting>
  <conditionalFormatting sqref="G33:L33">
    <cfRule type="expression" dxfId="988" priority="46" stopIfTrue="1">
      <formula>IF($R$64&lt;&gt;"",1,0)</formula>
    </cfRule>
  </conditionalFormatting>
  <conditionalFormatting sqref="B33:L33">
    <cfRule type="expression" dxfId="987" priority="45">
      <formula>IF(NoColor,1,0)</formula>
    </cfRule>
  </conditionalFormatting>
  <conditionalFormatting sqref="Q33">
    <cfRule type="expression" dxfId="986" priority="44">
      <formula>IF(NoColor,1,0)</formula>
    </cfRule>
  </conditionalFormatting>
  <conditionalFormatting sqref="O33">
    <cfRule type="expression" dxfId="985" priority="43" stopIfTrue="1">
      <formula>IF($R$64&lt;&gt;"",1,0)</formula>
    </cfRule>
  </conditionalFormatting>
  <conditionalFormatting sqref="O33">
    <cfRule type="expression" dxfId="984" priority="42">
      <formula>IF(NoColor,1,0)</formula>
    </cfRule>
  </conditionalFormatting>
  <conditionalFormatting sqref="B10">
    <cfRule type="expression" dxfId="983" priority="38" stopIfTrue="1">
      <formula>IF($R$64&lt;&gt;"",1,0)</formula>
    </cfRule>
  </conditionalFormatting>
  <conditionalFormatting sqref="B10 D10:M10">
    <cfRule type="expression" dxfId="982" priority="36">
      <formula>IF(NoColor,1,0)</formula>
    </cfRule>
  </conditionalFormatting>
  <conditionalFormatting sqref="N10:O10">
    <cfRule type="expression" dxfId="981" priority="35">
      <formula>IF(NoColor,1,0)</formula>
    </cfRule>
  </conditionalFormatting>
  <conditionalFormatting sqref="C10">
    <cfRule type="expression" dxfId="980" priority="34" stopIfTrue="1">
      <formula>IF($R$64&lt;&gt;"",1,0)</formula>
    </cfRule>
  </conditionalFormatting>
  <conditionalFormatting sqref="C10">
    <cfRule type="expression" dxfId="979" priority="33">
      <formula>IF(NoColor,1,0)</formula>
    </cfRule>
  </conditionalFormatting>
  <conditionalFormatting sqref="D7">
    <cfRule type="expression" dxfId="978" priority="32" stopIfTrue="1">
      <formula>IF($R$64&lt;&gt;"",1,0)</formula>
    </cfRule>
  </conditionalFormatting>
  <conditionalFormatting sqref="D7">
    <cfRule type="expression" dxfId="977" priority="31">
      <formula>IF(NoColor,1,0)</formula>
    </cfRule>
  </conditionalFormatting>
  <conditionalFormatting sqref="D8">
    <cfRule type="expression" dxfId="976" priority="30" stopIfTrue="1">
      <formula>IF($R$64&lt;&gt;"",1,0)</formula>
    </cfRule>
  </conditionalFormatting>
  <conditionalFormatting sqref="D8">
    <cfRule type="expression" dxfId="975" priority="29">
      <formula>IF(NoColor,1,0)</formula>
    </cfRule>
  </conditionalFormatting>
  <conditionalFormatting sqref="C9">
    <cfRule type="expression" dxfId="974" priority="28" stopIfTrue="1">
      <formula>IF($R$64&lt;&gt;"",1,0)</formula>
    </cfRule>
  </conditionalFormatting>
  <conditionalFormatting sqref="C9">
    <cfRule type="expression" dxfId="973" priority="27">
      <formula>IF(NoColor,1,0)</formula>
    </cfRule>
  </conditionalFormatting>
  <conditionalFormatting sqref="P6">
    <cfRule type="expression" dxfId="972" priority="26">
      <formula>IF(NoColor,1,0)</formula>
    </cfRule>
  </conditionalFormatting>
  <conditionalFormatting sqref="P7">
    <cfRule type="expression" dxfId="971" priority="25">
      <formula>IF(NoColor,1,0)</formula>
    </cfRule>
  </conditionalFormatting>
  <conditionalFormatting sqref="P17">
    <cfRule type="expression" dxfId="970" priority="23">
      <formula>IF(NoColor,1,0)</formula>
    </cfRule>
  </conditionalFormatting>
  <conditionalFormatting sqref="P18">
    <cfRule type="expression" dxfId="969" priority="22">
      <formula>IF(NoColor,1,0)</formula>
    </cfRule>
  </conditionalFormatting>
  <conditionalFormatting sqref="Q9:R9">
    <cfRule type="expression" dxfId="968" priority="21" stopIfTrue="1">
      <formula>IF($R$64&lt;&gt;"",1,0)</formula>
    </cfRule>
  </conditionalFormatting>
  <conditionalFormatting sqref="Q9">
    <cfRule type="expression" dxfId="967" priority="20">
      <formula>IF(NoColor,1,0)</formula>
    </cfRule>
  </conditionalFormatting>
  <conditionalFormatting sqref="P9">
    <cfRule type="expression" dxfId="966" priority="19">
      <formula>IF(NoColor,1,0)</formula>
    </cfRule>
  </conditionalFormatting>
  <conditionalFormatting sqref="Q10:R10">
    <cfRule type="expression" dxfId="965" priority="18" stopIfTrue="1">
      <formula>IF($R$64&lt;&gt;"",1,0)</formula>
    </cfRule>
  </conditionalFormatting>
  <conditionalFormatting sqref="Q10">
    <cfRule type="expression" dxfId="964" priority="17">
      <formula>IF(NoColor,1,0)</formula>
    </cfRule>
  </conditionalFormatting>
  <conditionalFormatting sqref="P10">
    <cfRule type="expression" dxfId="963" priority="16">
      <formula>IF(NoColor,1,0)</formula>
    </cfRule>
  </conditionalFormatting>
  <conditionalFormatting sqref="P22">
    <cfRule type="expression" dxfId="962" priority="15">
      <formula>IF(NoColor,1,0)</formula>
    </cfRule>
  </conditionalFormatting>
  <conditionalFormatting sqref="P24">
    <cfRule type="expression" dxfId="961" priority="14">
      <formula>IF(NoColor,1,0)</formula>
    </cfRule>
  </conditionalFormatting>
  <conditionalFormatting sqref="P26">
    <cfRule type="expression" dxfId="960" priority="13">
      <formula>IF(NoColor,1,0)</formula>
    </cfRule>
  </conditionalFormatting>
  <conditionalFormatting sqref="N27">
    <cfRule type="expression" dxfId="959" priority="12">
      <formula>IF(NoColor,1,0)</formula>
    </cfRule>
  </conditionalFormatting>
  <conditionalFormatting sqref="P28">
    <cfRule type="expression" dxfId="958" priority="11">
      <formula>IF(NoColor,1,0)</formula>
    </cfRule>
  </conditionalFormatting>
  <conditionalFormatting sqref="P31">
    <cfRule type="expression" dxfId="957" priority="10">
      <formula>IF(NoColor,1,0)</formula>
    </cfRule>
  </conditionalFormatting>
  <conditionalFormatting sqref="P33">
    <cfRule type="expression" dxfId="956" priority="9">
      <formula>IF(NoColor,1,0)</formula>
    </cfRule>
  </conditionalFormatting>
  <conditionalFormatting sqref="D9">
    <cfRule type="expression" dxfId="955" priority="8" stopIfTrue="1">
      <formula>IF($R$64&lt;&gt;"",1,0)</formula>
    </cfRule>
  </conditionalFormatting>
  <conditionalFormatting sqref="D9">
    <cfRule type="expression" dxfId="954" priority="7">
      <formula>IF(NoColor,1,0)</formula>
    </cfRule>
  </conditionalFormatting>
  <conditionalFormatting sqref="E9">
    <cfRule type="expression" dxfId="953" priority="4">
      <formula>IF(AND(V5,NOT($V$9)),1,0)</formula>
    </cfRule>
    <cfRule type="expression" dxfId="952" priority="5">
      <formula>IF(NoColor,1,0)</formula>
    </cfRule>
  </conditionalFormatting>
  <conditionalFormatting sqref="P8">
    <cfRule type="expression" dxfId="951" priority="1">
      <formula>IF(NoColor,1,0)</formula>
    </cfRule>
  </conditionalFormatting>
  <hyperlinks>
    <hyperlink ref="D148:H148" r:id="rId1" display="Download Form 1040 Schedule D"/>
    <hyperlink ref="D150:H150" r:id="rId2" display="Download Form 1040 Schedule D Instructions"/>
  </hyperlinks>
  <printOptions horizontalCentered="1"/>
  <pageMargins left="0.44" right="0.49" top="0.49" bottom="0.25" header="0.39" footer="0.25"/>
  <pageSetup scale="77" fitToHeight="0" orientation="portrait" horizontalDpi="120" verticalDpi="144" r:id="rId3"/>
  <headerFooter alignWithMargins="0"/>
  <rowBreaks count="3" manualBreakCount="3">
    <brk id="36" max="16383" man="1"/>
    <brk id="63" min="1" max="16" man="1"/>
    <brk id="75" max="16383" man="1"/>
  </rowBreaks>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R67"/>
  <sheetViews>
    <sheetView zoomScale="106" zoomScaleNormal="106" workbookViewId="0">
      <selection activeCell="AN13" sqref="AH1:AN1048576"/>
    </sheetView>
  </sheetViews>
  <sheetFormatPr defaultRowHeight="12.75"/>
  <cols>
    <col min="1" max="1" width="2.140625" customWidth="1"/>
    <col min="2" max="2" width="5.5703125" customWidth="1"/>
    <col min="3" max="3" width="7.85546875" customWidth="1"/>
    <col min="4" max="4" width="10.42578125" customWidth="1"/>
    <col min="5" max="5" width="9.85546875" customWidth="1"/>
    <col min="6" max="6" width="6.140625" customWidth="1"/>
    <col min="7" max="7" width="10" customWidth="1"/>
    <col min="8" max="8" width="5.7109375" customWidth="1"/>
    <col min="9" max="9" width="14.7109375" customWidth="1"/>
    <col min="10" max="10" width="4.7109375" customWidth="1"/>
    <col min="11" max="11" width="14.7109375" customWidth="1"/>
    <col min="12" max="12" width="4.7109375" customWidth="1"/>
    <col min="13" max="13" width="4.140625" customWidth="1"/>
    <col min="14" max="14" width="3.7109375" customWidth="1"/>
    <col min="15" max="15" width="4.140625" customWidth="1"/>
    <col min="16" max="16" width="4" customWidth="1"/>
    <col min="17" max="17" width="4.140625" customWidth="1"/>
    <col min="18" max="18" width="1.85546875" customWidth="1"/>
    <col min="19" max="19" width="1.42578125" customWidth="1"/>
    <col min="20" max="20" width="2.5703125" style="64" customWidth="1"/>
    <col min="21" max="27" width="2.42578125" style="64" customWidth="1"/>
    <col min="28" max="29" width="2.42578125" customWidth="1"/>
    <col min="30" max="30" width="2.5703125" customWidth="1"/>
    <col min="31" max="31" width="3" customWidth="1"/>
    <col min="32" max="32" width="3.42578125" customWidth="1"/>
    <col min="33" max="33" width="3" customWidth="1"/>
    <col min="34" max="34" width="16" hidden="1" customWidth="1"/>
    <col min="35" max="40" width="8.7109375" hidden="1" customWidth="1"/>
    <col min="41" max="43" width="9.140625" customWidth="1"/>
  </cols>
  <sheetData>
    <row r="1" spans="1:40" ht="15" customHeight="1">
      <c r="A1" s="2749"/>
      <c r="B1" s="5358"/>
      <c r="C1" s="5358"/>
      <c r="D1" s="5358"/>
      <c r="E1" s="2999"/>
      <c r="F1" s="857"/>
      <c r="G1" s="857"/>
      <c r="H1" s="857"/>
      <c r="I1" s="857"/>
      <c r="J1" s="857"/>
      <c r="K1" s="857"/>
      <c r="L1" s="857"/>
      <c r="M1" s="857"/>
      <c r="N1" s="857"/>
      <c r="O1" s="857"/>
      <c r="P1" s="857"/>
      <c r="Q1" s="857"/>
      <c r="R1" s="857"/>
      <c r="S1" s="389"/>
    </row>
    <row r="2" spans="1:40" ht="10.5" customHeight="1">
      <c r="A2" s="857"/>
      <c r="B2" s="35"/>
      <c r="C2" s="35"/>
      <c r="D2" s="233"/>
      <c r="E2" s="1946"/>
      <c r="F2" s="35"/>
      <c r="G2" s="35"/>
      <c r="H2" s="35"/>
      <c r="I2" s="35"/>
      <c r="J2" s="35"/>
      <c r="K2" s="35"/>
      <c r="L2" s="35"/>
      <c r="M2" s="35"/>
      <c r="N2" s="5052" t="s">
        <v>249</v>
      </c>
      <c r="O2" s="4962"/>
      <c r="P2" s="4962"/>
      <c r="Q2" s="4962"/>
      <c r="R2" s="130"/>
      <c r="S2" s="44"/>
      <c r="AB2" s="64"/>
      <c r="AC2" s="64"/>
      <c r="AD2" s="64"/>
    </row>
    <row r="3" spans="1:40" ht="24" customHeight="1">
      <c r="A3" s="857"/>
      <c r="B3" s="5359" t="s">
        <v>1278</v>
      </c>
      <c r="C3" s="5360"/>
      <c r="D3" s="5361"/>
      <c r="E3" s="1946"/>
      <c r="F3" s="1947"/>
      <c r="G3" s="190"/>
      <c r="H3" s="1433"/>
      <c r="I3" s="1948" t="s">
        <v>1279</v>
      </c>
      <c r="J3" s="1949"/>
      <c r="K3" s="1949"/>
      <c r="L3" s="190"/>
      <c r="M3" s="190"/>
      <c r="N3" s="5362">
        <f>TaxYear</f>
        <v>2016</v>
      </c>
      <c r="O3" s="4563"/>
      <c r="P3" s="4563"/>
      <c r="Q3" s="4563"/>
      <c r="R3" s="1950"/>
      <c r="S3" s="1951"/>
      <c r="AB3" s="64"/>
      <c r="AC3" s="64"/>
      <c r="AD3" s="64"/>
    </row>
    <row r="4" spans="1:40" ht="15" customHeight="1">
      <c r="A4" s="857"/>
      <c r="B4" s="5359" t="s">
        <v>1280</v>
      </c>
      <c r="C4" s="5360"/>
      <c r="D4" s="5361"/>
      <c r="E4" s="1946"/>
      <c r="F4" s="1952"/>
      <c r="G4" s="1953"/>
      <c r="H4" s="1954"/>
      <c r="I4" s="1956" t="str">
        <f>"(From rental real estate, royalties, partnerships, S corporations, estates, trusts, REMICs, etc.)"</f>
        <v>(From rental real estate, royalties, partnerships, S corporations, estates, trusts, REMICs, etc.)</v>
      </c>
      <c r="J4" s="190"/>
      <c r="K4" s="190"/>
      <c r="L4" s="190"/>
      <c r="M4" s="190"/>
      <c r="N4" s="4881"/>
      <c r="O4" s="4563"/>
      <c r="P4" s="4563"/>
      <c r="Q4" s="4563"/>
      <c r="R4" s="1955"/>
      <c r="S4" s="32"/>
      <c r="AB4" s="64"/>
      <c r="AC4" s="64"/>
      <c r="AD4" s="64"/>
    </row>
    <row r="5" spans="1:40" ht="12.75" customHeight="1">
      <c r="A5" s="857"/>
      <c r="B5" s="5363" t="s">
        <v>293</v>
      </c>
      <c r="C5" s="4563"/>
      <c r="D5" s="5135"/>
      <c r="E5" s="189"/>
      <c r="F5" s="355"/>
      <c r="G5" s="355"/>
      <c r="H5" s="420"/>
      <c r="I5" s="2501" t="s">
        <v>1346</v>
      </c>
      <c r="J5" s="189"/>
      <c r="K5" s="189"/>
      <c r="L5" s="189"/>
      <c r="M5" s="189"/>
      <c r="N5" s="1623"/>
      <c r="O5" s="5363" t="s">
        <v>294</v>
      </c>
      <c r="P5" s="5363"/>
      <c r="Q5" s="5363"/>
      <c r="R5" s="1955"/>
      <c r="S5" s="32"/>
      <c r="T5" s="304"/>
      <c r="U5" s="304"/>
      <c r="V5" s="304"/>
      <c r="W5" s="304"/>
      <c r="X5" s="304"/>
      <c r="Y5" s="304"/>
      <c r="Z5" s="304"/>
      <c r="AA5" s="304"/>
      <c r="AB5" s="304"/>
      <c r="AC5" s="304"/>
      <c r="AD5" s="304"/>
    </row>
    <row r="6" spans="1:40" ht="12.75" customHeight="1" thickBot="1">
      <c r="A6" s="857"/>
      <c r="B6" s="5364" t="s">
        <v>1281</v>
      </c>
      <c r="C6" s="5365"/>
      <c r="D6" s="5366"/>
      <c r="E6" s="5370" t="s">
        <v>1580</v>
      </c>
      <c r="F6" s="5371"/>
      <c r="G6" s="5371"/>
      <c r="H6" s="5371"/>
      <c r="I6" s="5371"/>
      <c r="J6" s="5371"/>
      <c r="K6" s="5371"/>
      <c r="L6" s="5371"/>
      <c r="M6" s="5372"/>
      <c r="N6" s="1957"/>
      <c r="O6" s="219" t="s">
        <v>1282</v>
      </c>
      <c r="P6" s="219"/>
      <c r="Q6" s="32"/>
      <c r="R6" s="1955"/>
      <c r="S6" s="32"/>
      <c r="AB6" s="64"/>
      <c r="AC6" s="64"/>
      <c r="AD6" s="64"/>
    </row>
    <row r="7" spans="1:40" ht="11.25" customHeight="1">
      <c r="A7" s="857"/>
      <c r="B7" s="422" t="s">
        <v>98</v>
      </c>
      <c r="C7" s="222"/>
      <c r="D7" s="189"/>
      <c r="E7" s="191"/>
      <c r="F7" s="1958"/>
      <c r="G7" s="191"/>
      <c r="H7" s="1959"/>
      <c r="I7" s="1960"/>
      <c r="J7" s="1958"/>
      <c r="K7" s="1958"/>
      <c r="L7" s="5267" t="s">
        <v>148</v>
      </c>
      <c r="M7" s="5383"/>
      <c r="N7" s="5383"/>
      <c r="O7" s="5383"/>
      <c r="P7" s="5383"/>
      <c r="Q7" s="5383"/>
      <c r="R7" s="979"/>
      <c r="S7" s="329"/>
      <c r="AB7" s="64"/>
      <c r="AC7" s="64"/>
      <c r="AD7" s="64"/>
    </row>
    <row r="8" spans="1:40" ht="14.25" customHeight="1">
      <c r="A8" s="857"/>
      <c r="B8" s="5387" t="str">
        <f>Names</f>
        <v/>
      </c>
      <c r="C8" s="5388"/>
      <c r="D8" s="5388"/>
      <c r="E8" s="5388"/>
      <c r="F8" s="5388"/>
      <c r="G8" s="5388"/>
      <c r="H8" s="5388"/>
      <c r="I8" s="5388"/>
      <c r="J8" s="5388"/>
      <c r="K8" s="5389"/>
      <c r="L8" s="5381">
        <f>SS_Yours</f>
        <v>0</v>
      </c>
      <c r="M8" s="5382"/>
      <c r="N8" s="5382"/>
      <c r="O8" s="5382"/>
      <c r="P8" s="5382"/>
      <c r="Q8" s="5382"/>
      <c r="R8" s="1961"/>
      <c r="S8" s="1962"/>
      <c r="AB8" s="64"/>
      <c r="AC8" s="64"/>
      <c r="AD8" s="64"/>
    </row>
    <row r="9" spans="1:40">
      <c r="A9" s="857"/>
      <c r="B9" s="1963" t="s">
        <v>92</v>
      </c>
      <c r="C9" s="315" t="s">
        <v>1283</v>
      </c>
      <c r="D9" s="190"/>
      <c r="E9" s="190"/>
      <c r="F9" s="190"/>
      <c r="G9" s="190"/>
      <c r="H9" s="190"/>
      <c r="I9" s="1953" t="s">
        <v>1284</v>
      </c>
      <c r="J9" s="190"/>
      <c r="K9" s="190"/>
      <c r="L9" s="190"/>
      <c r="M9" s="190"/>
      <c r="N9" s="190"/>
      <c r="O9" s="233"/>
      <c r="P9" s="189"/>
      <c r="Q9" s="189"/>
      <c r="R9" s="1964"/>
      <c r="S9" s="189"/>
      <c r="AB9" s="64"/>
      <c r="AC9" s="64"/>
      <c r="AD9" s="64"/>
    </row>
    <row r="10" spans="1:40">
      <c r="A10" s="857"/>
      <c r="B10" s="27"/>
      <c r="C10" s="209" t="s">
        <v>2042</v>
      </c>
      <c r="D10" s="27"/>
      <c r="E10" s="27"/>
      <c r="F10" s="27"/>
      <c r="G10" s="27"/>
      <c r="H10" s="27"/>
      <c r="I10" s="27"/>
      <c r="J10" s="27"/>
      <c r="K10" s="27"/>
      <c r="L10" s="27"/>
      <c r="M10" s="27"/>
      <c r="N10" s="27"/>
      <c r="O10" s="27"/>
      <c r="P10" s="27"/>
      <c r="Q10" s="27"/>
      <c r="R10" s="1964"/>
      <c r="S10" s="189"/>
      <c r="AB10" s="64"/>
      <c r="AC10" s="64"/>
      <c r="AD10" s="64"/>
    </row>
    <row r="11" spans="1:40" ht="14.25" customHeight="1">
      <c r="A11" s="857"/>
      <c r="B11" s="2047" t="s">
        <v>235</v>
      </c>
      <c r="C11" s="2045" t="str">
        <f>"Did you make any payments in "&amp;TaxYear&amp;" that would require you to file Form(s) 1099? (see instructions)"</f>
        <v>Did you make any payments in 2016 that would require you to file Form(s) 1099? (see instructions)</v>
      </c>
      <c r="D11" s="2045"/>
      <c r="E11" s="2045"/>
      <c r="F11" s="2045"/>
      <c r="G11" s="2045"/>
      <c r="H11" s="2045"/>
      <c r="I11" s="2045"/>
      <c r="J11" s="2045"/>
      <c r="K11" s="2045"/>
      <c r="L11" s="2045"/>
      <c r="M11" s="2046"/>
      <c r="N11" s="3113"/>
      <c r="O11" s="2050" t="s">
        <v>436</v>
      </c>
      <c r="P11" s="3113"/>
      <c r="Q11" s="2050" t="s">
        <v>437</v>
      </c>
      <c r="R11" s="1961"/>
      <c r="S11" s="1962"/>
      <c r="AB11" s="64"/>
      <c r="AC11" s="64"/>
      <c r="AD11" s="64"/>
    </row>
    <row r="12" spans="1:40" ht="14.25" customHeight="1" thickBot="1">
      <c r="A12" s="857"/>
      <c r="B12" s="2048" t="s">
        <v>462</v>
      </c>
      <c r="C12" s="2049" t="s">
        <v>1347</v>
      </c>
      <c r="D12" s="2049"/>
      <c r="E12" s="2049"/>
      <c r="F12" s="2049"/>
      <c r="G12" s="2049"/>
      <c r="H12" s="2049"/>
      <c r="I12" s="2049"/>
      <c r="J12" s="2049"/>
      <c r="K12" s="2049"/>
      <c r="L12" s="2049"/>
      <c r="M12" s="2052" t="str">
        <f>IF(OR(AND(N11&lt;&gt;"",P11&lt;&gt;""),AND(N12&lt;&gt;"",P12&lt;&gt;"")),"Check only one box.","")</f>
        <v/>
      </c>
      <c r="N12" s="2517"/>
      <c r="O12" s="2051" t="s">
        <v>436</v>
      </c>
      <c r="P12" s="3497"/>
      <c r="Q12" s="2051" t="s">
        <v>437</v>
      </c>
      <c r="R12" s="1961"/>
      <c r="S12" s="1962"/>
      <c r="AB12" s="64"/>
      <c r="AC12" s="64"/>
      <c r="AD12" s="64"/>
    </row>
    <row r="13" spans="1:40" ht="15" customHeight="1">
      <c r="A13" s="857"/>
      <c r="B13" s="2506" t="s">
        <v>18</v>
      </c>
      <c r="C13" s="5314" t="s">
        <v>1496</v>
      </c>
      <c r="D13" s="5315"/>
      <c r="E13" s="5316"/>
      <c r="F13" s="5316"/>
      <c r="G13" s="5316"/>
      <c r="H13" s="5316"/>
      <c r="I13" s="5316"/>
      <c r="J13" s="5316"/>
      <c r="K13" s="5316"/>
      <c r="L13" s="5316"/>
      <c r="M13" s="5316"/>
      <c r="N13" s="5316"/>
      <c r="O13" s="5316"/>
      <c r="P13" s="5316"/>
      <c r="Q13" s="5316"/>
      <c r="R13" s="1964"/>
      <c r="S13" s="1605"/>
      <c r="AB13" s="64"/>
      <c r="AC13" s="64"/>
      <c r="AD13" s="64"/>
    </row>
    <row r="14" spans="1:40" ht="15" customHeight="1">
      <c r="A14" s="857"/>
      <c r="B14" s="2502" t="s">
        <v>235</v>
      </c>
      <c r="C14" s="5317"/>
      <c r="D14" s="5318"/>
      <c r="E14" s="5319"/>
      <c r="F14" s="5319"/>
      <c r="G14" s="5319"/>
      <c r="H14" s="5319"/>
      <c r="I14" s="5319"/>
      <c r="J14" s="5319"/>
      <c r="K14" s="5319"/>
      <c r="L14" s="5319"/>
      <c r="M14" s="5319"/>
      <c r="N14" s="5319"/>
      <c r="O14" s="5319"/>
      <c r="P14" s="5319"/>
      <c r="Q14" s="5319"/>
      <c r="R14" s="1964"/>
      <c r="S14" s="1605"/>
      <c r="AB14" s="64"/>
      <c r="AC14" s="64"/>
      <c r="AD14" s="64"/>
      <c r="AH14" s="3112"/>
      <c r="AI14" s="1215"/>
      <c r="AJ14" s="1215"/>
      <c r="AK14" s="2551"/>
      <c r="AL14" s="2551"/>
      <c r="AM14" s="2551"/>
      <c r="AN14" s="2551"/>
    </row>
    <row r="15" spans="1:40" ht="15" customHeight="1">
      <c r="A15" s="857"/>
      <c r="B15" s="2502" t="s">
        <v>462</v>
      </c>
      <c r="C15" s="5317"/>
      <c r="D15" s="5318"/>
      <c r="E15" s="5319"/>
      <c r="F15" s="5319"/>
      <c r="G15" s="5319"/>
      <c r="H15" s="5319"/>
      <c r="I15" s="5319"/>
      <c r="J15" s="5319"/>
      <c r="K15" s="5319"/>
      <c r="L15" s="5319"/>
      <c r="M15" s="5319"/>
      <c r="N15" s="5319"/>
      <c r="O15" s="5319"/>
      <c r="P15" s="5319"/>
      <c r="Q15" s="5319"/>
      <c r="R15" s="1964"/>
      <c r="S15" s="1605"/>
      <c r="AB15" s="64"/>
      <c r="AC15" s="64"/>
      <c r="AD15" s="64"/>
      <c r="AH15" s="3371">
        <v>1</v>
      </c>
      <c r="AI15" s="3111" t="s">
        <v>2217</v>
      </c>
      <c r="AJ15" s="1215"/>
      <c r="AK15" s="1215"/>
      <c r="AL15" s="2551"/>
      <c r="AM15" s="2551"/>
      <c r="AN15" s="2551"/>
    </row>
    <row r="16" spans="1:40" ht="15" customHeight="1">
      <c r="A16" s="857"/>
      <c r="B16" s="2502" t="s">
        <v>236</v>
      </c>
      <c r="C16" s="5317"/>
      <c r="D16" s="5318"/>
      <c r="E16" s="5319"/>
      <c r="F16" s="5319"/>
      <c r="G16" s="5319"/>
      <c r="H16" s="5319"/>
      <c r="I16" s="5319"/>
      <c r="J16" s="5319"/>
      <c r="K16" s="5319"/>
      <c r="L16" s="5319"/>
      <c r="M16" s="5319"/>
      <c r="N16" s="5319"/>
      <c r="O16" s="5319"/>
      <c r="P16" s="5319"/>
      <c r="Q16" s="5319"/>
      <c r="R16" s="1964"/>
      <c r="S16" s="1605"/>
      <c r="AB16" s="64"/>
      <c r="AC16" s="64"/>
      <c r="AD16" s="64"/>
      <c r="AF16" s="437"/>
      <c r="AG16" s="437"/>
      <c r="AH16" s="3371">
        <v>2</v>
      </c>
      <c r="AI16" s="3111" t="s">
        <v>2218</v>
      </c>
      <c r="AJ16" s="1215"/>
      <c r="AK16" s="1215"/>
      <c r="AL16" s="2551"/>
      <c r="AM16" s="2551"/>
      <c r="AN16" s="2551"/>
    </row>
    <row r="17" spans="1:44" ht="29.25" customHeight="1">
      <c r="A17" s="857"/>
      <c r="B17" s="2507" t="s">
        <v>21</v>
      </c>
      <c r="C17" s="5341" t="s">
        <v>1495</v>
      </c>
      <c r="D17" s="5342"/>
      <c r="E17" s="2508" t="str">
        <f>"2   "</f>
        <v xml:space="preserve">2   </v>
      </c>
      <c r="F17" s="5326" t="s">
        <v>1498</v>
      </c>
      <c r="G17" s="5327"/>
      <c r="H17" s="5327"/>
      <c r="I17" s="5327"/>
      <c r="J17" s="2509"/>
      <c r="K17" s="2510" t="s">
        <v>1497</v>
      </c>
      <c r="L17" s="5320" t="s">
        <v>1349</v>
      </c>
      <c r="M17" s="5321"/>
      <c r="N17" s="5322"/>
      <c r="O17" s="5320" t="s">
        <v>1348</v>
      </c>
      <c r="P17" s="5321"/>
      <c r="Q17" s="5321"/>
      <c r="R17" s="1964"/>
      <c r="S17" s="420"/>
      <c r="AB17" s="64"/>
      <c r="AC17" s="64"/>
      <c r="AD17" s="64"/>
      <c r="AF17" s="437"/>
      <c r="AG17" s="437"/>
      <c r="AH17" s="3371">
        <v>3</v>
      </c>
      <c r="AI17" s="3111" t="s">
        <v>2697</v>
      </c>
      <c r="AJ17" s="1215"/>
      <c r="AK17" s="1215"/>
      <c r="AL17" s="2551"/>
      <c r="AM17" s="2551"/>
      <c r="AN17" s="3498" t="s">
        <v>2696</v>
      </c>
    </row>
    <row r="18" spans="1:44" ht="14.25" customHeight="1">
      <c r="A18" s="857"/>
      <c r="B18" s="2053" t="s">
        <v>235</v>
      </c>
      <c r="C18" s="5373"/>
      <c r="D18" s="5374"/>
      <c r="E18" s="2503"/>
      <c r="F18" s="5327"/>
      <c r="G18" s="5327"/>
      <c r="H18" s="5327"/>
      <c r="I18" s="5327"/>
      <c r="J18" s="2505" t="s">
        <v>235</v>
      </c>
      <c r="K18" s="2639"/>
      <c r="L18" s="5323"/>
      <c r="M18" s="5324"/>
      <c r="N18" s="5325"/>
      <c r="O18" s="2996"/>
      <c r="P18" s="3113"/>
      <c r="Q18" s="2997"/>
      <c r="R18" s="1964"/>
      <c r="S18" s="324"/>
      <c r="T18" s="2552"/>
      <c r="U18" s="2552"/>
      <c r="V18" s="2552"/>
      <c r="W18" s="2552"/>
      <c r="X18" s="2552"/>
      <c r="Y18" s="2552"/>
      <c r="Z18" s="2552"/>
      <c r="AA18" s="2552"/>
      <c r="AB18" s="2552"/>
      <c r="AC18" s="2552"/>
      <c r="AD18" s="2552"/>
      <c r="AE18" s="2551"/>
      <c r="AF18" s="1215"/>
      <c r="AG18" s="1215"/>
      <c r="AH18" s="3371">
        <v>4</v>
      </c>
      <c r="AI18" s="3111" t="s">
        <v>2219</v>
      </c>
      <c r="AJ18" s="1215"/>
      <c r="AK18" s="1215"/>
      <c r="AL18" s="2551"/>
      <c r="AM18" s="2551"/>
      <c r="AN18" s="3499" t="b">
        <f>IF(AND(C18&lt;&gt;"",OR(C18&lt;1,C18&gt;8,ISERROR(I27))),TRUE,FALSE)</f>
        <v>0</v>
      </c>
      <c r="AO18" s="2551"/>
      <c r="AP18" s="2551"/>
      <c r="AQ18" s="2551"/>
    </row>
    <row r="19" spans="1:44" ht="14.25" customHeight="1">
      <c r="A19" s="857"/>
      <c r="B19" s="2053" t="s">
        <v>462</v>
      </c>
      <c r="C19" s="5329"/>
      <c r="D19" s="5330"/>
      <c r="E19" s="2503"/>
      <c r="F19" s="5327"/>
      <c r="G19" s="5327"/>
      <c r="H19" s="5327"/>
      <c r="I19" s="5327"/>
      <c r="J19" s="2505" t="s">
        <v>462</v>
      </c>
      <c r="K19" s="2639"/>
      <c r="L19" s="5323"/>
      <c r="M19" s="5324"/>
      <c r="N19" s="5325"/>
      <c r="O19" s="2996"/>
      <c r="P19" s="3113"/>
      <c r="Q19" s="2997"/>
      <c r="R19" s="1964"/>
      <c r="S19" s="324"/>
      <c r="T19" s="2552"/>
      <c r="U19" s="2552"/>
      <c r="V19" s="2552"/>
      <c r="W19" s="2552"/>
      <c r="X19" s="2552"/>
      <c r="Y19" s="2552"/>
      <c r="Z19" s="2552"/>
      <c r="AA19" s="2552"/>
      <c r="AB19" s="2552"/>
      <c r="AC19" s="2552"/>
      <c r="AD19" s="2552"/>
      <c r="AE19" s="2551"/>
      <c r="AF19" s="3368"/>
      <c r="AG19" s="1215"/>
      <c r="AH19" s="3371">
        <v>5</v>
      </c>
      <c r="AI19" s="3111" t="s">
        <v>2220</v>
      </c>
      <c r="AJ19" s="2551"/>
      <c r="AK19" s="2551"/>
      <c r="AL19" s="2551"/>
      <c r="AM19" s="2551"/>
      <c r="AN19" s="3499" t="b">
        <f>IF(AND(C19&lt;&gt;"",OR(C19&lt;1,C19&gt;8,ISERROR(K27))),TRUE,FALSE)</f>
        <v>0</v>
      </c>
      <c r="AO19" s="2551"/>
      <c r="AP19" s="2551"/>
      <c r="AQ19" s="2551"/>
      <c r="AR19" s="2551"/>
    </row>
    <row r="20" spans="1:44" ht="14.25" customHeight="1">
      <c r="A20" s="857"/>
      <c r="B20" s="2053" t="s">
        <v>236</v>
      </c>
      <c r="C20" s="5339"/>
      <c r="D20" s="5340"/>
      <c r="E20" s="2504"/>
      <c r="F20" s="5328"/>
      <c r="G20" s="5328"/>
      <c r="H20" s="5328"/>
      <c r="I20" s="5328"/>
      <c r="J20" s="2505" t="s">
        <v>236</v>
      </c>
      <c r="K20" s="2639"/>
      <c r="L20" s="5323"/>
      <c r="M20" s="5324"/>
      <c r="N20" s="5325"/>
      <c r="O20" s="2996"/>
      <c r="P20" s="3113"/>
      <c r="Q20" s="2997"/>
      <c r="R20" s="1964"/>
      <c r="S20" s="324"/>
      <c r="T20" s="2552"/>
      <c r="U20" s="2552"/>
      <c r="V20" s="2552"/>
      <c r="W20" s="2552"/>
      <c r="X20" s="2552"/>
      <c r="Y20" s="2552"/>
      <c r="Z20" s="2552"/>
      <c r="AA20" s="2552"/>
      <c r="AB20" s="2552"/>
      <c r="AC20" s="2552"/>
      <c r="AD20" s="2552"/>
      <c r="AE20" s="2551"/>
      <c r="AF20" s="3368"/>
      <c r="AG20" s="1215"/>
      <c r="AH20" s="3371">
        <v>6</v>
      </c>
      <c r="AI20" s="3111" t="s">
        <v>2221</v>
      </c>
      <c r="AJ20" s="2551"/>
      <c r="AK20" s="2551"/>
      <c r="AL20" s="2551"/>
      <c r="AM20" s="2551"/>
      <c r="AN20" s="3499" t="b">
        <f>IF(AND(C20&lt;&gt;"",OR(C20&lt;1,C20&gt;8,ISERROR(M27))),TRUE,FALSE)</f>
        <v>0</v>
      </c>
      <c r="AO20" s="2551"/>
      <c r="AP20" s="2551"/>
      <c r="AQ20" s="2551"/>
      <c r="AR20" s="2551"/>
    </row>
    <row r="21" spans="1:44" ht="13.5" customHeight="1">
      <c r="A21" s="857"/>
      <c r="B21" s="224" t="s">
        <v>1350</v>
      </c>
      <c r="C21" s="298"/>
      <c r="D21" s="76"/>
      <c r="E21" s="5307" t="str">
        <f>IF(AN21,"The 'Type of Property' must be entered as a number (1 - 8).","")</f>
        <v/>
      </c>
      <c r="F21" s="5308"/>
      <c r="G21" s="5308"/>
      <c r="H21" s="5308"/>
      <c r="I21" s="5308"/>
      <c r="J21" s="5308"/>
      <c r="K21" s="5308"/>
      <c r="L21" s="5308"/>
      <c r="M21" s="5308"/>
      <c r="N21" s="5308"/>
      <c r="O21" s="5308"/>
      <c r="P21" s="5308"/>
      <c r="Q21" s="5308"/>
      <c r="R21" s="1964"/>
      <c r="S21" s="324"/>
      <c r="T21" s="2552"/>
      <c r="U21" s="2552"/>
      <c r="V21" s="2552"/>
      <c r="W21" s="2552"/>
      <c r="X21" s="2552"/>
      <c r="Y21" s="2552"/>
      <c r="Z21" s="2552"/>
      <c r="AA21" s="2552"/>
      <c r="AB21" s="2552"/>
      <c r="AC21" s="2552"/>
      <c r="AD21" s="2552"/>
      <c r="AE21" s="2551"/>
      <c r="AF21" s="3368"/>
      <c r="AG21" s="1215"/>
      <c r="AH21" s="3371">
        <v>7</v>
      </c>
      <c r="AI21" s="3111" t="s">
        <v>2222</v>
      </c>
      <c r="AJ21" s="2551">
        <f>IF($C18&lt;&gt;6,I25,0)</f>
        <v>0</v>
      </c>
      <c r="AK21" s="3110">
        <f>IF($C19&lt;&gt;6,K25,0)</f>
        <v>0</v>
      </c>
      <c r="AL21" s="3110">
        <f>IF($C20&lt;&gt;6,M25,0)</f>
        <v>0</v>
      </c>
      <c r="AM21" s="2551">
        <f>SUM(AJ21:AL21)</f>
        <v>0</v>
      </c>
      <c r="AN21" s="3499" t="b">
        <f>OR(AN18,AN19,AN20)</f>
        <v>0</v>
      </c>
      <c r="AO21" s="2551"/>
      <c r="AP21" s="2551"/>
      <c r="AQ21" s="2551"/>
      <c r="AR21" s="2551"/>
    </row>
    <row r="22" spans="1:44" ht="12" customHeight="1">
      <c r="A22" s="857"/>
      <c r="B22" s="298" t="s">
        <v>1351</v>
      </c>
      <c r="C22" s="298"/>
      <c r="D22" s="76"/>
      <c r="E22" s="298" t="s">
        <v>1352</v>
      </c>
      <c r="F22" s="76"/>
      <c r="G22" s="76"/>
      <c r="H22" s="298"/>
      <c r="I22" s="298" t="s">
        <v>1353</v>
      </c>
      <c r="J22" s="298" t="s">
        <v>1354</v>
      </c>
      <c r="K22" s="2054"/>
      <c r="L22" s="5402"/>
      <c r="M22" s="5402"/>
      <c r="N22" s="5402"/>
      <c r="O22" s="5402"/>
      <c r="P22" s="5402"/>
      <c r="Q22" s="5402"/>
      <c r="R22" s="1964"/>
      <c r="S22" s="324"/>
      <c r="T22" s="2552"/>
      <c r="U22" s="2552"/>
      <c r="V22" s="2552"/>
      <c r="W22" s="2552"/>
      <c r="X22" s="2552"/>
      <c r="Y22" s="2552"/>
      <c r="Z22" s="2552"/>
      <c r="AA22" s="2552"/>
      <c r="AB22" s="2552"/>
      <c r="AC22" s="2552"/>
      <c r="AD22" s="2552"/>
      <c r="AE22" s="2551"/>
      <c r="AF22" s="3368"/>
      <c r="AG22" s="1215"/>
      <c r="AH22" s="3371">
        <v>8</v>
      </c>
      <c r="AI22" s="3111" t="s">
        <v>645</v>
      </c>
      <c r="AJ22" s="3110">
        <f>IF($C18=6,I26,0)</f>
        <v>0</v>
      </c>
      <c r="AK22" s="3110">
        <f>IF($C19=6,K26,0)</f>
        <v>0</v>
      </c>
      <c r="AL22" s="3110">
        <f>IF($C20=6,M26,0)</f>
        <v>0</v>
      </c>
      <c r="AM22" s="3110">
        <f>SUM(AJ22:AL22)</f>
        <v>0</v>
      </c>
      <c r="AN22" s="3500"/>
      <c r="AO22" s="2551"/>
      <c r="AP22" s="2551"/>
      <c r="AQ22" s="2551"/>
      <c r="AR22" s="2551"/>
    </row>
    <row r="23" spans="1:44" ht="12" customHeight="1">
      <c r="A23" s="857"/>
      <c r="B23" s="429" t="s">
        <v>1355</v>
      </c>
      <c r="C23" s="429"/>
      <c r="D23" s="2055"/>
      <c r="E23" s="429" t="s">
        <v>1356</v>
      </c>
      <c r="F23" s="2055"/>
      <c r="G23" s="2055"/>
      <c r="H23" s="429"/>
      <c r="I23" s="429" t="s">
        <v>1357</v>
      </c>
      <c r="J23" s="429" t="s">
        <v>1358</v>
      </c>
      <c r="K23" s="2056"/>
      <c r="L23" s="5403"/>
      <c r="M23" s="5403"/>
      <c r="N23" s="5403"/>
      <c r="O23" s="5403"/>
      <c r="P23" s="5403"/>
      <c r="Q23" s="5403"/>
      <c r="R23" s="1964"/>
      <c r="S23" s="324"/>
      <c r="T23" s="2552"/>
      <c r="U23" s="2552"/>
      <c r="V23" s="2552"/>
      <c r="W23" s="2552"/>
      <c r="X23" s="2552"/>
      <c r="Y23" s="2552"/>
      <c r="Z23" s="2552"/>
      <c r="AA23" s="2552"/>
      <c r="AB23" s="2552"/>
      <c r="AC23" s="2552"/>
      <c r="AD23" s="2552"/>
      <c r="AE23" s="2551"/>
      <c r="AF23" s="3368"/>
      <c r="AG23" s="2551"/>
      <c r="AH23" s="3371"/>
      <c r="AI23" s="3111"/>
      <c r="AJ23" s="3368"/>
      <c r="AK23" s="3368"/>
      <c r="AL23" s="3368"/>
      <c r="AM23" s="3368"/>
      <c r="AN23" s="3368"/>
      <c r="AO23" s="2551"/>
      <c r="AP23" s="2551"/>
      <c r="AQ23" s="2551"/>
      <c r="AR23" s="2551"/>
    </row>
    <row r="24" spans="1:44" ht="9.75" customHeight="1">
      <c r="A24" s="857"/>
      <c r="B24" s="5378" t="s">
        <v>1500</v>
      </c>
      <c r="C24" s="5379"/>
      <c r="D24" s="5380"/>
      <c r="E24" s="5375" t="s">
        <v>1499</v>
      </c>
      <c r="F24" s="5376"/>
      <c r="G24" s="5376"/>
      <c r="H24" s="5377"/>
      <c r="I24" s="5331" t="s">
        <v>235</v>
      </c>
      <c r="J24" s="5332"/>
      <c r="K24" s="5331" t="s">
        <v>462</v>
      </c>
      <c r="L24" s="5332"/>
      <c r="M24" s="5337" t="s">
        <v>236</v>
      </c>
      <c r="N24" s="5338"/>
      <c r="O24" s="5338"/>
      <c r="P24" s="5338"/>
      <c r="Q24" s="5338"/>
      <c r="R24" s="1964"/>
      <c r="S24" s="324"/>
      <c r="T24" s="2552"/>
      <c r="U24" s="2552"/>
      <c r="V24" s="2552"/>
      <c r="W24" s="2552"/>
      <c r="X24" s="2552"/>
      <c r="Y24" s="2552"/>
      <c r="Z24" s="2552"/>
      <c r="AA24" s="2552"/>
      <c r="AB24" s="2552"/>
      <c r="AC24" s="2552"/>
      <c r="AD24" s="2552"/>
      <c r="AE24" s="2551"/>
      <c r="AF24" s="3368"/>
      <c r="AG24" s="2551"/>
      <c r="AH24" s="3371"/>
      <c r="AI24" s="3111"/>
      <c r="AJ24" s="3368"/>
      <c r="AK24" s="3368"/>
      <c r="AL24" s="3368"/>
      <c r="AM24" s="3368"/>
      <c r="AN24" s="3368"/>
      <c r="AO24" s="2551"/>
      <c r="AP24" s="2551"/>
      <c r="AQ24" s="2551"/>
      <c r="AR24" s="2551"/>
    </row>
    <row r="25" spans="1:44" ht="13.5" customHeight="1">
      <c r="A25" s="857"/>
      <c r="B25" s="2998">
        <v>3</v>
      </c>
      <c r="C25" s="2512" t="s">
        <v>1501</v>
      </c>
      <c r="D25" s="2512"/>
      <c r="E25" s="2512"/>
      <c r="F25" s="2512"/>
      <c r="G25" s="2513"/>
      <c r="H25" s="1628">
        <v>3</v>
      </c>
      <c r="I25" s="5309"/>
      <c r="J25" s="5311"/>
      <c r="K25" s="5309"/>
      <c r="L25" s="5311"/>
      <c r="M25" s="5309"/>
      <c r="N25" s="5310"/>
      <c r="O25" s="5310"/>
      <c r="P25" s="5310"/>
      <c r="Q25" s="5310"/>
      <c r="R25" s="1964"/>
      <c r="S25" s="324"/>
      <c r="T25" s="2552"/>
      <c r="U25" s="2552"/>
      <c r="V25" s="2552"/>
      <c r="W25" s="2552"/>
      <c r="X25" s="2552"/>
      <c r="Y25" s="2552"/>
      <c r="Z25" s="2552"/>
      <c r="AA25" s="2552"/>
      <c r="AB25" s="2552"/>
      <c r="AC25" s="2552"/>
      <c r="AD25" s="2552"/>
      <c r="AE25" s="2551"/>
      <c r="AF25" s="3368"/>
      <c r="AG25" s="2551"/>
      <c r="AH25" s="3112"/>
      <c r="AI25" s="3368" t="b">
        <f>IF(AND($C$18="",OR($I$25&gt;0,$I$26&gt;0)),TRUE,FALSE)</f>
        <v>0</v>
      </c>
      <c r="AJ25" s="3368" t="b">
        <f>IF(AND($C$19="",OR($K$25&gt;0,$K$26&gt;0)),TRUE,FALSE)</f>
        <v>0</v>
      </c>
      <c r="AK25" s="3368" t="b">
        <f>IF(AND($C$20="",OR($M$25&gt;0,$M$26&gt;0)),TRUE,FALSE)</f>
        <v>0</v>
      </c>
      <c r="AL25" s="3368"/>
      <c r="AM25" s="3368"/>
      <c r="AN25" s="3368"/>
      <c r="AO25" s="2551"/>
      <c r="AP25" s="2551"/>
      <c r="AQ25" s="2551"/>
      <c r="AR25" s="2551"/>
    </row>
    <row r="26" spans="1:44" ht="12.75" customHeight="1">
      <c r="A26" s="857"/>
      <c r="B26" s="2511">
        <v>4</v>
      </c>
      <c r="C26" s="5333" t="s">
        <v>1502</v>
      </c>
      <c r="D26" s="5333"/>
      <c r="E26" s="5333"/>
      <c r="F26" s="5333"/>
      <c r="G26" s="5334"/>
      <c r="H26" s="1460">
        <v>4</v>
      </c>
      <c r="I26" s="5309"/>
      <c r="J26" s="5311"/>
      <c r="K26" s="5309"/>
      <c r="L26" s="5311"/>
      <c r="M26" s="5309"/>
      <c r="N26" s="5310"/>
      <c r="O26" s="5310"/>
      <c r="P26" s="5310"/>
      <c r="Q26" s="5310"/>
      <c r="R26" s="1964"/>
      <c r="S26" s="324"/>
      <c r="T26" s="2552"/>
      <c r="U26" s="2552"/>
      <c r="V26" s="2552"/>
      <c r="W26" s="2552"/>
      <c r="X26" s="2552"/>
      <c r="Y26" s="2552"/>
      <c r="Z26" s="2552"/>
      <c r="AA26" s="2552"/>
      <c r="AB26" s="2552"/>
      <c r="AC26" s="2552"/>
      <c r="AD26" s="2552"/>
      <c r="AE26" s="2551"/>
      <c r="AF26" s="3368"/>
      <c r="AG26" s="2551"/>
      <c r="AH26" s="2556"/>
      <c r="AI26" s="2551"/>
      <c r="AJ26" s="3368"/>
      <c r="AK26" s="3368"/>
      <c r="AL26" s="2551"/>
      <c r="AM26" s="2551"/>
      <c r="AN26" s="2551"/>
      <c r="AO26" s="2551"/>
      <c r="AP26" s="2551"/>
      <c r="AQ26" s="2551"/>
      <c r="AR26" s="2551"/>
    </row>
    <row r="27" spans="1:44" ht="12.75" customHeight="1">
      <c r="A27" s="857"/>
      <c r="B27" s="224" t="s">
        <v>1285</v>
      </c>
      <c r="C27" s="189"/>
      <c r="D27" s="5343" t="str">
        <f>IF(OR($AI$25,$AJ$25,$AK$25),"Enter correct property type in Line 1b.","")</f>
        <v/>
      </c>
      <c r="E27" s="5344"/>
      <c r="F27" s="5344"/>
      <c r="G27" s="5345"/>
      <c r="H27" s="2059"/>
      <c r="I27" s="5335" t="str">
        <f>IF($C18="","",LOOKUP($C$18,$AH$15:$AH$22,$AI$15:$AI$22))</f>
        <v/>
      </c>
      <c r="J27" s="5336"/>
      <c r="K27" s="5335" t="str">
        <f>IF($C19="","",LOOKUP($C$19,$AH$15:$AH$22,$AI$15:$AI$22))</f>
        <v/>
      </c>
      <c r="L27" s="5336"/>
      <c r="M27" s="5335" t="str">
        <f>IF($C20="","",LOOKUP($C$20,$AH$15:$AH$22,$AI$15:$AI$22))</f>
        <v/>
      </c>
      <c r="N27" s="5392"/>
      <c r="O27" s="5392"/>
      <c r="P27" s="5392"/>
      <c r="Q27" s="5392"/>
      <c r="R27" s="1964"/>
      <c r="S27" s="324"/>
      <c r="T27" s="2552"/>
      <c r="U27" s="2552"/>
      <c r="V27" s="2552"/>
      <c r="W27" s="2552"/>
      <c r="X27" s="2552"/>
      <c r="Y27" s="2552"/>
      <c r="Z27" s="2552"/>
      <c r="AA27" s="2552"/>
      <c r="AB27" s="2552"/>
      <c r="AC27" s="2552"/>
      <c r="AD27" s="2552"/>
      <c r="AE27" s="2551"/>
      <c r="AF27" s="2551"/>
      <c r="AG27" s="2551"/>
      <c r="AH27" s="2556"/>
      <c r="AI27" s="2551"/>
      <c r="AJ27" s="2551"/>
      <c r="AK27" s="2551"/>
      <c r="AL27" s="2551"/>
      <c r="AM27" s="2551"/>
      <c r="AN27" s="2551"/>
      <c r="AO27" s="2551"/>
      <c r="AP27" s="2551"/>
      <c r="AQ27" s="2551"/>
    </row>
    <row r="28" spans="1:44" ht="15.75" customHeight="1">
      <c r="A28" s="857"/>
      <c r="B28" s="223">
        <v>5</v>
      </c>
      <c r="C28" s="225" t="s">
        <v>1286</v>
      </c>
      <c r="D28" s="189"/>
      <c r="E28" s="189"/>
      <c r="F28" s="189"/>
      <c r="G28" s="302" t="s">
        <v>260</v>
      </c>
      <c r="H28" s="1630">
        <v>5</v>
      </c>
      <c r="I28" s="5367"/>
      <c r="J28" s="5369"/>
      <c r="K28" s="5367"/>
      <c r="L28" s="5369"/>
      <c r="M28" s="5367"/>
      <c r="N28" s="5368"/>
      <c r="O28" s="5368"/>
      <c r="P28" s="5368"/>
      <c r="Q28" s="5368"/>
      <c r="R28" s="1964"/>
      <c r="S28" s="324"/>
      <c r="T28" s="2552"/>
      <c r="U28" s="2552"/>
      <c r="V28" s="2552"/>
      <c r="W28" s="2552"/>
      <c r="X28" s="2552"/>
      <c r="Y28" s="2552"/>
      <c r="Z28" s="2552"/>
      <c r="AA28" s="2552"/>
      <c r="AB28" s="2552"/>
      <c r="AC28" s="2552"/>
      <c r="AD28" s="2552"/>
      <c r="AE28" s="2551"/>
      <c r="AF28" s="2551"/>
      <c r="AG28" s="2551"/>
      <c r="AH28" s="2556"/>
      <c r="AI28" s="2551"/>
      <c r="AJ28" s="2551"/>
      <c r="AK28" s="2551"/>
      <c r="AL28" s="2551"/>
      <c r="AM28" s="2551"/>
      <c r="AN28" s="2551"/>
    </row>
    <row r="29" spans="1:44" ht="11.25" customHeight="1">
      <c r="A29" s="857"/>
      <c r="B29" s="223">
        <v>6</v>
      </c>
      <c r="C29" s="225" t="s">
        <v>1360</v>
      </c>
      <c r="D29" s="189"/>
      <c r="E29" s="189"/>
      <c r="F29" s="189"/>
      <c r="G29" s="302" t="s">
        <v>1002</v>
      </c>
      <c r="H29" s="1630">
        <v>6</v>
      </c>
      <c r="I29" s="5309"/>
      <c r="J29" s="5311"/>
      <c r="K29" s="5309"/>
      <c r="L29" s="5311"/>
      <c r="M29" s="5309"/>
      <c r="N29" s="5310"/>
      <c r="O29" s="5310"/>
      <c r="P29" s="5310"/>
      <c r="Q29" s="5310"/>
      <c r="R29" s="1964"/>
      <c r="S29" s="324"/>
      <c r="T29" s="2552"/>
      <c r="U29" s="2552"/>
      <c r="V29" s="2552"/>
      <c r="W29" s="2552"/>
      <c r="X29" s="2552"/>
      <c r="Y29" s="2552"/>
      <c r="Z29" s="2552"/>
      <c r="AA29" s="2552"/>
      <c r="AB29" s="2552"/>
      <c r="AC29" s="2552"/>
      <c r="AD29" s="2552"/>
      <c r="AE29" s="2551"/>
      <c r="AF29" s="2551"/>
      <c r="AG29" s="2551"/>
      <c r="AH29" s="2556"/>
      <c r="AI29" s="2551"/>
      <c r="AJ29" s="2551"/>
      <c r="AK29" s="2551"/>
      <c r="AL29" s="2551"/>
      <c r="AM29" s="2551"/>
      <c r="AN29" s="2551"/>
    </row>
    <row r="30" spans="1:44" ht="11.25" customHeight="1">
      <c r="A30" s="857"/>
      <c r="B30" s="223">
        <v>7</v>
      </c>
      <c r="C30" s="225" t="s">
        <v>1287</v>
      </c>
      <c r="D30" s="189"/>
      <c r="E30" s="189"/>
      <c r="F30" s="189"/>
      <c r="G30" s="302" t="s">
        <v>923</v>
      </c>
      <c r="H30" s="1630">
        <v>7</v>
      </c>
      <c r="I30" s="5309"/>
      <c r="J30" s="5311"/>
      <c r="K30" s="5309"/>
      <c r="L30" s="5311"/>
      <c r="M30" s="5309"/>
      <c r="N30" s="5310"/>
      <c r="O30" s="5310"/>
      <c r="P30" s="5310"/>
      <c r="Q30" s="5310"/>
      <c r="R30" s="1964"/>
      <c r="S30" s="324"/>
      <c r="T30" s="2552"/>
      <c r="U30" s="2552"/>
      <c r="V30" s="2552"/>
      <c r="W30" s="2552"/>
      <c r="X30" s="2552"/>
      <c r="Y30" s="2552"/>
      <c r="Z30" s="2552"/>
      <c r="AA30" s="2552"/>
      <c r="AB30" s="2552"/>
      <c r="AC30" s="2552"/>
      <c r="AD30" s="2552"/>
      <c r="AE30" s="2551"/>
      <c r="AF30" s="2551"/>
      <c r="AG30" s="2551"/>
      <c r="AH30" s="2556"/>
      <c r="AI30" s="2551"/>
      <c r="AJ30" s="2551"/>
      <c r="AK30" s="2551"/>
      <c r="AL30" s="2551"/>
      <c r="AM30" s="2551"/>
      <c r="AN30" s="2551"/>
      <c r="AO30" s="2551"/>
      <c r="AP30" s="2551"/>
      <c r="AQ30" s="2551"/>
    </row>
    <row r="31" spans="1:44" ht="12.75" customHeight="1">
      <c r="A31" s="857"/>
      <c r="B31" s="223">
        <v>8</v>
      </c>
      <c r="C31" s="225" t="s">
        <v>1288</v>
      </c>
      <c r="D31" s="189"/>
      <c r="E31" s="189"/>
      <c r="F31" s="189"/>
      <c r="G31" s="302" t="s">
        <v>1001</v>
      </c>
      <c r="H31" s="1630">
        <v>8</v>
      </c>
      <c r="I31" s="5309"/>
      <c r="J31" s="5311"/>
      <c r="K31" s="5309"/>
      <c r="L31" s="5311"/>
      <c r="M31" s="5309"/>
      <c r="N31" s="5310"/>
      <c r="O31" s="5310"/>
      <c r="P31" s="5310"/>
      <c r="Q31" s="5310"/>
      <c r="R31" s="1964"/>
      <c r="S31" s="324"/>
      <c r="T31" s="2552"/>
      <c r="U31" s="2552"/>
      <c r="V31" s="2552"/>
      <c r="W31" s="2552"/>
      <c r="X31" s="2552"/>
      <c r="Y31" s="2552"/>
      <c r="Z31" s="2552"/>
      <c r="AA31" s="2552"/>
      <c r="AB31" s="2552"/>
      <c r="AC31" s="2552"/>
      <c r="AD31" s="2552"/>
      <c r="AE31" s="2551"/>
      <c r="AF31" s="2551"/>
      <c r="AG31" s="2551"/>
      <c r="AH31" s="2556"/>
      <c r="AI31" s="2551"/>
      <c r="AJ31" s="2551"/>
      <c r="AK31" s="2551"/>
      <c r="AL31" s="2551"/>
      <c r="AM31" s="2551"/>
      <c r="AN31" s="2551"/>
      <c r="AO31" s="2551"/>
      <c r="AP31" s="2551"/>
      <c r="AQ31" s="2551"/>
    </row>
    <row r="32" spans="1:44" ht="12.75" customHeight="1">
      <c r="A32" s="857"/>
      <c r="B32" s="223">
        <v>9</v>
      </c>
      <c r="C32" s="225" t="s">
        <v>1289</v>
      </c>
      <c r="D32" s="189"/>
      <c r="E32" s="189"/>
      <c r="F32" s="189"/>
      <c r="G32" s="302" t="s">
        <v>1160</v>
      </c>
      <c r="H32" s="1630">
        <v>9</v>
      </c>
      <c r="I32" s="5309"/>
      <c r="J32" s="5311"/>
      <c r="K32" s="5309"/>
      <c r="L32" s="5311"/>
      <c r="M32" s="5309"/>
      <c r="N32" s="5310"/>
      <c r="O32" s="5310"/>
      <c r="P32" s="5310"/>
      <c r="Q32" s="5310"/>
      <c r="R32" s="1964"/>
      <c r="S32" s="189"/>
      <c r="T32" s="306" t="s">
        <v>1386</v>
      </c>
      <c r="AB32" s="64"/>
      <c r="AC32" s="208"/>
      <c r="AD32" s="208"/>
      <c r="AH32" s="2556"/>
      <c r="AI32" s="2551"/>
      <c r="AJ32" s="2551"/>
      <c r="AK32" s="2551"/>
      <c r="AL32" s="2551"/>
      <c r="AM32" s="2551"/>
      <c r="AN32" s="2551"/>
      <c r="AO32" s="2551"/>
      <c r="AP32" s="2551"/>
      <c r="AQ32" s="2551"/>
    </row>
    <row r="33" spans="1:43" ht="12.75" customHeight="1">
      <c r="A33" s="857"/>
      <c r="B33" s="223">
        <v>10</v>
      </c>
      <c r="C33" s="225" t="s">
        <v>1290</v>
      </c>
      <c r="D33" s="189"/>
      <c r="E33" s="189"/>
      <c r="F33" s="189"/>
      <c r="G33" s="302" t="s">
        <v>1379</v>
      </c>
      <c r="H33" s="1630">
        <v>10</v>
      </c>
      <c r="I33" s="5309"/>
      <c r="J33" s="5311"/>
      <c r="K33" s="5309"/>
      <c r="L33" s="5311"/>
      <c r="M33" s="5309"/>
      <c r="N33" s="5310"/>
      <c r="O33" s="5310"/>
      <c r="P33" s="5310"/>
      <c r="Q33" s="5310"/>
      <c r="R33" s="1964"/>
      <c r="S33" s="189"/>
      <c r="T33" s="523"/>
      <c r="U33" s="523"/>
      <c r="V33" s="523"/>
      <c r="W33" s="523"/>
      <c r="X33" s="523"/>
      <c r="Y33" s="523"/>
      <c r="Z33" s="523"/>
      <c r="AA33" s="523"/>
      <c r="AB33" s="523"/>
      <c r="AC33" s="523"/>
      <c r="AD33" s="523"/>
      <c r="AE33" s="523"/>
      <c r="AF33" s="523"/>
      <c r="AG33" s="523"/>
      <c r="AH33" s="2556"/>
      <c r="AI33" s="2551"/>
      <c r="AJ33" s="2551"/>
      <c r="AK33" s="2551"/>
      <c r="AL33" s="2551"/>
      <c r="AM33" s="2551"/>
      <c r="AN33" s="2551"/>
      <c r="AO33" s="2551"/>
      <c r="AP33" s="2551"/>
      <c r="AQ33" s="2551"/>
    </row>
    <row r="34" spans="1:43" ht="12.75" customHeight="1">
      <c r="A34" s="857"/>
      <c r="B34" s="223">
        <v>11</v>
      </c>
      <c r="C34" s="225" t="s">
        <v>1291</v>
      </c>
      <c r="D34" s="189"/>
      <c r="E34" s="189"/>
      <c r="F34" s="189"/>
      <c r="G34" s="302" t="s">
        <v>1380</v>
      </c>
      <c r="H34" s="1630">
        <v>11</v>
      </c>
      <c r="I34" s="5309"/>
      <c r="J34" s="5311"/>
      <c r="K34" s="5309"/>
      <c r="L34" s="5311"/>
      <c r="M34" s="5309"/>
      <c r="N34" s="5310"/>
      <c r="O34" s="5310"/>
      <c r="P34" s="5310"/>
      <c r="Q34" s="5310"/>
      <c r="R34" s="1964"/>
      <c r="S34" s="189"/>
      <c r="T34" s="523"/>
      <c r="U34" s="523"/>
      <c r="V34" s="523"/>
      <c r="W34" s="523"/>
      <c r="X34" s="523"/>
      <c r="Y34" s="523"/>
      <c r="Z34" s="523"/>
      <c r="AA34" s="523"/>
      <c r="AB34" s="523"/>
      <c r="AC34" s="523"/>
      <c r="AD34" s="523"/>
      <c r="AE34" s="523"/>
      <c r="AF34" s="523"/>
      <c r="AG34" s="523"/>
      <c r="AH34" s="2556"/>
      <c r="AI34" s="2551"/>
      <c r="AJ34" s="2551"/>
      <c r="AK34" s="2551"/>
      <c r="AL34" s="2551"/>
      <c r="AM34" s="2551"/>
      <c r="AN34" s="2551"/>
      <c r="AO34" s="2551"/>
      <c r="AP34" s="2551"/>
      <c r="AQ34" s="2551"/>
    </row>
    <row r="35" spans="1:43" ht="12.75" customHeight="1">
      <c r="A35" s="857"/>
      <c r="B35" s="223">
        <v>12</v>
      </c>
      <c r="C35" s="225" t="s">
        <v>1361</v>
      </c>
      <c r="D35" s="189"/>
      <c r="E35" s="189"/>
      <c r="F35" s="189"/>
      <c r="G35" s="302"/>
      <c r="H35" s="1630">
        <v>12</v>
      </c>
      <c r="I35" s="5309"/>
      <c r="J35" s="5311"/>
      <c r="K35" s="5309"/>
      <c r="L35" s="5311"/>
      <c r="M35" s="5309"/>
      <c r="N35" s="5310"/>
      <c r="O35" s="5310"/>
      <c r="P35" s="5310"/>
      <c r="Q35" s="5310"/>
      <c r="R35" s="1964"/>
      <c r="S35" s="189"/>
      <c r="T35" s="523"/>
      <c r="U35" s="523"/>
      <c r="V35" s="523"/>
      <c r="W35" s="523"/>
      <c r="X35" s="523"/>
      <c r="Y35" s="523"/>
      <c r="Z35" s="523"/>
      <c r="AA35" s="523"/>
      <c r="AB35" s="523"/>
      <c r="AC35" s="523"/>
      <c r="AD35" s="523"/>
      <c r="AE35" s="523"/>
      <c r="AF35" s="523"/>
      <c r="AG35" s="523"/>
      <c r="AH35" s="2556"/>
      <c r="AI35" s="2551"/>
      <c r="AJ35" s="2551"/>
      <c r="AK35" s="2551"/>
      <c r="AL35" s="2551"/>
      <c r="AM35" s="2551"/>
      <c r="AN35" s="2551"/>
      <c r="AO35" s="2551"/>
      <c r="AP35" s="2551"/>
      <c r="AQ35" s="2551"/>
    </row>
    <row r="36" spans="1:43" ht="12.75" customHeight="1">
      <c r="A36" s="857"/>
      <c r="B36" s="223">
        <v>13</v>
      </c>
      <c r="C36" s="225" t="s">
        <v>1292</v>
      </c>
      <c r="D36" s="189"/>
      <c r="E36" s="189"/>
      <c r="F36" s="189"/>
      <c r="G36" s="302" t="s">
        <v>1001</v>
      </c>
      <c r="H36" s="1630">
        <v>13</v>
      </c>
      <c r="I36" s="5309"/>
      <c r="J36" s="5311"/>
      <c r="K36" s="5309"/>
      <c r="L36" s="5311"/>
      <c r="M36" s="5309"/>
      <c r="N36" s="5310"/>
      <c r="O36" s="5310"/>
      <c r="P36" s="5310"/>
      <c r="Q36" s="5310"/>
      <c r="R36" s="1964"/>
      <c r="S36" s="189"/>
      <c r="T36" s="523"/>
      <c r="U36" s="523"/>
      <c r="V36" s="523"/>
      <c r="W36" s="523"/>
      <c r="X36" s="523"/>
      <c r="Y36" s="523"/>
      <c r="Z36" s="523"/>
      <c r="AA36" s="523"/>
      <c r="AB36" s="523"/>
      <c r="AC36" s="523"/>
      <c r="AD36" s="523"/>
      <c r="AE36" s="523"/>
      <c r="AF36" s="523"/>
      <c r="AG36" s="523"/>
      <c r="AH36" s="2556"/>
      <c r="AI36" s="2551"/>
      <c r="AJ36" s="2551"/>
      <c r="AK36" s="2551"/>
      <c r="AL36" s="2551"/>
      <c r="AM36" s="2551"/>
      <c r="AN36" s="2551"/>
      <c r="AO36" s="2551"/>
      <c r="AP36" s="2551"/>
      <c r="AQ36" s="2551"/>
    </row>
    <row r="37" spans="1:43" ht="12.75" customHeight="1">
      <c r="A37" s="857"/>
      <c r="B37" s="223">
        <v>14</v>
      </c>
      <c r="C37" s="225" t="s">
        <v>1293</v>
      </c>
      <c r="D37" s="189"/>
      <c r="E37" s="189"/>
      <c r="F37" s="189"/>
      <c r="G37" s="302" t="s">
        <v>927</v>
      </c>
      <c r="H37" s="1630">
        <v>14</v>
      </c>
      <c r="I37" s="5309"/>
      <c r="J37" s="5311"/>
      <c r="K37" s="5309"/>
      <c r="L37" s="5311"/>
      <c r="M37" s="5309"/>
      <c r="N37" s="5310"/>
      <c r="O37" s="5310"/>
      <c r="P37" s="5310"/>
      <c r="Q37" s="5310"/>
      <c r="R37" s="1964"/>
      <c r="S37" s="189"/>
      <c r="T37" s="523"/>
      <c r="U37" s="523"/>
      <c r="V37" s="523"/>
      <c r="W37" s="523"/>
      <c r="X37" s="523"/>
      <c r="Y37" s="523"/>
      <c r="Z37" s="523"/>
      <c r="AA37" s="523"/>
      <c r="AB37" s="523"/>
      <c r="AC37" s="523"/>
      <c r="AD37" s="523"/>
      <c r="AE37" s="523"/>
      <c r="AF37" s="523"/>
      <c r="AG37" s="523"/>
      <c r="AH37" s="2556"/>
      <c r="AI37" s="2551"/>
      <c r="AJ37" s="2551"/>
      <c r="AK37" s="2551"/>
      <c r="AL37" s="2551"/>
      <c r="AM37" s="2551"/>
      <c r="AN37" s="2551"/>
      <c r="AO37" s="2551"/>
      <c r="AP37" s="2551"/>
      <c r="AQ37" s="2551"/>
    </row>
    <row r="38" spans="1:43" ht="12.75" customHeight="1">
      <c r="A38" s="857"/>
      <c r="B38" s="223">
        <v>15</v>
      </c>
      <c r="C38" s="225" t="s">
        <v>1294</v>
      </c>
      <c r="D38" s="189"/>
      <c r="E38" s="189"/>
      <c r="F38" s="189"/>
      <c r="G38" s="302" t="s">
        <v>999</v>
      </c>
      <c r="H38" s="1630">
        <v>15</v>
      </c>
      <c r="I38" s="5309"/>
      <c r="J38" s="5311"/>
      <c r="K38" s="5309"/>
      <c r="L38" s="5311"/>
      <c r="M38" s="5309"/>
      <c r="N38" s="5310"/>
      <c r="O38" s="5310"/>
      <c r="P38" s="5310"/>
      <c r="Q38" s="5310"/>
      <c r="R38" s="1964"/>
      <c r="S38" s="189"/>
      <c r="T38" s="523"/>
      <c r="U38" s="523"/>
      <c r="V38" s="523"/>
      <c r="W38" s="523"/>
      <c r="X38" s="523"/>
      <c r="Y38" s="523"/>
      <c r="Z38" s="523"/>
      <c r="AA38" s="523"/>
      <c r="AB38" s="523"/>
      <c r="AC38" s="523"/>
      <c r="AD38" s="523"/>
      <c r="AE38" s="523"/>
      <c r="AF38" s="523"/>
      <c r="AG38" s="523"/>
      <c r="AH38" s="2556"/>
      <c r="AI38" s="2551"/>
      <c r="AJ38" s="2551"/>
      <c r="AK38" s="2551"/>
      <c r="AL38" s="2551"/>
      <c r="AM38" s="2551"/>
      <c r="AN38" s="2551"/>
      <c r="AO38" s="2551"/>
      <c r="AP38" s="2551"/>
      <c r="AQ38" s="2551"/>
    </row>
    <row r="39" spans="1:43" ht="12.75" customHeight="1">
      <c r="A39" s="857"/>
      <c r="B39" s="223">
        <v>16</v>
      </c>
      <c r="C39" s="225" t="s">
        <v>1295</v>
      </c>
      <c r="D39" s="189"/>
      <c r="E39" s="189"/>
      <c r="F39" s="189"/>
      <c r="G39" s="302" t="s">
        <v>927</v>
      </c>
      <c r="H39" s="1630">
        <v>16</v>
      </c>
      <c r="I39" s="5309"/>
      <c r="J39" s="5311"/>
      <c r="K39" s="5309"/>
      <c r="L39" s="5311"/>
      <c r="M39" s="5309"/>
      <c r="N39" s="5310"/>
      <c r="O39" s="5310"/>
      <c r="P39" s="5310"/>
      <c r="Q39" s="5310"/>
      <c r="R39" s="1964"/>
      <c r="S39" s="189"/>
      <c r="T39" s="523"/>
      <c r="U39" s="523"/>
      <c r="V39" s="523"/>
      <c r="W39" s="523"/>
      <c r="X39" s="523"/>
      <c r="Y39" s="523"/>
      <c r="Z39" s="523"/>
      <c r="AA39" s="523"/>
      <c r="AB39" s="523"/>
      <c r="AC39" s="523"/>
      <c r="AD39" s="523"/>
      <c r="AE39" s="523"/>
      <c r="AF39" s="523"/>
      <c r="AG39" s="523"/>
      <c r="AH39" s="2556"/>
      <c r="AO39" s="2551"/>
      <c r="AP39" s="2551"/>
      <c r="AQ39" s="2551"/>
    </row>
    <row r="40" spans="1:43">
      <c r="A40" s="857"/>
      <c r="B40" s="223">
        <v>17</v>
      </c>
      <c r="C40" s="225" t="s">
        <v>1296</v>
      </c>
      <c r="D40" s="189"/>
      <c r="E40" s="189"/>
      <c r="F40" s="189"/>
      <c r="G40" s="302" t="s">
        <v>927</v>
      </c>
      <c r="H40" s="1630">
        <v>17</v>
      </c>
      <c r="I40" s="5309"/>
      <c r="J40" s="5311"/>
      <c r="K40" s="5309"/>
      <c r="L40" s="5311"/>
      <c r="M40" s="5309"/>
      <c r="N40" s="5310"/>
      <c r="O40" s="5310"/>
      <c r="P40" s="5310"/>
      <c r="Q40" s="5310"/>
      <c r="R40" s="1964"/>
      <c r="S40" s="189"/>
      <c r="T40" s="523"/>
      <c r="U40" s="523"/>
      <c r="V40" s="523"/>
      <c r="W40" s="523"/>
      <c r="X40" s="523"/>
      <c r="Y40" s="523"/>
      <c r="Z40" s="523"/>
      <c r="AA40" s="523"/>
      <c r="AB40" s="523"/>
      <c r="AC40" s="523"/>
      <c r="AD40" s="523"/>
      <c r="AE40" s="523"/>
      <c r="AF40" s="523"/>
      <c r="AG40" s="523"/>
      <c r="AH40" s="208"/>
      <c r="AO40" s="2551"/>
      <c r="AP40" s="2551"/>
      <c r="AQ40" s="2551"/>
    </row>
    <row r="41" spans="1:43" ht="14.25">
      <c r="A41" s="857"/>
      <c r="B41" s="223">
        <v>18</v>
      </c>
      <c r="C41" s="2060" t="s">
        <v>1297</v>
      </c>
      <c r="D41" s="2061"/>
      <c r="E41" s="2062"/>
      <c r="F41" s="2063"/>
      <c r="G41" s="2064"/>
      <c r="H41" s="1630">
        <v>18</v>
      </c>
      <c r="I41" s="5309"/>
      <c r="J41" s="5311"/>
      <c r="K41" s="5309"/>
      <c r="L41" s="5311"/>
      <c r="M41" s="5309"/>
      <c r="N41" s="5310"/>
      <c r="O41" s="5310"/>
      <c r="P41" s="5310"/>
      <c r="Q41" s="5310"/>
      <c r="R41" s="1964"/>
      <c r="S41" s="189"/>
      <c r="T41" s="523"/>
      <c r="U41" s="523"/>
      <c r="V41" s="523"/>
      <c r="W41" s="523"/>
      <c r="X41" s="523"/>
      <c r="Y41" s="523"/>
      <c r="Z41" s="523"/>
      <c r="AA41" s="523"/>
      <c r="AB41" s="523"/>
      <c r="AC41" s="523"/>
      <c r="AD41" s="523"/>
      <c r="AE41" s="523"/>
      <c r="AF41" s="523"/>
      <c r="AG41" s="523"/>
      <c r="AH41" s="208"/>
      <c r="AI41" s="3369" t="s">
        <v>235</v>
      </c>
      <c r="AJ41" s="3370"/>
      <c r="AK41" s="3369" t="s">
        <v>462</v>
      </c>
      <c r="AL41" s="3370"/>
      <c r="AM41" s="3369" t="s">
        <v>236</v>
      </c>
      <c r="AN41" s="3370"/>
      <c r="AO41" s="2551"/>
      <c r="AP41" s="2551"/>
      <c r="AQ41" s="2551"/>
    </row>
    <row r="42" spans="1:43" ht="13.5">
      <c r="A42" s="857"/>
      <c r="B42" s="223">
        <v>19</v>
      </c>
      <c r="C42" s="225" t="s">
        <v>1359</v>
      </c>
      <c r="D42" s="189"/>
      <c r="E42" s="5312"/>
      <c r="F42" s="4759"/>
      <c r="G42" s="5313"/>
      <c r="H42" s="1630">
        <v>19</v>
      </c>
      <c r="I42" s="5309"/>
      <c r="J42" s="5311"/>
      <c r="K42" s="5309"/>
      <c r="L42" s="5311"/>
      <c r="M42" s="5309"/>
      <c r="N42" s="5310"/>
      <c r="O42" s="5310"/>
      <c r="P42" s="5310"/>
      <c r="Q42" s="5310"/>
      <c r="R42" s="1964"/>
      <c r="S42" s="189"/>
      <c r="T42" s="523"/>
      <c r="U42" s="523"/>
      <c r="V42" s="523"/>
      <c r="W42" s="523"/>
      <c r="X42" s="523"/>
      <c r="Y42" s="523"/>
      <c r="Z42" s="523"/>
      <c r="AA42" s="523"/>
      <c r="AB42" s="523"/>
      <c r="AC42" s="523"/>
      <c r="AD42" s="523"/>
      <c r="AE42" s="523"/>
      <c r="AF42" s="523"/>
      <c r="AG42" s="523"/>
      <c r="AH42" s="208"/>
      <c r="AI42" s="2067" t="s">
        <v>1381</v>
      </c>
      <c r="AJ42" s="2067" t="s">
        <v>1382</v>
      </c>
      <c r="AK42" s="2067" t="s">
        <v>1381</v>
      </c>
      <c r="AL42" s="2067" t="s">
        <v>1382</v>
      </c>
      <c r="AM42" s="2067" t="s">
        <v>1381</v>
      </c>
      <c r="AN42" s="2067" t="s">
        <v>1382</v>
      </c>
    </row>
    <row r="43" spans="1:43">
      <c r="A43" s="857"/>
      <c r="B43" s="223">
        <v>20</v>
      </c>
      <c r="C43" s="1532" t="s">
        <v>1362</v>
      </c>
      <c r="D43" s="189"/>
      <c r="E43" s="189"/>
      <c r="F43" s="189"/>
      <c r="G43" s="237" t="s">
        <v>1771</v>
      </c>
      <c r="H43" s="1630">
        <v>20</v>
      </c>
      <c r="I43" s="5356">
        <f>IF(T43&lt;&gt;"",T43,SUM(I28:I42))</f>
        <v>0</v>
      </c>
      <c r="J43" s="5357"/>
      <c r="K43" s="5356">
        <f>IF(X43&lt;&gt;"",X43,SUM(K28:K42))</f>
        <v>0</v>
      </c>
      <c r="L43" s="5357"/>
      <c r="M43" s="5356">
        <f>IF(AC43&lt;&gt;"",AC43,SUM(M28:M42))</f>
        <v>0</v>
      </c>
      <c r="N43" s="5401"/>
      <c r="O43" s="5401"/>
      <c r="P43" s="5401"/>
      <c r="Q43" s="5401"/>
      <c r="R43" s="1964"/>
      <c r="S43" s="189"/>
      <c r="T43" s="5384"/>
      <c r="U43" s="5385"/>
      <c r="V43" s="5385"/>
      <c r="W43" s="5386"/>
      <c r="X43" s="5384"/>
      <c r="Y43" s="5385"/>
      <c r="Z43" s="5385"/>
      <c r="AA43" s="5385"/>
      <c r="AB43" s="5386"/>
      <c r="AC43" s="5391"/>
      <c r="AD43" s="4989"/>
      <c r="AE43" s="4989"/>
      <c r="AF43" s="4990"/>
      <c r="AG43" s="523"/>
      <c r="AH43" s="2069" t="s">
        <v>1384</v>
      </c>
      <c r="AI43" s="2066">
        <f>IF(I44&gt;0,I44,0)</f>
        <v>0</v>
      </c>
      <c r="AJ43" s="2066">
        <f>IF(I44&lt;0,I44,0)</f>
        <v>0</v>
      </c>
      <c r="AK43" s="2066">
        <f>IF(K44&gt;0,K44,0)</f>
        <v>0</v>
      </c>
      <c r="AL43" s="2066">
        <f>IF(K44&lt;0,K44,0)</f>
        <v>0</v>
      </c>
      <c r="AM43" s="2066">
        <f>IF(M44&gt;0,M44,0)</f>
        <v>0</v>
      </c>
      <c r="AN43" s="2066">
        <f>IF(M44&lt;0,M44,0)</f>
        <v>0</v>
      </c>
    </row>
    <row r="44" spans="1:43" ht="35.25" customHeight="1">
      <c r="A44" s="857"/>
      <c r="B44" s="1450">
        <v>21</v>
      </c>
      <c r="C44" s="5352" t="s">
        <v>2463</v>
      </c>
      <c r="D44" s="5051"/>
      <c r="E44" s="5051"/>
      <c r="F44" s="5051"/>
      <c r="G44" s="5353"/>
      <c r="H44" s="1628">
        <v>21</v>
      </c>
      <c r="I44" s="5356">
        <f>IF(T44&lt;&gt;"",T44,SUM(I25,I26,-I43))</f>
        <v>0</v>
      </c>
      <c r="J44" s="5357"/>
      <c r="K44" s="5356">
        <f>IF(X44&lt;&gt;"",X44,SUM(K25,K26,-K43))</f>
        <v>0</v>
      </c>
      <c r="L44" s="5357"/>
      <c r="M44" s="5356">
        <f>IF(AC44&lt;&gt;"",AC44,SUM(M25,M26,-M43))</f>
        <v>0</v>
      </c>
      <c r="N44" s="5401"/>
      <c r="O44" s="5401"/>
      <c r="P44" s="5401"/>
      <c r="Q44" s="5401"/>
      <c r="R44" s="1964"/>
      <c r="S44" s="189"/>
      <c r="T44" s="5384"/>
      <c r="U44" s="5385"/>
      <c r="V44" s="5385"/>
      <c r="W44" s="5386"/>
      <c r="X44" s="5384"/>
      <c r="Y44" s="5385"/>
      <c r="Z44" s="5385"/>
      <c r="AA44" s="5385"/>
      <c r="AB44" s="5386"/>
      <c r="AC44" s="5391"/>
      <c r="AD44" s="4989"/>
      <c r="AE44" s="4989"/>
      <c r="AF44" s="4990"/>
      <c r="AG44" s="523"/>
      <c r="AH44" s="2069" t="s">
        <v>1298</v>
      </c>
      <c r="AI44" s="2092" t="s">
        <v>1395</v>
      </c>
      <c r="AJ44" s="2066">
        <f>IF(I45&lt;&gt;"",I45,0)</f>
        <v>0</v>
      </c>
      <c r="AK44" s="2092" t="s">
        <v>1395</v>
      </c>
      <c r="AL44" s="2066">
        <f>IF(K45&lt;&gt;"",K45,0)</f>
        <v>0</v>
      </c>
      <c r="AM44" s="2092" t="s">
        <v>1395</v>
      </c>
      <c r="AN44" s="2066">
        <f>IF(M45&lt;&gt;"",M45,0)</f>
        <v>0</v>
      </c>
    </row>
    <row r="45" spans="1:43" ht="24" customHeight="1">
      <c r="A45" s="857"/>
      <c r="B45" s="1450">
        <v>22</v>
      </c>
      <c r="C45" s="5352" t="s">
        <v>2043</v>
      </c>
      <c r="D45" s="4714"/>
      <c r="E45" s="4714"/>
      <c r="F45" s="4714"/>
      <c r="G45" s="5114"/>
      <c r="H45" s="1628">
        <v>22</v>
      </c>
      <c r="I45" s="5309"/>
      <c r="J45" s="5311"/>
      <c r="K45" s="5309"/>
      <c r="L45" s="5311"/>
      <c r="M45" s="5309"/>
      <c r="N45" s="5310"/>
      <c r="O45" s="5310"/>
      <c r="P45" s="5310"/>
      <c r="Q45" s="5310"/>
      <c r="R45" s="1964"/>
      <c r="S45" s="189"/>
      <c r="T45" s="523"/>
      <c r="U45" s="523"/>
      <c r="V45" s="523"/>
      <c r="W45" s="523"/>
      <c r="X45" s="523"/>
      <c r="Y45" s="523"/>
      <c r="Z45" s="523"/>
      <c r="AA45" s="523"/>
      <c r="AB45" s="523"/>
      <c r="AC45" s="523"/>
      <c r="AD45" s="523"/>
      <c r="AE45" s="523"/>
      <c r="AF45" s="523"/>
      <c r="AG45" s="523"/>
      <c r="AH45" s="2069"/>
      <c r="AI45" s="2068" t="s">
        <v>1383</v>
      </c>
      <c r="AJ45" s="2066">
        <f>IF(C18=6,AJ43,0)</f>
        <v>0</v>
      </c>
      <c r="AL45" s="2066">
        <f>IF(C19=6,AL43,0)</f>
        <v>0</v>
      </c>
      <c r="AN45" s="2066">
        <f>IF(C20=6,AN43,0)</f>
        <v>0</v>
      </c>
    </row>
    <row r="46" spans="1:43" ht="12" customHeight="1">
      <c r="A46" s="857"/>
      <c r="B46" s="1450" t="s">
        <v>1363</v>
      </c>
      <c r="C46" s="225" t="s">
        <v>1503</v>
      </c>
      <c r="D46" s="189"/>
      <c r="E46" s="189"/>
      <c r="F46" s="189"/>
      <c r="G46" s="189"/>
      <c r="H46" s="189"/>
      <c r="I46" s="302" t="s">
        <v>931</v>
      </c>
      <c r="J46" s="2093" t="s">
        <v>1363</v>
      </c>
      <c r="K46" s="5354">
        <f>IF(X46&lt;&gt;"",X46,ROUND(AM21,0))</f>
        <v>0</v>
      </c>
      <c r="L46" s="5355"/>
      <c r="M46" s="130"/>
      <c r="N46" s="130"/>
      <c r="O46" s="130"/>
      <c r="P46" s="130"/>
      <c r="Q46" s="130"/>
      <c r="R46" s="1964"/>
      <c r="S46" s="189"/>
      <c r="T46" s="523"/>
      <c r="U46" s="523"/>
      <c r="V46" s="523"/>
      <c r="W46" s="523"/>
      <c r="X46" s="5384"/>
      <c r="Y46" s="5385"/>
      <c r="Z46" s="5385"/>
      <c r="AA46" s="5385"/>
      <c r="AB46" s="5386"/>
      <c r="AC46" s="523"/>
      <c r="AD46" s="523"/>
      <c r="AE46" s="523"/>
      <c r="AF46" s="523"/>
      <c r="AG46" s="523"/>
      <c r="AH46" s="208"/>
      <c r="AI46" s="2068" t="s">
        <v>1385</v>
      </c>
      <c r="AJ46" s="2066">
        <f>IF(C18&lt;&gt;6,AJ43,0)</f>
        <v>0</v>
      </c>
      <c r="AL46" s="2066">
        <f>IF(C19&lt;&gt;6,AL43,0)</f>
        <v>0</v>
      </c>
      <c r="AN46" s="2066">
        <f>IF(C20&lt;&gt;6,AN43,0)</f>
        <v>0</v>
      </c>
    </row>
    <row r="47" spans="1:43" ht="12" customHeight="1">
      <c r="A47" s="857"/>
      <c r="B47" s="1450" t="s">
        <v>1365</v>
      </c>
      <c r="C47" s="225" t="s">
        <v>1369</v>
      </c>
      <c r="D47" s="189"/>
      <c r="E47" s="189"/>
      <c r="F47" s="189"/>
      <c r="G47" s="189"/>
      <c r="H47" s="189"/>
      <c r="I47" s="302" t="s">
        <v>931</v>
      </c>
      <c r="J47" s="2093" t="s">
        <v>1364</v>
      </c>
      <c r="K47" s="5354">
        <f>IF(X47&lt;&gt;"",X47,ROUND(AM22,0))</f>
        <v>0</v>
      </c>
      <c r="L47" s="5355"/>
      <c r="M47" s="130"/>
      <c r="N47" s="130"/>
      <c r="O47" s="130"/>
      <c r="P47" s="130"/>
      <c r="Q47" s="130"/>
      <c r="R47" s="1964"/>
      <c r="S47" s="189"/>
      <c r="T47" s="523"/>
      <c r="U47" s="523"/>
      <c r="V47" s="523"/>
      <c r="W47" s="523"/>
      <c r="X47" s="5384"/>
      <c r="Y47" s="5385"/>
      <c r="Z47" s="5385"/>
      <c r="AA47" s="5385"/>
      <c r="AB47" s="5386"/>
      <c r="AC47" s="523"/>
      <c r="AD47" s="523"/>
      <c r="AE47" s="523"/>
      <c r="AF47" s="523"/>
      <c r="AG47" s="523"/>
      <c r="AH47" s="208"/>
    </row>
    <row r="48" spans="1:43" ht="12" customHeight="1">
      <c r="A48" s="857"/>
      <c r="B48" s="1450" t="s">
        <v>1366</v>
      </c>
      <c r="C48" s="225" t="s">
        <v>1370</v>
      </c>
      <c r="D48" s="189"/>
      <c r="E48" s="189"/>
      <c r="F48" s="189"/>
      <c r="G48" s="189"/>
      <c r="H48" s="189"/>
      <c r="I48" s="302" t="s">
        <v>907</v>
      </c>
      <c r="J48" s="2093" t="s">
        <v>1375</v>
      </c>
      <c r="K48" s="5354">
        <f>IF(X48&lt;&gt;"",X48,ROUND(SUM(I35:Q35),0))</f>
        <v>0</v>
      </c>
      <c r="L48" s="5355"/>
      <c r="M48" s="130"/>
      <c r="N48" s="130"/>
      <c r="O48" s="130"/>
      <c r="P48" s="130"/>
      <c r="Q48" s="130"/>
      <c r="R48" s="1964"/>
      <c r="S48" s="189"/>
      <c r="T48" s="523"/>
      <c r="U48" s="523"/>
      <c r="V48" s="523"/>
      <c r="W48" s="523"/>
      <c r="X48" s="5384"/>
      <c r="Y48" s="5385"/>
      <c r="Z48" s="5385"/>
      <c r="AA48" s="5385"/>
      <c r="AB48" s="5386"/>
      <c r="AC48" s="523"/>
      <c r="AD48" s="523"/>
      <c r="AE48" s="523"/>
      <c r="AF48" s="523"/>
      <c r="AG48" s="523"/>
      <c r="AH48" s="208"/>
    </row>
    <row r="49" spans="1:34" ht="12.75" customHeight="1">
      <c r="A49" s="857"/>
      <c r="B49" s="1450" t="s">
        <v>1367</v>
      </c>
      <c r="C49" s="225" t="s">
        <v>1371</v>
      </c>
      <c r="D49" s="189"/>
      <c r="E49" s="189"/>
      <c r="F49" s="189"/>
      <c r="G49" s="189"/>
      <c r="H49" s="189"/>
      <c r="I49" s="302" t="s">
        <v>907</v>
      </c>
      <c r="J49" s="2093" t="s">
        <v>1376</v>
      </c>
      <c r="K49" s="5354">
        <f>IF(X49&lt;&gt;"",X49,ROUND(SUM(I41:Q41),0))</f>
        <v>0</v>
      </c>
      <c r="L49" s="5355"/>
      <c r="M49" s="130"/>
      <c r="N49" s="130"/>
      <c r="O49" s="130"/>
      <c r="P49" s="130"/>
      <c r="Q49" s="130"/>
      <c r="R49" s="1964"/>
      <c r="S49" s="189"/>
      <c r="T49" s="523"/>
      <c r="U49" s="523"/>
      <c r="V49" s="523"/>
      <c r="W49" s="523"/>
      <c r="X49" s="5384"/>
      <c r="Y49" s="5385"/>
      <c r="Z49" s="5385"/>
      <c r="AA49" s="5385"/>
      <c r="AB49" s="5386"/>
      <c r="AC49" s="523"/>
      <c r="AD49" s="523"/>
      <c r="AE49" s="523"/>
      <c r="AF49" s="523"/>
      <c r="AG49" s="523"/>
      <c r="AH49" s="208"/>
    </row>
    <row r="50" spans="1:34" ht="12.75" customHeight="1">
      <c r="A50" s="857"/>
      <c r="B50" s="1450" t="s">
        <v>1368</v>
      </c>
      <c r="C50" s="225" t="s">
        <v>1372</v>
      </c>
      <c r="D50" s="189"/>
      <c r="E50" s="189"/>
      <c r="F50" s="189"/>
      <c r="G50" s="189"/>
      <c r="H50" s="189"/>
      <c r="I50" s="302" t="s">
        <v>907</v>
      </c>
      <c r="J50" s="2093" t="s">
        <v>1377</v>
      </c>
      <c r="K50" s="5354">
        <f>IF(X50&lt;&gt;"",X50,ROUND(SUM(I43:Q43),0))</f>
        <v>0</v>
      </c>
      <c r="L50" s="5355"/>
      <c r="M50" s="130"/>
      <c r="N50" s="130"/>
      <c r="O50" s="130"/>
      <c r="P50" s="130"/>
      <c r="Q50" s="130"/>
      <c r="R50" s="1964"/>
      <c r="S50" s="189"/>
      <c r="T50" s="523"/>
      <c r="U50" s="523"/>
      <c r="V50" s="523"/>
      <c r="W50" s="523"/>
      <c r="X50" s="5384"/>
      <c r="Y50" s="5385"/>
      <c r="Z50" s="5385"/>
      <c r="AA50" s="5385"/>
      <c r="AB50" s="5386"/>
      <c r="AC50" s="523"/>
      <c r="AD50" s="523"/>
      <c r="AE50" s="523"/>
      <c r="AF50" s="523"/>
      <c r="AG50" s="523"/>
      <c r="AH50" s="208"/>
    </row>
    <row r="51" spans="1:34" ht="12.75" customHeight="1">
      <c r="A51" s="857"/>
      <c r="B51" s="1450">
        <v>24</v>
      </c>
      <c r="C51" s="225" t="s">
        <v>1374</v>
      </c>
      <c r="D51" s="189"/>
      <c r="E51" s="189"/>
      <c r="F51" s="189"/>
      <c r="G51" s="302"/>
      <c r="H51" s="420"/>
      <c r="I51" s="2057"/>
      <c r="J51" s="2057"/>
      <c r="K51" s="302" t="s">
        <v>985</v>
      </c>
      <c r="L51" s="2094">
        <v>24</v>
      </c>
      <c r="M51" s="5393">
        <f>IF(AC51&lt;&gt;"",AC51,ROUND(SUM(AI43,AK43,AM43),0))</f>
        <v>0</v>
      </c>
      <c r="N51" s="5394"/>
      <c r="O51" s="5394"/>
      <c r="P51" s="5394"/>
      <c r="Q51" s="5394"/>
      <c r="R51" s="1964"/>
      <c r="S51" s="189"/>
      <c r="T51" s="523"/>
      <c r="U51" s="523"/>
      <c r="V51" s="523"/>
      <c r="W51" s="523"/>
      <c r="X51" s="523"/>
      <c r="Y51" s="523"/>
      <c r="Z51" s="523"/>
      <c r="AA51" s="523"/>
      <c r="AB51" s="523"/>
      <c r="AC51" s="5390"/>
      <c r="AD51" s="4989"/>
      <c r="AE51" s="4989"/>
      <c r="AF51" s="4990"/>
      <c r="AG51" s="523"/>
      <c r="AH51" s="208"/>
    </row>
    <row r="52" spans="1:34" ht="12.75" customHeight="1">
      <c r="A52" s="857"/>
      <c r="B52" s="1450">
        <v>25</v>
      </c>
      <c r="C52" s="225" t="s">
        <v>1373</v>
      </c>
      <c r="D52" s="189"/>
      <c r="E52" s="189"/>
      <c r="F52" s="189"/>
      <c r="G52" s="302"/>
      <c r="H52" s="420"/>
      <c r="I52" s="2057"/>
      <c r="J52" s="2057"/>
      <c r="K52" s="2057"/>
      <c r="L52" s="2094">
        <v>25</v>
      </c>
      <c r="M52" s="5393">
        <f>IF(AC52&lt;&gt;"",AC52,-SUM(-AJ45,-AL45,-AN45,AJ44,AL44,AN44))</f>
        <v>0</v>
      </c>
      <c r="N52" s="5394"/>
      <c r="O52" s="5394"/>
      <c r="P52" s="5394"/>
      <c r="Q52" s="5394"/>
      <c r="R52" s="1964"/>
      <c r="S52" s="189"/>
      <c r="T52" s="523"/>
      <c r="U52" s="523"/>
      <c r="V52" s="523"/>
      <c r="W52" s="523"/>
      <c r="X52" s="523"/>
      <c r="Y52" s="523"/>
      <c r="Z52" s="523"/>
      <c r="AA52" s="523"/>
      <c r="AB52" s="523"/>
      <c r="AC52" s="5390"/>
      <c r="AD52" s="4989"/>
      <c r="AE52" s="4989"/>
      <c r="AF52" s="4990"/>
      <c r="AG52" s="523"/>
      <c r="AH52" s="208"/>
    </row>
    <row r="53" spans="1:34" ht="12.75" customHeight="1">
      <c r="A53" s="857"/>
      <c r="B53" s="420">
        <v>26</v>
      </c>
      <c r="C53" s="222" t="s">
        <v>1299</v>
      </c>
      <c r="D53" s="189"/>
      <c r="E53" s="189"/>
      <c r="F53" s="189"/>
      <c r="G53" s="189"/>
      <c r="H53" s="420"/>
      <c r="I53" s="189"/>
      <c r="J53" s="189"/>
      <c r="K53" s="189"/>
      <c r="L53" s="2516"/>
      <c r="M53" s="5397" t="str">
        <f>IF(M52&gt;0,"Enter the value in Line 25 as a negative amount.","")</f>
        <v/>
      </c>
      <c r="N53" s="5398"/>
      <c r="O53" s="5398"/>
      <c r="P53" s="5398"/>
      <c r="Q53" s="5398"/>
      <c r="R53" s="1964"/>
      <c r="S53" s="189"/>
      <c r="T53" s="523"/>
      <c r="U53" s="523"/>
      <c r="V53" s="523"/>
      <c r="W53" s="523"/>
      <c r="X53" s="523"/>
      <c r="Y53" s="523"/>
      <c r="Z53" s="523"/>
      <c r="AA53" s="523"/>
      <c r="AB53" s="523"/>
      <c r="AC53" s="523"/>
      <c r="AD53" s="523"/>
      <c r="AE53" s="523"/>
      <c r="AF53" s="523"/>
      <c r="AG53" s="523"/>
      <c r="AH53" s="208"/>
    </row>
    <row r="54" spans="1:34" ht="12.75" customHeight="1">
      <c r="A54" s="857"/>
      <c r="B54" s="420"/>
      <c r="C54" s="225" t="s">
        <v>1300</v>
      </c>
      <c r="D54" s="189"/>
      <c r="E54" s="189"/>
      <c r="F54" s="189"/>
      <c r="G54" s="189"/>
      <c r="H54" s="420"/>
      <c r="I54" s="189"/>
      <c r="J54" s="189"/>
      <c r="K54" s="189"/>
      <c r="L54" s="2515"/>
      <c r="M54" s="5399"/>
      <c r="N54" s="5400"/>
      <c r="O54" s="5400"/>
      <c r="P54" s="5400"/>
      <c r="Q54" s="5400"/>
      <c r="R54" s="1964"/>
      <c r="S54" s="189"/>
      <c r="T54" s="523"/>
      <c r="U54" s="523"/>
      <c r="V54" s="523"/>
      <c r="W54" s="523"/>
      <c r="X54" s="523"/>
      <c r="Y54" s="523"/>
      <c r="Z54" s="523"/>
      <c r="AA54" s="523"/>
      <c r="AB54" s="523"/>
      <c r="AC54" s="523"/>
      <c r="AD54" s="523"/>
      <c r="AE54" s="523"/>
      <c r="AF54" s="523"/>
      <c r="AG54" s="523"/>
      <c r="AH54" s="208"/>
    </row>
    <row r="55" spans="1:34" ht="13.5" thickBot="1">
      <c r="A55" s="857"/>
      <c r="B55" s="1965"/>
      <c r="C55" s="2065" t="s">
        <v>1378</v>
      </c>
      <c r="D55" s="1966"/>
      <c r="E55" s="1966"/>
      <c r="F55" s="1966"/>
      <c r="G55" s="1966"/>
      <c r="H55" s="1965"/>
      <c r="I55" s="1966"/>
      <c r="J55" s="1966"/>
      <c r="K55" s="1966"/>
      <c r="L55" s="2514">
        <v>26</v>
      </c>
      <c r="M55" s="5395">
        <f>IF(AC55&lt;&gt;"",AC55,SUM(M51,M52))</f>
        <v>0</v>
      </c>
      <c r="N55" s="5396"/>
      <c r="O55" s="5396"/>
      <c r="P55" s="5396"/>
      <c r="Q55" s="5396"/>
      <c r="R55" s="1964"/>
      <c r="S55" s="189"/>
      <c r="T55" s="523"/>
      <c r="U55" s="523"/>
      <c r="V55" s="523"/>
      <c r="W55" s="523"/>
      <c r="X55" s="523"/>
      <c r="Y55" s="523"/>
      <c r="Z55" s="523"/>
      <c r="AA55" s="523"/>
      <c r="AB55" s="523"/>
      <c r="AC55" s="5390"/>
      <c r="AD55" s="4989"/>
      <c r="AE55" s="4989"/>
      <c r="AF55" s="4990"/>
      <c r="AG55" s="523"/>
      <c r="AH55" s="208"/>
    </row>
    <row r="56" spans="1:34" ht="13.5" thickTop="1">
      <c r="A56" s="857"/>
      <c r="B56" s="1967" t="s">
        <v>2044</v>
      </c>
      <c r="C56" s="1968"/>
      <c r="D56" s="1968"/>
      <c r="E56" s="1968"/>
      <c r="F56" s="1968"/>
      <c r="G56" s="1968"/>
      <c r="H56" s="74"/>
      <c r="I56" s="1968"/>
      <c r="J56" s="53" t="s">
        <v>1301</v>
      </c>
      <c r="K56" s="53"/>
      <c r="L56" s="1968"/>
      <c r="M56" s="2095"/>
      <c r="N56" s="2095"/>
      <c r="O56" s="2095"/>
      <c r="P56" s="2096"/>
      <c r="Q56" s="2096" t="str">
        <f>"Schedule E (Form 1040) "&amp;TaxYear</f>
        <v>Schedule E (Form 1040) 2016</v>
      </c>
      <c r="R56" s="1969"/>
      <c r="S56" s="74"/>
      <c r="T56" s="523"/>
      <c r="U56" s="523"/>
      <c r="V56" s="523"/>
      <c r="W56" s="523"/>
      <c r="X56" s="523"/>
      <c r="Y56" s="523"/>
      <c r="Z56" s="523"/>
      <c r="AA56" s="523"/>
      <c r="AB56" s="523"/>
      <c r="AC56" s="523"/>
      <c r="AD56" s="523"/>
      <c r="AE56" s="523"/>
      <c r="AF56" s="523"/>
      <c r="AG56" s="523"/>
      <c r="AH56" s="208"/>
    </row>
    <row r="57" spans="1:34">
      <c r="A57" s="857"/>
      <c r="B57" s="1970"/>
      <c r="C57" s="1970"/>
      <c r="D57" s="1970"/>
      <c r="E57" s="1970"/>
      <c r="F57" s="1970"/>
      <c r="G57" s="1970"/>
      <c r="H57" s="1969"/>
      <c r="I57" s="1970"/>
      <c r="J57" s="1970"/>
      <c r="K57" s="1970"/>
      <c r="L57" s="1970"/>
      <c r="M57" s="1970"/>
      <c r="N57" s="1970"/>
      <c r="O57" s="1970"/>
      <c r="P57" s="1970"/>
      <c r="Q57" s="1970"/>
      <c r="R57" s="1969"/>
      <c r="S57" s="74"/>
      <c r="T57" s="523"/>
      <c r="U57" s="523"/>
      <c r="V57" s="523"/>
      <c r="W57" s="523"/>
      <c r="X57" s="523"/>
      <c r="Y57" s="523"/>
      <c r="Z57" s="523"/>
      <c r="AA57" s="523"/>
      <c r="AB57" s="523"/>
      <c r="AC57" s="523"/>
      <c r="AD57" s="523"/>
      <c r="AE57" s="523"/>
      <c r="AF57" s="523"/>
      <c r="AG57" s="523"/>
      <c r="AH57" s="208"/>
    </row>
    <row r="58" spans="1:34">
      <c r="B58" s="1972"/>
      <c r="C58" s="1972"/>
      <c r="D58" s="1972"/>
      <c r="E58" s="1972"/>
      <c r="F58" s="1972"/>
      <c r="G58" s="1972"/>
      <c r="H58" s="1971"/>
      <c r="I58" s="1972"/>
      <c r="J58" s="1972"/>
      <c r="K58" s="1972"/>
      <c r="L58" s="1972"/>
      <c r="M58" s="1972"/>
      <c r="N58" s="1972"/>
      <c r="O58" s="1972"/>
      <c r="P58" s="1972"/>
      <c r="Q58" s="1972"/>
      <c r="R58" s="1971"/>
      <c r="S58" s="1971"/>
      <c r="AB58" s="64"/>
      <c r="AC58" s="64"/>
      <c r="AD58" s="64"/>
      <c r="AE58" s="64"/>
      <c r="AF58" s="64"/>
      <c r="AG58" s="64"/>
      <c r="AH58" s="208"/>
    </row>
    <row r="59" spans="1:34">
      <c r="B59" s="1972"/>
      <c r="C59" s="1972"/>
      <c r="D59" s="1972"/>
      <c r="E59" s="1972"/>
      <c r="F59" s="1972"/>
      <c r="G59" s="1972"/>
      <c r="H59" s="1972"/>
      <c r="I59" s="1972"/>
      <c r="J59" s="1972"/>
      <c r="K59" s="1972"/>
      <c r="L59" s="1972"/>
      <c r="M59" s="1972"/>
      <c r="N59" s="1972"/>
      <c r="O59" s="1972"/>
      <c r="P59" s="1972"/>
      <c r="Q59" s="1972"/>
      <c r="R59" s="1971"/>
      <c r="S59" s="1971"/>
      <c r="AB59" s="64"/>
      <c r="AC59" s="64"/>
      <c r="AD59" s="64"/>
      <c r="AE59" s="64"/>
      <c r="AF59" s="64"/>
      <c r="AG59" s="64"/>
      <c r="AH59" s="208"/>
    </row>
    <row r="60" spans="1:34" ht="13.5" thickBot="1">
      <c r="B60" s="1972"/>
      <c r="C60" s="1972"/>
      <c r="D60" s="1972"/>
      <c r="E60" s="1972"/>
      <c r="F60" s="1972"/>
      <c r="G60" s="1972"/>
      <c r="H60" s="1972"/>
      <c r="I60" s="1972"/>
      <c r="J60" s="1972"/>
      <c r="K60" s="1972"/>
      <c r="L60" s="1972"/>
      <c r="M60" s="1972"/>
      <c r="N60" s="1972"/>
      <c r="O60" s="1972"/>
      <c r="P60" s="1972"/>
      <c r="Q60" s="1972"/>
      <c r="R60" s="1971"/>
      <c r="S60" s="1971"/>
      <c r="AB60" s="64"/>
      <c r="AC60" s="64"/>
      <c r="AD60" s="64"/>
      <c r="AE60" s="64"/>
      <c r="AF60" s="64"/>
      <c r="AG60" s="64"/>
      <c r="AH60" s="64"/>
    </row>
    <row r="61" spans="1:34" ht="14.25" thickTop="1" thickBot="1">
      <c r="B61" s="1972"/>
      <c r="C61" s="1972"/>
      <c r="D61" s="5346" t="s">
        <v>1302</v>
      </c>
      <c r="E61" s="5347"/>
      <c r="F61" s="5347"/>
      <c r="G61" s="5348"/>
      <c r="H61" s="1972"/>
      <c r="I61" s="1972"/>
      <c r="J61" s="1972"/>
      <c r="K61" s="1972"/>
      <c r="L61" s="1972"/>
      <c r="M61" s="1972"/>
      <c r="N61" s="1972"/>
      <c r="O61" s="1972"/>
      <c r="P61" s="1972"/>
      <c r="Q61" s="1972"/>
      <c r="R61" s="1971"/>
      <c r="S61" s="1971"/>
      <c r="AB61" s="64"/>
      <c r="AC61" s="64"/>
      <c r="AD61" s="64"/>
      <c r="AE61" s="64"/>
      <c r="AF61" s="64"/>
      <c r="AG61" s="64"/>
      <c r="AH61" s="64"/>
    </row>
    <row r="62" spans="1:34" ht="14.25" thickTop="1" thickBot="1">
      <c r="B62" s="1972"/>
      <c r="C62" s="1972"/>
      <c r="D62" s="1972"/>
      <c r="E62" s="1972"/>
      <c r="F62" s="1972"/>
      <c r="G62" s="1972"/>
      <c r="H62" s="1972"/>
      <c r="I62" s="1972"/>
      <c r="J62" s="1972"/>
      <c r="K62" s="1972"/>
      <c r="L62" s="1972"/>
      <c r="M62" s="1972"/>
      <c r="N62" s="1972"/>
      <c r="O62" s="1972"/>
      <c r="P62" s="1972"/>
      <c r="Q62" s="1972"/>
      <c r="R62" s="1971"/>
      <c r="S62" s="1971"/>
      <c r="AB62" s="64"/>
      <c r="AC62" s="64"/>
      <c r="AD62" s="64"/>
      <c r="AH62" s="64"/>
    </row>
    <row r="63" spans="1:34" ht="14.25" thickTop="1" thickBot="1">
      <c r="B63" s="1972"/>
      <c r="C63" s="1972"/>
      <c r="D63" s="5349" t="s">
        <v>1303</v>
      </c>
      <c r="E63" s="5350"/>
      <c r="F63" s="5350"/>
      <c r="G63" s="5351"/>
      <c r="H63" s="1972"/>
      <c r="I63" s="1972"/>
      <c r="J63" s="1972"/>
      <c r="K63" s="1972"/>
      <c r="L63" s="1972"/>
      <c r="M63" s="1972"/>
      <c r="N63" s="1972"/>
      <c r="O63" s="1972"/>
      <c r="P63" s="1972"/>
      <c r="Q63" s="1972"/>
      <c r="R63" s="1971"/>
      <c r="S63" s="1971"/>
      <c r="AB63" s="64"/>
      <c r="AC63" s="64"/>
      <c r="AD63" s="64"/>
      <c r="AH63" s="64"/>
    </row>
    <row r="64" spans="1:34" ht="13.5" thickTop="1">
      <c r="AC64" s="64"/>
    </row>
    <row r="65" spans="29:29">
      <c r="AC65" s="64"/>
    </row>
    <row r="66" spans="29:29">
      <c r="AC66" s="64"/>
    </row>
    <row r="67" spans="29:29" ht="28.5" customHeight="1">
      <c r="AC67" s="64"/>
    </row>
  </sheetData>
  <sheetProtection password="F07E" sheet="1" objects="1" scenarios="1"/>
  <mergeCells count="126">
    <mergeCell ref="B8:K8"/>
    <mergeCell ref="AC51:AF51"/>
    <mergeCell ref="AC52:AF52"/>
    <mergeCell ref="AC55:AF55"/>
    <mergeCell ref="AC43:AF43"/>
    <mergeCell ref="AC44:AF44"/>
    <mergeCell ref="M27:Q27"/>
    <mergeCell ref="M25:Q25"/>
    <mergeCell ref="X49:AB49"/>
    <mergeCell ref="X50:AB50"/>
    <mergeCell ref="X46:AB46"/>
    <mergeCell ref="M52:Q52"/>
    <mergeCell ref="M55:Q55"/>
    <mergeCell ref="X47:AB47"/>
    <mergeCell ref="X48:AB48"/>
    <mergeCell ref="M53:Q54"/>
    <mergeCell ref="M51:Q51"/>
    <mergeCell ref="M38:Q38"/>
    <mergeCell ref="M43:Q43"/>
    <mergeCell ref="M44:Q44"/>
    <mergeCell ref="L22:Q23"/>
    <mergeCell ref="K25:L25"/>
    <mergeCell ref="M42:Q42"/>
    <mergeCell ref="T44:W44"/>
    <mergeCell ref="X44:AB44"/>
    <mergeCell ref="I39:J39"/>
    <mergeCell ref="K39:L39"/>
    <mergeCell ref="M39:Q39"/>
    <mergeCell ref="I42:J42"/>
    <mergeCell ref="K42:L42"/>
    <mergeCell ref="I33:J33"/>
    <mergeCell ref="K33:L33"/>
    <mergeCell ref="M33:Q33"/>
    <mergeCell ref="I41:J41"/>
    <mergeCell ref="K41:L41"/>
    <mergeCell ref="M41:Q41"/>
    <mergeCell ref="T43:W43"/>
    <mergeCell ref="X43:AB43"/>
    <mergeCell ref="I34:J34"/>
    <mergeCell ref="K34:L34"/>
    <mergeCell ref="M34:Q34"/>
    <mergeCell ref="I35:J35"/>
    <mergeCell ref="K35:L35"/>
    <mergeCell ref="M35:Q35"/>
    <mergeCell ref="K40:L40"/>
    <mergeCell ref="M40:Q40"/>
    <mergeCell ref="I38:J38"/>
    <mergeCell ref="K38:L38"/>
    <mergeCell ref="B1:D1"/>
    <mergeCell ref="N2:Q2"/>
    <mergeCell ref="B3:D3"/>
    <mergeCell ref="N3:Q4"/>
    <mergeCell ref="B4:D4"/>
    <mergeCell ref="B5:D5"/>
    <mergeCell ref="O5:Q5"/>
    <mergeCell ref="I32:J32"/>
    <mergeCell ref="K32:L32"/>
    <mergeCell ref="M32:Q32"/>
    <mergeCell ref="B6:D6"/>
    <mergeCell ref="M28:Q28"/>
    <mergeCell ref="K24:L24"/>
    <mergeCell ref="I28:J28"/>
    <mergeCell ref="K27:L27"/>
    <mergeCell ref="K28:L28"/>
    <mergeCell ref="I25:J25"/>
    <mergeCell ref="E6:M6"/>
    <mergeCell ref="C18:D18"/>
    <mergeCell ref="E24:H24"/>
    <mergeCell ref="B24:D24"/>
    <mergeCell ref="L8:Q8"/>
    <mergeCell ref="L7:Q7"/>
    <mergeCell ref="I29:J29"/>
    <mergeCell ref="M29:Q29"/>
    <mergeCell ref="I30:J30"/>
    <mergeCell ref="K30:L30"/>
    <mergeCell ref="M30:Q30"/>
    <mergeCell ref="I31:J31"/>
    <mergeCell ref="K31:L31"/>
    <mergeCell ref="M31:Q31"/>
    <mergeCell ref="I37:J37"/>
    <mergeCell ref="K37:L37"/>
    <mergeCell ref="M37:Q37"/>
    <mergeCell ref="I36:J36"/>
    <mergeCell ref="K36:L36"/>
    <mergeCell ref="M36:Q36"/>
    <mergeCell ref="K29:L29"/>
    <mergeCell ref="D27:G27"/>
    <mergeCell ref="D61:G61"/>
    <mergeCell ref="D63:G63"/>
    <mergeCell ref="C44:G44"/>
    <mergeCell ref="C45:G45"/>
    <mergeCell ref="K48:L48"/>
    <mergeCell ref="K49:L49"/>
    <mergeCell ref="K50:L50"/>
    <mergeCell ref="I43:J43"/>
    <mergeCell ref="K43:L43"/>
    <mergeCell ref="K46:L46"/>
    <mergeCell ref="K47:L47"/>
    <mergeCell ref="I44:J44"/>
    <mergeCell ref="K44:L44"/>
    <mergeCell ref="I45:J45"/>
    <mergeCell ref="K45:L45"/>
    <mergeCell ref="E21:Q21"/>
    <mergeCell ref="M45:Q45"/>
    <mergeCell ref="I40:J40"/>
    <mergeCell ref="E42:G42"/>
    <mergeCell ref="C13:Q13"/>
    <mergeCell ref="C14:Q14"/>
    <mergeCell ref="C15:Q15"/>
    <mergeCell ref="C16:Q16"/>
    <mergeCell ref="L17:N17"/>
    <mergeCell ref="L18:N18"/>
    <mergeCell ref="L19:N19"/>
    <mergeCell ref="L20:N20"/>
    <mergeCell ref="O17:Q17"/>
    <mergeCell ref="F17:I20"/>
    <mergeCell ref="C19:D19"/>
    <mergeCell ref="I24:J24"/>
    <mergeCell ref="M26:Q26"/>
    <mergeCell ref="K26:L26"/>
    <mergeCell ref="I26:J26"/>
    <mergeCell ref="C26:G26"/>
    <mergeCell ref="I27:J27"/>
    <mergeCell ref="M24:Q24"/>
    <mergeCell ref="C20:D20"/>
    <mergeCell ref="C17:D17"/>
  </mergeCells>
  <conditionalFormatting sqref="B8">
    <cfRule type="expression" dxfId="950" priority="23">
      <formula>IF(NoColor,1,0)</formula>
    </cfRule>
  </conditionalFormatting>
  <conditionalFormatting sqref="N11:N12">
    <cfRule type="expression" dxfId="949" priority="22">
      <formula>IF(NoColor,1,0)</formula>
    </cfRule>
  </conditionalFormatting>
  <conditionalFormatting sqref="P11:P12">
    <cfRule type="expression" dxfId="948" priority="21">
      <formula>IF(NoColor,1,0)</formula>
    </cfRule>
  </conditionalFormatting>
  <conditionalFormatting sqref="C14:Q16">
    <cfRule type="expression" dxfId="947" priority="20">
      <formula>IF(NoColor,1,0)</formula>
    </cfRule>
  </conditionalFormatting>
  <conditionalFormatting sqref="C18:D20">
    <cfRule type="expression" dxfId="946" priority="19">
      <formula>IF(NoColor,1,0)</formula>
    </cfRule>
  </conditionalFormatting>
  <conditionalFormatting sqref="K18:O20 Q18:Q20">
    <cfRule type="expression" dxfId="945" priority="18">
      <formula>IF(NoColor,1,0)</formula>
    </cfRule>
  </conditionalFormatting>
  <conditionalFormatting sqref="L22:Q23">
    <cfRule type="expression" dxfId="944" priority="17">
      <formula>IF(NoColor,1,0)</formula>
    </cfRule>
  </conditionalFormatting>
  <conditionalFormatting sqref="K46:L50">
    <cfRule type="expression" dxfId="943" priority="14">
      <formula>IF(NoColor,1,0)</formula>
    </cfRule>
  </conditionalFormatting>
  <conditionalFormatting sqref="M51:Q52">
    <cfRule type="expression" dxfId="942" priority="13">
      <formula>IF(NoColor,1,0)</formula>
    </cfRule>
  </conditionalFormatting>
  <conditionalFormatting sqref="M55:Q55">
    <cfRule type="expression" dxfId="941" priority="12">
      <formula>IF(NoColor,1,0)</formula>
    </cfRule>
  </conditionalFormatting>
  <conditionalFormatting sqref="L8">
    <cfRule type="expression" dxfId="940" priority="11">
      <formula>IF(NoColor,1,0)</formula>
    </cfRule>
  </conditionalFormatting>
  <conditionalFormatting sqref="P18">
    <cfRule type="expression" dxfId="939" priority="10">
      <formula>IF(NoColor,1,0)</formula>
    </cfRule>
  </conditionalFormatting>
  <conditionalFormatting sqref="P19">
    <cfRule type="expression" dxfId="938" priority="9">
      <formula>IF(NoColor,1,0)</formula>
    </cfRule>
  </conditionalFormatting>
  <conditionalFormatting sqref="P20">
    <cfRule type="expression" dxfId="937" priority="8">
      <formula>IF(NoColor,1,0)</formula>
    </cfRule>
  </conditionalFormatting>
  <conditionalFormatting sqref="E42:G42">
    <cfRule type="expression" dxfId="936" priority="7">
      <formula>IF(NoColor,1,0)</formula>
    </cfRule>
  </conditionalFormatting>
  <conditionalFormatting sqref="I27:J27">
    <cfRule type="expression" dxfId="935" priority="3">
      <formula>IF(AN18,1,0)</formula>
    </cfRule>
  </conditionalFormatting>
  <conditionalFormatting sqref="K27:L27">
    <cfRule type="expression" dxfId="934" priority="2">
      <formula>IF(AN19,1,0)</formula>
    </cfRule>
  </conditionalFormatting>
  <conditionalFormatting sqref="M27:N27">
    <cfRule type="expression" dxfId="933" priority="1">
      <formula>IF(AN20,1,0)</formula>
    </cfRule>
  </conditionalFormatting>
  <conditionalFormatting sqref="I25:J45">
    <cfRule type="expression" dxfId="932" priority="6">
      <formula>IF(NoColor,1,0)</formula>
    </cfRule>
  </conditionalFormatting>
  <conditionalFormatting sqref="K25:L45">
    <cfRule type="expression" dxfId="931" priority="5">
      <formula>IF(NoColor,1,0)</formula>
    </cfRule>
  </conditionalFormatting>
  <conditionalFormatting sqref="M25:Q45">
    <cfRule type="expression" dxfId="930" priority="4">
      <formula>IF(NoColor,1,0)</formula>
    </cfRule>
  </conditionalFormatting>
  <hyperlinks>
    <hyperlink ref="D61:G61" r:id="rId1" display="Download Form 1040 Schedule E"/>
    <hyperlink ref="D63:G63" r:id="rId2" display="Download Form 1040 Schedule E Instructions"/>
  </hyperlinks>
  <printOptions horizontalCentered="1"/>
  <pageMargins left="0.41" right="0.25" top="0.36" bottom="0.28999999999999998" header="0.36" footer="0.21"/>
  <pageSetup scale="88" orientation="portrait" r:id="rId3"/>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Y74"/>
  <sheetViews>
    <sheetView topLeftCell="A7" zoomScaleNormal="100" workbookViewId="0">
      <selection activeCell="M27" sqref="M27:O27"/>
    </sheetView>
  </sheetViews>
  <sheetFormatPr defaultRowHeight="12.75"/>
  <cols>
    <col min="1" max="1" width="3.140625" customWidth="1"/>
    <col min="2" max="2" width="3.28515625" customWidth="1"/>
    <col min="3" max="3" width="7.7109375" customWidth="1"/>
    <col min="4" max="5" width="14.28515625" customWidth="1"/>
    <col min="6" max="6" width="12.7109375" customWidth="1"/>
    <col min="7" max="7" width="9" customWidth="1"/>
    <col min="8" max="8" width="2.5703125" customWidth="1"/>
    <col min="9" max="9" width="9" customWidth="1"/>
    <col min="10" max="10" width="3.5703125" customWidth="1"/>
    <col min="11" max="11" width="15.140625" customWidth="1"/>
    <col min="12" max="12" width="3.7109375" customWidth="1"/>
    <col min="13" max="13" width="6.7109375" customWidth="1"/>
    <col min="14" max="14" width="2.5703125" customWidth="1"/>
    <col min="15" max="15" width="6.7109375" customWidth="1"/>
    <col min="16" max="16" width="2.5703125" customWidth="1"/>
    <col min="17" max="17" width="2.28515625" customWidth="1"/>
    <col min="18" max="18" width="4.140625" customWidth="1"/>
    <col min="19" max="19" width="13.85546875" customWidth="1"/>
    <col min="20" max="23" width="14" customWidth="1"/>
    <col min="24" max="24" width="2.140625" customWidth="1"/>
  </cols>
  <sheetData>
    <row r="1" spans="1:25" ht="18.75" customHeight="1">
      <c r="A1" s="112"/>
      <c r="B1" s="5512"/>
      <c r="C1" s="5513"/>
      <c r="D1" s="5513"/>
      <c r="E1" s="1511"/>
      <c r="F1" s="112"/>
      <c r="G1" s="112"/>
      <c r="H1" s="112"/>
      <c r="I1" s="112"/>
      <c r="J1" s="112"/>
      <c r="K1" s="112"/>
      <c r="L1" s="112"/>
      <c r="M1" s="112"/>
      <c r="N1" s="112"/>
      <c r="O1" s="112"/>
      <c r="P1" s="112"/>
    </row>
    <row r="2" spans="1:25" ht="15.75" customHeight="1" thickBot="1">
      <c r="A2" s="112"/>
      <c r="B2" s="1973" t="str">
        <f>"Schedule E (Form 1040)   "&amp;TaxYear</f>
        <v>Schedule E (Form 1040)   2016</v>
      </c>
      <c r="C2" s="1974"/>
      <c r="D2" s="1974"/>
      <c r="E2" s="1974"/>
      <c r="F2" s="1974"/>
      <c r="G2" s="1975"/>
      <c r="H2" s="1975"/>
      <c r="I2" s="1975"/>
      <c r="J2" s="1975"/>
      <c r="K2" s="1975" t="s">
        <v>1304</v>
      </c>
      <c r="L2" s="1975"/>
      <c r="M2" s="5471" t="s">
        <v>1305</v>
      </c>
      <c r="N2" s="5472"/>
      <c r="O2" s="5472"/>
      <c r="P2" s="112"/>
    </row>
    <row r="3" spans="1:25" ht="11.25" customHeight="1">
      <c r="A3" s="112"/>
      <c r="B3" s="2548" t="s">
        <v>1306</v>
      </c>
      <c r="C3" s="2548"/>
      <c r="D3" s="2549"/>
      <c r="E3" s="2549"/>
      <c r="F3" s="2549"/>
      <c r="G3" s="2550"/>
      <c r="H3" s="2550"/>
      <c r="I3" s="2550"/>
      <c r="J3" s="2550"/>
      <c r="K3" s="5473" t="s">
        <v>148</v>
      </c>
      <c r="L3" s="5474"/>
      <c r="M3" s="5474"/>
      <c r="N3" s="5474"/>
      <c r="O3" s="5474"/>
      <c r="P3" s="112"/>
    </row>
    <row r="4" spans="1:25" ht="17.25" customHeight="1">
      <c r="A4" s="112"/>
      <c r="B4" s="5514" t="str">
        <f>Names</f>
        <v/>
      </c>
      <c r="C4" s="5515"/>
      <c r="D4" s="5515"/>
      <c r="E4" s="5515"/>
      <c r="F4" s="5515"/>
      <c r="G4" s="5515"/>
      <c r="H4" s="5515"/>
      <c r="I4" s="5515"/>
      <c r="J4" s="5516"/>
      <c r="K4" s="5475">
        <f>SS_Yours</f>
        <v>0</v>
      </c>
      <c r="L4" s="5476"/>
      <c r="M4" s="5476"/>
      <c r="N4" s="5476"/>
      <c r="O4" s="5476"/>
      <c r="P4" s="112"/>
    </row>
    <row r="5" spans="1:25">
      <c r="A5" s="112"/>
      <c r="B5" s="1976" t="s">
        <v>1307</v>
      </c>
      <c r="C5" s="1977"/>
      <c r="D5" s="1976"/>
      <c r="E5" s="1978"/>
      <c r="F5" s="1978"/>
      <c r="G5" s="1978"/>
      <c r="H5" s="1978"/>
      <c r="I5" s="1978"/>
      <c r="J5" s="1978"/>
      <c r="K5" s="1978"/>
      <c r="L5" s="1978"/>
      <c r="M5" s="5477"/>
      <c r="N5" s="5478"/>
      <c r="O5" s="5478"/>
      <c r="P5" s="112"/>
    </row>
    <row r="6" spans="1:25" ht="15">
      <c r="A6" s="112"/>
      <c r="B6" s="1979" t="s">
        <v>1308</v>
      </c>
      <c r="C6" s="1980"/>
      <c r="D6" s="2532" t="s">
        <v>1508</v>
      </c>
      <c r="E6" s="392"/>
      <c r="F6" s="392"/>
      <c r="G6" s="392"/>
      <c r="H6" s="392"/>
      <c r="I6" s="392"/>
      <c r="J6" s="392"/>
      <c r="K6" s="392"/>
      <c r="L6" s="392"/>
      <c r="M6" s="392"/>
      <c r="N6" s="392"/>
      <c r="O6" s="392"/>
      <c r="P6" s="112"/>
    </row>
    <row r="7" spans="1:25" ht="13.5" thickBot="1">
      <c r="A7" s="112"/>
      <c r="B7" s="392"/>
      <c r="C7" s="392"/>
      <c r="D7" s="427" t="s">
        <v>1509</v>
      </c>
      <c r="E7" s="392"/>
      <c r="F7" s="392"/>
      <c r="G7" s="392"/>
      <c r="H7" s="396"/>
      <c r="I7" s="396"/>
      <c r="J7" s="392"/>
      <c r="K7" s="392"/>
      <c r="L7" s="392"/>
      <c r="M7" s="392"/>
      <c r="N7" s="396"/>
      <c r="O7" s="396"/>
      <c r="P7" s="112"/>
    </row>
    <row r="8" spans="1:25">
      <c r="A8" s="112"/>
      <c r="B8" s="1983" t="str">
        <f>"27"</f>
        <v>27</v>
      </c>
      <c r="C8" s="1984" t="s">
        <v>2045</v>
      </c>
      <c r="D8" s="1985"/>
      <c r="E8" s="1986"/>
      <c r="F8" s="1986"/>
      <c r="G8" s="1986"/>
      <c r="H8" s="392"/>
      <c r="I8" s="392"/>
      <c r="J8" s="1986"/>
      <c r="K8" s="1986"/>
      <c r="L8" s="1986"/>
      <c r="M8" s="1986"/>
      <c r="N8" s="392"/>
      <c r="O8" s="392"/>
      <c r="P8" s="112"/>
    </row>
    <row r="9" spans="1:25" ht="12" customHeight="1" thickBot="1">
      <c r="A9" s="112"/>
      <c r="B9" s="392"/>
      <c r="C9" s="427" t="s">
        <v>2046</v>
      </c>
      <c r="D9" s="1982"/>
      <c r="E9" s="392"/>
      <c r="F9" s="392"/>
      <c r="G9" s="1981"/>
      <c r="H9" s="1981"/>
      <c r="I9" s="1981"/>
      <c r="J9" s="1987"/>
      <c r="K9" s="1981"/>
      <c r="L9" s="1987"/>
      <c r="M9" s="1981"/>
      <c r="N9" s="1981"/>
      <c r="O9" s="1981"/>
      <c r="P9" s="112"/>
    </row>
    <row r="10" spans="1:25" ht="13.5" thickBot="1">
      <c r="A10" s="112"/>
      <c r="B10" s="392"/>
      <c r="C10" s="427" t="s">
        <v>2047</v>
      </c>
      <c r="D10" s="1982"/>
      <c r="E10" s="392"/>
      <c r="F10" s="392"/>
      <c r="G10" s="392"/>
      <c r="H10" s="1981"/>
      <c r="I10" s="1981"/>
      <c r="J10" s="2533"/>
      <c r="K10" s="1988" t="s">
        <v>613</v>
      </c>
      <c r="L10" s="2533"/>
      <c r="M10" s="1981" t="s">
        <v>614</v>
      </c>
      <c r="N10" s="1981"/>
      <c r="O10" s="1981"/>
      <c r="P10" s="112"/>
    </row>
    <row r="11" spans="1:25" ht="6" customHeight="1" thickBot="1">
      <c r="A11" s="112"/>
      <c r="B11" s="396"/>
      <c r="C11" s="1989"/>
      <c r="D11" s="1990"/>
      <c r="E11" s="396"/>
      <c r="F11" s="396"/>
      <c r="G11" s="396"/>
      <c r="H11" s="396"/>
      <c r="I11" s="396"/>
      <c r="J11" s="396"/>
      <c r="K11" s="396"/>
      <c r="L11" s="396"/>
      <c r="M11" s="392"/>
      <c r="N11" s="392"/>
      <c r="O11" s="392"/>
      <c r="P11" s="112"/>
    </row>
    <row r="12" spans="1:25" ht="11.25" customHeight="1">
      <c r="A12" s="112"/>
      <c r="B12" s="1985"/>
      <c r="C12" s="1986"/>
      <c r="D12" s="1986"/>
      <c r="E12" s="1986"/>
      <c r="F12" s="1991" t="s">
        <v>1309</v>
      </c>
      <c r="G12" s="5508" t="s">
        <v>1510</v>
      </c>
      <c r="H12" s="5433"/>
      <c r="I12" s="5288"/>
      <c r="J12" s="1992"/>
      <c r="K12" s="1993" t="s">
        <v>1310</v>
      </c>
      <c r="L12" s="1994"/>
      <c r="M12" s="5479" t="s">
        <v>1311</v>
      </c>
      <c r="N12" s="5383"/>
      <c r="O12" s="5383"/>
      <c r="P12" s="112"/>
    </row>
    <row r="13" spans="1:25" ht="11.25" customHeight="1">
      <c r="A13" s="112"/>
      <c r="B13" s="1995">
        <v>28</v>
      </c>
      <c r="C13" s="1996"/>
      <c r="D13" s="1997" t="s">
        <v>1312</v>
      </c>
      <c r="E13" s="1998"/>
      <c r="F13" s="1999" t="s">
        <v>1313</v>
      </c>
      <c r="G13" s="5428"/>
      <c r="H13" s="5433"/>
      <c r="I13" s="5288"/>
      <c r="J13" s="2001"/>
      <c r="K13" s="2002" t="s">
        <v>1314</v>
      </c>
      <c r="L13" s="2000"/>
      <c r="M13" s="5470" t="s">
        <v>1315</v>
      </c>
      <c r="N13" s="4724"/>
      <c r="O13" s="4724"/>
      <c r="P13" s="112"/>
    </row>
    <row r="14" spans="1:25" ht="11.25" customHeight="1">
      <c r="A14" s="112"/>
      <c r="B14" s="2003"/>
      <c r="C14" s="2004"/>
      <c r="D14" s="2004"/>
      <c r="E14" s="2004"/>
      <c r="F14" s="2005" t="s">
        <v>1316</v>
      </c>
      <c r="G14" s="5430"/>
      <c r="H14" s="5431"/>
      <c r="I14" s="5291"/>
      <c r="J14" s="2006"/>
      <c r="K14" s="2007" t="s">
        <v>1317</v>
      </c>
      <c r="L14" s="2008"/>
      <c r="M14" s="5470" t="s">
        <v>1318</v>
      </c>
      <c r="N14" s="4724"/>
      <c r="O14" s="4724"/>
      <c r="P14" s="112"/>
    </row>
    <row r="15" spans="1:25">
      <c r="A15" s="112"/>
      <c r="B15" s="2009" t="s">
        <v>235</v>
      </c>
      <c r="C15" s="5517"/>
      <c r="D15" s="5518"/>
      <c r="E15" s="5519"/>
      <c r="F15" s="2539"/>
      <c r="G15" s="2010"/>
      <c r="H15" s="2540"/>
      <c r="I15" s="2520"/>
      <c r="J15" s="5520"/>
      <c r="K15" s="4755"/>
      <c r="L15" s="4756"/>
      <c r="M15" s="2518"/>
      <c r="N15" s="2540"/>
      <c r="O15" s="2519"/>
      <c r="P15" s="112"/>
    </row>
    <row r="16" spans="1:25">
      <c r="A16" s="112"/>
      <c r="B16" s="2009" t="s">
        <v>462</v>
      </c>
      <c r="C16" s="5517"/>
      <c r="D16" s="5518"/>
      <c r="E16" s="5519"/>
      <c r="F16" s="2539"/>
      <c r="G16" s="2010"/>
      <c r="H16" s="2540"/>
      <c r="I16" s="2520"/>
      <c r="J16" s="5520"/>
      <c r="K16" s="4755"/>
      <c r="L16" s="4756"/>
      <c r="M16" s="2518"/>
      <c r="N16" s="2540"/>
      <c r="O16" s="2519"/>
      <c r="P16" s="112"/>
      <c r="Y16" s="2058"/>
    </row>
    <row r="17" spans="1:24">
      <c r="A17" s="112"/>
      <c r="B17" s="2009" t="s">
        <v>236</v>
      </c>
      <c r="C17" s="5517"/>
      <c r="D17" s="5518"/>
      <c r="E17" s="5519"/>
      <c r="F17" s="2539"/>
      <c r="G17" s="2010"/>
      <c r="H17" s="2540"/>
      <c r="I17" s="2520"/>
      <c r="J17" s="5520"/>
      <c r="K17" s="4755"/>
      <c r="L17" s="4756"/>
      <c r="M17" s="2518"/>
      <c r="N17" s="2540"/>
      <c r="O17" s="2519"/>
      <c r="P17" s="112"/>
    </row>
    <row r="18" spans="1:24">
      <c r="A18" s="112"/>
      <c r="B18" s="2009" t="s">
        <v>465</v>
      </c>
      <c r="C18" s="5517"/>
      <c r="D18" s="5518"/>
      <c r="E18" s="5519"/>
      <c r="F18" s="2539"/>
      <c r="G18" s="2010"/>
      <c r="H18" s="2540"/>
      <c r="I18" s="2520"/>
      <c r="J18" s="5520"/>
      <c r="K18" s="4755"/>
      <c r="L18" s="4756"/>
      <c r="M18" s="2518"/>
      <c r="N18" s="2540"/>
      <c r="O18" s="2519"/>
      <c r="P18" s="112"/>
    </row>
    <row r="19" spans="1:24">
      <c r="A19" s="112"/>
      <c r="B19" s="5521" t="s">
        <v>1319</v>
      </c>
      <c r="C19" s="5423"/>
      <c r="D19" s="5423"/>
      <c r="E19" s="5423"/>
      <c r="F19" s="5522"/>
      <c r="G19" s="5406" t="s">
        <v>1320</v>
      </c>
      <c r="H19" s="5406"/>
      <c r="I19" s="5406"/>
      <c r="J19" s="5407"/>
      <c r="K19" s="5407"/>
      <c r="L19" s="5407"/>
      <c r="M19" s="5407"/>
      <c r="N19" s="5407"/>
      <c r="O19" s="5407"/>
      <c r="P19" s="112"/>
    </row>
    <row r="20" spans="1:24" ht="9.75" customHeight="1">
      <c r="A20" s="112"/>
      <c r="B20" s="1982"/>
      <c r="C20" s="5448" t="s">
        <v>1520</v>
      </c>
      <c r="D20" s="5449"/>
      <c r="E20" s="5409" t="s">
        <v>1519</v>
      </c>
      <c r="F20" s="5466"/>
      <c r="G20" s="5432" t="s">
        <v>1505</v>
      </c>
      <c r="H20" s="5427"/>
      <c r="I20" s="5285"/>
      <c r="J20" s="5465" t="s">
        <v>2048</v>
      </c>
      <c r="K20" s="5427"/>
      <c r="L20" s="5285"/>
      <c r="M20" s="5409" t="s">
        <v>1504</v>
      </c>
      <c r="N20" s="5427"/>
      <c r="O20" s="5427"/>
      <c r="P20" s="112"/>
    </row>
    <row r="21" spans="1:24" ht="9.75" customHeight="1">
      <c r="A21" s="112"/>
      <c r="B21" s="1982"/>
      <c r="C21" s="5302"/>
      <c r="D21" s="5450"/>
      <c r="E21" s="5428"/>
      <c r="F21" s="5467"/>
      <c r="G21" s="5429"/>
      <c r="H21" s="5433"/>
      <c r="I21" s="5288"/>
      <c r="J21" s="5428"/>
      <c r="K21" s="5429"/>
      <c r="L21" s="5288"/>
      <c r="M21" s="5428"/>
      <c r="N21" s="5429"/>
      <c r="O21" s="5429"/>
      <c r="P21" s="112"/>
    </row>
    <row r="22" spans="1:24" ht="9.75" customHeight="1">
      <c r="A22" s="112"/>
      <c r="B22" s="1982"/>
      <c r="C22" s="5451"/>
      <c r="D22" s="5452"/>
      <c r="E22" s="5430"/>
      <c r="F22" s="5468"/>
      <c r="G22" s="5431"/>
      <c r="H22" s="5431"/>
      <c r="I22" s="5291"/>
      <c r="J22" s="5430"/>
      <c r="K22" s="5431"/>
      <c r="L22" s="5291"/>
      <c r="M22" s="5430"/>
      <c r="N22" s="5431"/>
      <c r="O22" s="5431"/>
      <c r="P22" s="112"/>
    </row>
    <row r="23" spans="1:24" ht="15" customHeight="1">
      <c r="A23" s="112"/>
      <c r="B23" s="2009" t="s">
        <v>235</v>
      </c>
      <c r="C23" s="5420"/>
      <c r="D23" s="5435"/>
      <c r="E23" s="5420"/>
      <c r="F23" s="5453"/>
      <c r="G23" s="5434"/>
      <c r="H23" s="5421"/>
      <c r="I23" s="5435"/>
      <c r="J23" s="5420"/>
      <c r="K23" s="5421"/>
      <c r="L23" s="5435"/>
      <c r="M23" s="5420"/>
      <c r="N23" s="5421"/>
      <c r="O23" s="5421"/>
      <c r="P23" s="112"/>
    </row>
    <row r="24" spans="1:24" ht="15" customHeight="1">
      <c r="A24" s="112"/>
      <c r="B24" s="2009" t="s">
        <v>462</v>
      </c>
      <c r="C24" s="5420"/>
      <c r="D24" s="5435"/>
      <c r="E24" s="5420"/>
      <c r="F24" s="5453"/>
      <c r="G24" s="5434"/>
      <c r="H24" s="5421"/>
      <c r="I24" s="5435"/>
      <c r="J24" s="5420"/>
      <c r="K24" s="5421"/>
      <c r="L24" s="5435"/>
      <c r="M24" s="5420"/>
      <c r="N24" s="5421"/>
      <c r="O24" s="5421"/>
      <c r="P24" s="112"/>
      <c r="S24" s="36" t="s">
        <v>149</v>
      </c>
    </row>
    <row r="25" spans="1:24" ht="15" customHeight="1">
      <c r="A25" s="112"/>
      <c r="B25" s="2009" t="s">
        <v>236</v>
      </c>
      <c r="C25" s="5420"/>
      <c r="D25" s="5435"/>
      <c r="E25" s="5420"/>
      <c r="F25" s="5453"/>
      <c r="G25" s="5434"/>
      <c r="H25" s="5421"/>
      <c r="I25" s="5435"/>
      <c r="J25" s="5420"/>
      <c r="K25" s="5421"/>
      <c r="L25" s="5435"/>
      <c r="M25" s="5420"/>
      <c r="N25" s="5421"/>
      <c r="O25" s="5421"/>
      <c r="P25" s="112"/>
      <c r="S25" s="36" t="s">
        <v>661</v>
      </c>
    </row>
    <row r="26" spans="1:24" ht="15" customHeight="1" thickBot="1">
      <c r="A26" s="112"/>
      <c r="B26" s="2009" t="s">
        <v>465</v>
      </c>
      <c r="C26" s="5420"/>
      <c r="D26" s="5435"/>
      <c r="E26" s="5420"/>
      <c r="F26" s="5453"/>
      <c r="G26" s="5434"/>
      <c r="H26" s="5421"/>
      <c r="I26" s="5435"/>
      <c r="J26" s="5420"/>
      <c r="K26" s="5421"/>
      <c r="L26" s="5435"/>
      <c r="M26" s="5420"/>
      <c r="N26" s="5421"/>
      <c r="O26" s="5421"/>
      <c r="P26" s="112"/>
      <c r="S26" s="2037"/>
      <c r="T26" s="2037"/>
      <c r="U26" s="2037"/>
      <c r="V26" s="2037"/>
      <c r="W26" s="2037"/>
      <c r="X26" s="2037"/>
    </row>
    <row r="27" spans="1:24" ht="13.5" thickBot="1">
      <c r="A27" s="112"/>
      <c r="B27" s="2541">
        <v>29</v>
      </c>
      <c r="C27" s="2542" t="s">
        <v>1322</v>
      </c>
      <c r="D27" s="2743" t="str">
        <f>IF(OR(C23&lt;0,C24&lt;0,C25&lt;0,C26&lt;0),"Enter as positive number.","")</f>
        <v/>
      </c>
      <c r="E27" s="5404">
        <f>IF(T27&lt;&gt;"",ROUND(T27,0),ROUND(SUM(E23:E26),0))</f>
        <v>0</v>
      </c>
      <c r="F27" s="5405"/>
      <c r="G27" s="5436" t="str">
        <f>IF(OR(G23&lt;0,G24&lt;0,G25&lt;0,G26&lt;0),"Enter as positive number.","")</f>
        <v/>
      </c>
      <c r="H27" s="5437"/>
      <c r="I27" s="5438"/>
      <c r="J27" s="2744" t="str">
        <f>IF(OR(J23&lt;0,J24&lt;0,J25&lt;0,J26&lt;0),"Enter as positive number.","")</f>
        <v/>
      </c>
      <c r="K27" s="2016"/>
      <c r="L27" s="2014"/>
      <c r="M27" s="5480">
        <f>IF(W27&lt;&gt;"",ROUND(W27,0),ROUND(SUM(M23:M26),0))</f>
        <v>0</v>
      </c>
      <c r="N27" s="5481"/>
      <c r="O27" s="5481"/>
      <c r="P27" s="112"/>
      <c r="R27" s="3726" t="s">
        <v>3161</v>
      </c>
      <c r="S27" s="2037"/>
      <c r="T27" s="2745"/>
      <c r="U27" s="2037"/>
      <c r="V27" s="2037"/>
      <c r="W27" s="2745"/>
      <c r="X27" s="2037"/>
    </row>
    <row r="28" spans="1:24" ht="13.5" thickBot="1">
      <c r="A28" s="112"/>
      <c r="B28" s="1982"/>
      <c r="C28" s="2542" t="s">
        <v>1323</v>
      </c>
      <c r="D28" s="2746">
        <f>IF(S28&lt;&gt;"",ROUND(S28,0),ROUND(SUM(C23:C26),0))</f>
        <v>0</v>
      </c>
      <c r="E28" s="2015"/>
      <c r="F28" s="2543"/>
      <c r="G28" s="5445">
        <f>IF(U28&lt;&gt;"",ROUND(U28,0),ROUND(SUM(G23:G26),0))</f>
        <v>0</v>
      </c>
      <c r="H28" s="5446"/>
      <c r="I28" s="5447"/>
      <c r="J28" s="5404">
        <f>IF(V28&lt;&gt;"",ROUND(V28,0),ROUND(SUM(J23:J26),0))</f>
        <v>0</v>
      </c>
      <c r="K28" s="5446"/>
      <c r="L28" s="5447"/>
      <c r="M28" s="5422"/>
      <c r="N28" s="5423"/>
      <c r="O28" s="5423"/>
      <c r="P28" s="112"/>
      <c r="R28" s="3726" t="s">
        <v>84</v>
      </c>
      <c r="S28" s="2745"/>
      <c r="T28" s="2037"/>
      <c r="U28" s="2745"/>
      <c r="V28" s="2745"/>
      <c r="W28" s="2037"/>
      <c r="X28" s="2037"/>
    </row>
    <row r="29" spans="1:24">
      <c r="A29" s="112"/>
      <c r="B29" s="2013">
        <v>30</v>
      </c>
      <c r="C29" s="1998" t="s">
        <v>1324</v>
      </c>
      <c r="D29" s="1998"/>
      <c r="E29" s="1998"/>
      <c r="F29" s="1998"/>
      <c r="G29" s="1998"/>
      <c r="H29" s="1998"/>
      <c r="I29" s="1998"/>
      <c r="J29" s="1998"/>
      <c r="K29" s="1998"/>
      <c r="L29" s="2017">
        <f>B29</f>
        <v>30</v>
      </c>
      <c r="M29" s="5424">
        <f>E27+M27</f>
        <v>0</v>
      </c>
      <c r="N29" s="5425"/>
      <c r="O29" s="5425"/>
      <c r="P29" s="112"/>
      <c r="S29" s="2037"/>
      <c r="T29" s="2037"/>
      <c r="U29" s="2037"/>
      <c r="V29" s="2037"/>
      <c r="W29" s="2037"/>
      <c r="X29" s="2037"/>
    </row>
    <row r="30" spans="1:24">
      <c r="A30" s="112"/>
      <c r="B30" s="2013">
        <v>31</v>
      </c>
      <c r="C30" s="1998" t="s">
        <v>1325</v>
      </c>
      <c r="D30" s="1998"/>
      <c r="E30" s="1998"/>
      <c r="F30" s="1998"/>
      <c r="G30" s="1998"/>
      <c r="H30" s="1998"/>
      <c r="I30" s="1998"/>
      <c r="J30" s="1998"/>
      <c r="K30" s="1998"/>
      <c r="L30" s="2017">
        <f>B30</f>
        <v>31</v>
      </c>
      <c r="M30" s="5426">
        <f>-SUM(D28,G28,J28)</f>
        <v>0</v>
      </c>
      <c r="N30" s="4762"/>
      <c r="O30" s="4762"/>
      <c r="P30" s="112"/>
      <c r="S30" s="2037"/>
    </row>
    <row r="31" spans="1:24" ht="13.5" thickBot="1">
      <c r="A31" s="112"/>
      <c r="B31" s="2013">
        <v>32</v>
      </c>
      <c r="C31" s="1998" t="s">
        <v>1326</v>
      </c>
      <c r="D31" s="1998"/>
      <c r="E31" s="1998"/>
      <c r="F31" s="1998"/>
      <c r="G31" s="1998"/>
      <c r="H31" s="1998"/>
      <c r="I31" s="1998"/>
      <c r="J31" s="1998"/>
      <c r="K31" s="1998"/>
      <c r="L31" s="2018"/>
      <c r="M31" s="5442"/>
      <c r="N31" s="4724"/>
      <c r="O31" s="4724"/>
      <c r="P31" s="112"/>
      <c r="S31" s="2037"/>
    </row>
    <row r="32" spans="1:24" ht="13.5" thickBot="1">
      <c r="A32" s="112"/>
      <c r="B32" s="2011"/>
      <c r="C32" s="1998" t="s">
        <v>1327</v>
      </c>
      <c r="D32" s="1998"/>
      <c r="E32" s="1998"/>
      <c r="F32" s="1998"/>
      <c r="G32" s="1998"/>
      <c r="H32" s="1998"/>
      <c r="I32" s="1998"/>
      <c r="J32" s="1998"/>
      <c r="K32" s="392"/>
      <c r="L32" s="2521">
        <f>B31</f>
        <v>32</v>
      </c>
      <c r="M32" s="5443">
        <f>IF(S32&lt;&gt;"",ROUND(S32,0),SUM(M29,M30))</f>
        <v>0</v>
      </c>
      <c r="N32" s="5444"/>
      <c r="O32" s="5444"/>
      <c r="P32" s="112"/>
      <c r="R32" s="3726">
        <v>32</v>
      </c>
      <c r="S32" s="2745"/>
    </row>
    <row r="33" spans="1:19" ht="15">
      <c r="A33" s="112"/>
      <c r="B33" s="2019" t="s">
        <v>1328</v>
      </c>
      <c r="C33" s="2020"/>
      <c r="D33" s="2021" t="s">
        <v>1329</v>
      </c>
      <c r="E33" s="2022"/>
      <c r="F33" s="2022"/>
      <c r="G33" s="2022"/>
      <c r="H33" s="2022"/>
      <c r="I33" s="2022"/>
      <c r="J33" s="2022"/>
      <c r="K33" s="2022"/>
      <c r="L33" s="5439"/>
      <c r="M33" s="4724"/>
      <c r="N33" s="4724"/>
      <c r="O33" s="4724"/>
      <c r="P33" s="112"/>
      <c r="S33" s="2037"/>
    </row>
    <row r="34" spans="1:19" ht="25.5" customHeight="1">
      <c r="A34" s="112"/>
      <c r="B34" s="2023">
        <v>33</v>
      </c>
      <c r="C34" s="2024"/>
      <c r="D34" s="2024"/>
      <c r="E34" s="2024"/>
      <c r="F34" s="2025" t="s">
        <v>1312</v>
      </c>
      <c r="G34" s="2024"/>
      <c r="H34" s="2024"/>
      <c r="I34" s="2024"/>
      <c r="J34" s="2024"/>
      <c r="K34" s="2026"/>
      <c r="L34" s="5440" t="s">
        <v>1506</v>
      </c>
      <c r="M34" s="5441"/>
      <c r="N34" s="5441"/>
      <c r="O34" s="5441"/>
      <c r="P34" s="112"/>
      <c r="S34" s="2037"/>
    </row>
    <row r="35" spans="1:19">
      <c r="A35" s="112"/>
      <c r="B35" s="2009" t="s">
        <v>235</v>
      </c>
      <c r="C35" s="5454"/>
      <c r="D35" s="5319"/>
      <c r="E35" s="5319"/>
      <c r="F35" s="5319"/>
      <c r="G35" s="5319"/>
      <c r="H35" s="5319"/>
      <c r="I35" s="5319"/>
      <c r="J35" s="5319"/>
      <c r="K35" s="5455"/>
      <c r="L35" s="5469"/>
      <c r="M35" s="4755"/>
      <c r="N35" s="4755"/>
      <c r="O35" s="4755"/>
      <c r="P35" s="112"/>
      <c r="S35" s="2037"/>
    </row>
    <row r="36" spans="1:19">
      <c r="A36" s="112"/>
      <c r="B36" s="2009" t="s">
        <v>462</v>
      </c>
      <c r="C36" s="5454"/>
      <c r="D36" s="5319"/>
      <c r="E36" s="5319"/>
      <c r="F36" s="5319"/>
      <c r="G36" s="5319"/>
      <c r="H36" s="5319"/>
      <c r="I36" s="5319"/>
      <c r="J36" s="5319"/>
      <c r="K36" s="5455"/>
      <c r="L36" s="5469"/>
      <c r="M36" s="4755"/>
      <c r="N36" s="4755"/>
      <c r="O36" s="4755"/>
      <c r="P36" s="112"/>
      <c r="S36" s="2037"/>
    </row>
    <row r="37" spans="1:19">
      <c r="A37" s="112"/>
      <c r="B37" s="5406" t="s">
        <v>1319</v>
      </c>
      <c r="C37" s="5407"/>
      <c r="D37" s="5407"/>
      <c r="E37" s="5407"/>
      <c r="F37" s="5407"/>
      <c r="G37" s="5407"/>
      <c r="H37" s="5407"/>
      <c r="I37" s="5408"/>
      <c r="J37" s="5482" t="s">
        <v>1320</v>
      </c>
      <c r="K37" s="5483"/>
      <c r="L37" s="5483"/>
      <c r="M37" s="5483"/>
      <c r="N37" s="4724"/>
      <c r="O37" s="4724"/>
      <c r="P37" s="112"/>
      <c r="S37" s="2037"/>
    </row>
    <row r="38" spans="1:19">
      <c r="A38" s="112"/>
      <c r="B38" s="5432" t="s">
        <v>1513</v>
      </c>
      <c r="C38" s="5427"/>
      <c r="D38" s="5427"/>
      <c r="E38" s="5285"/>
      <c r="F38" s="5409" t="s">
        <v>1511</v>
      </c>
      <c r="G38" s="5140"/>
      <c r="H38" s="5140"/>
      <c r="I38" s="5410"/>
      <c r="J38" s="2027" t="s">
        <v>1330</v>
      </c>
      <c r="K38" s="2027"/>
      <c r="L38" s="5414" t="s">
        <v>1512</v>
      </c>
      <c r="M38" s="5415"/>
      <c r="N38" s="5415"/>
      <c r="O38" s="5415"/>
      <c r="P38" s="112"/>
      <c r="S38" s="2037"/>
    </row>
    <row r="39" spans="1:19">
      <c r="A39" s="112"/>
      <c r="B39" s="5431"/>
      <c r="C39" s="5431"/>
      <c r="D39" s="5431"/>
      <c r="E39" s="5291"/>
      <c r="F39" s="5411"/>
      <c r="G39" s="5412"/>
      <c r="H39" s="5412"/>
      <c r="I39" s="5413"/>
      <c r="J39" s="2012"/>
      <c r="K39" s="2012" t="s">
        <v>1321</v>
      </c>
      <c r="L39" s="5416"/>
      <c r="M39" s="5417"/>
      <c r="N39" s="5417"/>
      <c r="O39" s="5417"/>
      <c r="P39" s="112"/>
      <c r="S39" s="2037"/>
    </row>
    <row r="40" spans="1:19">
      <c r="A40" s="112"/>
      <c r="B40" s="2009" t="s">
        <v>235</v>
      </c>
      <c r="C40" s="5420"/>
      <c r="D40" s="5421"/>
      <c r="E40" s="5435"/>
      <c r="F40" s="5459"/>
      <c r="G40" s="5460"/>
      <c r="H40" s="5460"/>
      <c r="I40" s="5461"/>
      <c r="J40" s="5434"/>
      <c r="K40" s="5435"/>
      <c r="L40" s="5420"/>
      <c r="M40" s="5421"/>
      <c r="N40" s="5421"/>
      <c r="O40" s="5421"/>
      <c r="P40" s="112"/>
      <c r="S40" s="2037"/>
    </row>
    <row r="41" spans="1:19">
      <c r="A41" s="112"/>
      <c r="B41" s="2009" t="s">
        <v>462</v>
      </c>
      <c r="C41" s="5420"/>
      <c r="D41" s="5421"/>
      <c r="E41" s="5435"/>
      <c r="F41" s="5459"/>
      <c r="G41" s="5460"/>
      <c r="H41" s="5460"/>
      <c r="I41" s="5461"/>
      <c r="J41" s="5434"/>
      <c r="K41" s="5435"/>
      <c r="L41" s="5420"/>
      <c r="M41" s="5421"/>
      <c r="N41" s="5421"/>
      <c r="O41" s="5421"/>
      <c r="P41" s="112"/>
      <c r="S41" s="2037"/>
    </row>
    <row r="42" spans="1:19">
      <c r="A42" s="112"/>
      <c r="B42" s="2541">
        <v>34</v>
      </c>
      <c r="C42" s="2542" t="s">
        <v>1322</v>
      </c>
      <c r="D42" s="2015"/>
      <c r="E42" s="2014"/>
      <c r="F42" s="5462">
        <f>ROUND(F40+F41,0)</f>
        <v>0</v>
      </c>
      <c r="G42" s="5463"/>
      <c r="H42" s="5463"/>
      <c r="I42" s="5464"/>
      <c r="J42" s="2016"/>
      <c r="K42" s="2014"/>
      <c r="L42" s="5497">
        <f>ROUND(L40+L41,0)</f>
        <v>0</v>
      </c>
      <c r="M42" s="5498"/>
      <c r="N42" s="5498"/>
      <c r="O42" s="5498"/>
      <c r="P42" s="112"/>
      <c r="S42" s="2037"/>
    </row>
    <row r="43" spans="1:19">
      <c r="A43" s="112"/>
      <c r="B43" s="1982"/>
      <c r="C43" s="2542" t="s">
        <v>1323</v>
      </c>
      <c r="D43" s="5404">
        <f>ROUND(C40+C41,0)</f>
        <v>0</v>
      </c>
      <c r="E43" s="5447"/>
      <c r="F43" s="5456"/>
      <c r="G43" s="5457"/>
      <c r="H43" s="5457"/>
      <c r="I43" s="5458"/>
      <c r="J43" s="5445">
        <f>ROUND(J40+J41,0)</f>
        <v>0</v>
      </c>
      <c r="K43" s="5447"/>
      <c r="L43" s="5499"/>
      <c r="M43" s="4724"/>
      <c r="N43" s="4724"/>
      <c r="O43" s="4724"/>
      <c r="P43" s="112"/>
      <c r="S43" s="2037"/>
    </row>
    <row r="44" spans="1:19">
      <c r="A44" s="112"/>
      <c r="B44" s="2013">
        <v>35</v>
      </c>
      <c r="C44" s="1998" t="s">
        <v>1331</v>
      </c>
      <c r="D44" s="1998"/>
      <c r="E44" s="1998"/>
      <c r="F44" s="1998"/>
      <c r="G44" s="1998"/>
      <c r="H44" s="1998"/>
      <c r="I44" s="1998"/>
      <c r="J44" s="1998"/>
      <c r="K44" s="1998"/>
      <c r="L44" s="2028">
        <f>B44</f>
        <v>35</v>
      </c>
      <c r="M44" s="5497">
        <f>F42+L42</f>
        <v>0</v>
      </c>
      <c r="N44" s="5498"/>
      <c r="O44" s="5498"/>
      <c r="P44" s="112"/>
      <c r="S44" s="2037"/>
    </row>
    <row r="45" spans="1:19" ht="13.5" thickBot="1">
      <c r="A45" s="112"/>
      <c r="B45" s="2013">
        <v>36</v>
      </c>
      <c r="C45" s="1998" t="s">
        <v>1332</v>
      </c>
      <c r="D45" s="1998"/>
      <c r="E45" s="1998"/>
      <c r="F45" s="1998"/>
      <c r="G45" s="1998"/>
      <c r="H45" s="1998"/>
      <c r="I45" s="1998"/>
      <c r="J45" s="1998"/>
      <c r="K45" s="1998"/>
      <c r="L45" s="2544">
        <f>B45</f>
        <v>36</v>
      </c>
      <c r="M45" s="5484">
        <f>-(D43+J43)</f>
        <v>0</v>
      </c>
      <c r="N45" s="5485"/>
      <c r="O45" s="5485"/>
      <c r="P45" s="112"/>
      <c r="S45" s="2037"/>
    </row>
    <row r="46" spans="1:19" ht="13.5" thickTop="1">
      <c r="A46" s="112"/>
      <c r="B46" s="2013">
        <v>37</v>
      </c>
      <c r="C46" s="2029" t="s">
        <v>1333</v>
      </c>
      <c r="D46" s="1998"/>
      <c r="E46" s="1998"/>
      <c r="F46" s="1998"/>
      <c r="G46" s="1998"/>
      <c r="H46" s="1998"/>
      <c r="I46" s="1998"/>
      <c r="J46" s="1998"/>
      <c r="K46" s="1998"/>
      <c r="L46" s="2040"/>
      <c r="M46" s="5488"/>
      <c r="N46" s="4571"/>
      <c r="O46" s="4571"/>
      <c r="P46" s="112"/>
      <c r="S46" s="2037"/>
    </row>
    <row r="47" spans="1:19" ht="13.5" thickBot="1">
      <c r="A47" s="112"/>
      <c r="B47" s="2011"/>
      <c r="C47" s="1998" t="s">
        <v>1334</v>
      </c>
      <c r="D47" s="1998"/>
      <c r="E47" s="1998"/>
      <c r="F47" s="1998"/>
      <c r="G47" s="1998"/>
      <c r="H47" s="1998"/>
      <c r="I47" s="1998"/>
      <c r="J47" s="1998"/>
      <c r="K47" s="392"/>
      <c r="L47" s="2030">
        <f>B46</f>
        <v>37</v>
      </c>
      <c r="M47" s="5486">
        <f>M44+M45</f>
        <v>0</v>
      </c>
      <c r="N47" s="5487"/>
      <c r="O47" s="5487"/>
      <c r="P47" s="112"/>
      <c r="S47" s="2037"/>
    </row>
    <row r="48" spans="1:19" ht="16.5" thickTop="1" thickBot="1">
      <c r="A48" s="112"/>
      <c r="B48" s="2524" t="s">
        <v>1335</v>
      </c>
      <c r="C48" s="2525"/>
      <c r="D48" s="5418" t="s">
        <v>1336</v>
      </c>
      <c r="E48" s="5419"/>
      <c r="F48" s="5419"/>
      <c r="G48" s="5419"/>
      <c r="H48" s="5419"/>
      <c r="I48" s="5419"/>
      <c r="J48" s="5419"/>
      <c r="K48" s="5419"/>
      <c r="L48" s="5419"/>
      <c r="M48" s="5419"/>
      <c r="N48" s="5419"/>
      <c r="O48" s="5419"/>
      <c r="P48" s="112"/>
      <c r="S48" s="2037"/>
    </row>
    <row r="49" spans="1:19" ht="10.5" customHeight="1">
      <c r="A49" s="112"/>
      <c r="B49" s="2523"/>
      <c r="C49" s="2522"/>
      <c r="D49" s="2033"/>
      <c r="E49" s="5508" t="s">
        <v>1337</v>
      </c>
      <c r="F49" s="5288"/>
      <c r="G49" s="5502" t="s">
        <v>1514</v>
      </c>
      <c r="H49" s="5503"/>
      <c r="I49" s="5504"/>
      <c r="J49" s="5489" t="s">
        <v>1338</v>
      </c>
      <c r="K49" s="5288"/>
      <c r="L49" s="5489" t="s">
        <v>1507</v>
      </c>
      <c r="M49" s="5429"/>
      <c r="N49" s="5433"/>
      <c r="O49" s="5433"/>
      <c r="P49" s="112"/>
      <c r="S49" s="2037"/>
    </row>
    <row r="50" spans="1:19" ht="10.5" customHeight="1">
      <c r="A50" s="112"/>
      <c r="B50" s="2031">
        <v>38</v>
      </c>
      <c r="C50" s="2032" t="s">
        <v>1339</v>
      </c>
      <c r="D50" s="2033"/>
      <c r="E50" s="5428"/>
      <c r="F50" s="5288"/>
      <c r="G50" s="5428"/>
      <c r="H50" s="5433"/>
      <c r="I50" s="5288"/>
      <c r="J50" s="5428"/>
      <c r="K50" s="5288"/>
      <c r="L50" s="5428"/>
      <c r="M50" s="5433"/>
      <c r="N50" s="5433"/>
      <c r="O50" s="5433"/>
      <c r="P50" s="112"/>
      <c r="S50" s="2037"/>
    </row>
    <row r="51" spans="1:19" ht="10.5" customHeight="1">
      <c r="A51" s="112"/>
      <c r="B51" s="2034"/>
      <c r="C51" s="2004"/>
      <c r="D51" s="2035"/>
      <c r="E51" s="5430"/>
      <c r="F51" s="5291"/>
      <c r="G51" s="5430"/>
      <c r="H51" s="5431"/>
      <c r="I51" s="5291"/>
      <c r="J51" s="5430"/>
      <c r="K51" s="5291"/>
      <c r="L51" s="5428"/>
      <c r="M51" s="5429"/>
      <c r="N51" s="5433"/>
      <c r="O51" s="5433"/>
      <c r="P51" s="112"/>
      <c r="S51" s="36" t="s">
        <v>149</v>
      </c>
    </row>
    <row r="52" spans="1:19" ht="13.5" thickBot="1">
      <c r="A52" s="112"/>
      <c r="B52" s="5493"/>
      <c r="C52" s="5319"/>
      <c r="D52" s="5455"/>
      <c r="E52" s="5494"/>
      <c r="F52" s="5495"/>
      <c r="G52" s="5505"/>
      <c r="H52" s="5506"/>
      <c r="I52" s="5507"/>
      <c r="J52" s="5496"/>
      <c r="K52" s="4743"/>
      <c r="L52" s="2036"/>
      <c r="M52" s="5420"/>
      <c r="N52" s="5421"/>
      <c r="O52" s="5421"/>
      <c r="P52" s="112"/>
      <c r="S52" s="36" t="s">
        <v>661</v>
      </c>
    </row>
    <row r="53" spans="1:19" ht="13.5" thickBot="1">
      <c r="A53" s="112"/>
      <c r="B53" s="2013">
        <v>39</v>
      </c>
      <c r="C53" s="1998" t="s">
        <v>1340</v>
      </c>
      <c r="D53" s="1998"/>
      <c r="E53" s="1998"/>
      <c r="F53" s="1998"/>
      <c r="G53" s="1998"/>
      <c r="H53" s="1998"/>
      <c r="I53" s="1998"/>
      <c r="J53" s="1998"/>
      <c r="K53" s="1998"/>
      <c r="L53" s="2041">
        <f>B53</f>
        <v>39</v>
      </c>
      <c r="M53" s="5486">
        <f>IF(S53&lt;&gt;"",ROUND(S53,0),ROUND((K52+M52),0))</f>
        <v>0</v>
      </c>
      <c r="N53" s="5500"/>
      <c r="O53" s="5500"/>
      <c r="P53" s="112"/>
      <c r="R53" s="3726">
        <v>39</v>
      </c>
      <c r="S53" s="2745"/>
    </row>
    <row r="54" spans="1:19" ht="16.5" thickTop="1" thickBot="1">
      <c r="A54" s="112"/>
      <c r="B54" s="2524" t="s">
        <v>1341</v>
      </c>
      <c r="C54" s="2525"/>
      <c r="D54" s="2526" t="s">
        <v>1342</v>
      </c>
      <c r="E54" s="5501"/>
      <c r="F54" s="5419"/>
      <c r="G54" s="5419"/>
      <c r="H54" s="5419"/>
      <c r="I54" s="5419"/>
      <c r="J54" s="5419"/>
      <c r="K54" s="5419"/>
      <c r="L54" s="5419"/>
      <c r="M54" s="5419"/>
      <c r="N54" s="5419"/>
      <c r="O54" s="5419"/>
      <c r="P54" s="112"/>
      <c r="S54" s="2037"/>
    </row>
    <row r="55" spans="1:19" ht="13.5" thickBot="1">
      <c r="A55" s="112"/>
      <c r="B55" s="2013">
        <v>40</v>
      </c>
      <c r="C55" s="1998" t="s">
        <v>1343</v>
      </c>
      <c r="D55" s="1998"/>
      <c r="E55" s="1998"/>
      <c r="F55" s="1998"/>
      <c r="G55" s="1998"/>
      <c r="H55" s="1998"/>
      <c r="I55" s="1998"/>
      <c r="J55" s="1998"/>
      <c r="K55" s="1998"/>
      <c r="L55" s="2531">
        <f>B55</f>
        <v>40</v>
      </c>
      <c r="M55" s="5509"/>
      <c r="N55" s="5510"/>
      <c r="O55" s="5510"/>
      <c r="P55" s="112"/>
      <c r="S55" s="2037"/>
    </row>
    <row r="56" spans="1:19" ht="13.5" thickBot="1">
      <c r="A56" s="112"/>
      <c r="B56" s="2013">
        <v>41</v>
      </c>
      <c r="C56" s="2038" t="s">
        <v>1515</v>
      </c>
      <c r="D56" s="1998"/>
      <c r="E56" s="1998"/>
      <c r="F56" s="1998"/>
      <c r="G56" s="1998"/>
      <c r="H56" s="1998"/>
      <c r="I56" s="1998"/>
      <c r="J56" s="1998"/>
      <c r="K56" s="1998"/>
      <c r="L56" s="2537">
        <f>B56</f>
        <v>41</v>
      </c>
      <c r="M56" s="5497">
        <f>IF(S56&lt;&gt;"",ROUND(S56,0),SUM(SchE1_Line26,SchE2_Line32,SchE2_Line37,SchE2_Line39,SchE2_Line40))</f>
        <v>0</v>
      </c>
      <c r="N56" s="5511"/>
      <c r="O56" s="5511"/>
      <c r="P56" s="112"/>
      <c r="Q56" s="2591" t="b">
        <f>IF(OR(M32&lt;&gt;0,M47&lt;&gt;0,M52&lt;&gt;0),TRUE,FALSE)</f>
        <v>0</v>
      </c>
      <c r="R56" s="3726">
        <v>41</v>
      </c>
      <c r="S56" s="2745"/>
    </row>
    <row r="57" spans="1:19">
      <c r="A57" s="112"/>
      <c r="B57" s="2013">
        <v>42</v>
      </c>
      <c r="C57" s="2536" t="s">
        <v>1518</v>
      </c>
      <c r="D57" s="1998"/>
      <c r="E57" s="1998"/>
      <c r="F57" s="1998"/>
      <c r="G57" s="1998"/>
      <c r="H57" s="2534"/>
      <c r="I57" s="2534"/>
      <c r="J57" s="2528"/>
      <c r="K57" s="2529"/>
      <c r="L57" s="2039"/>
      <c r="M57" s="5491" t="b">
        <f>IF(OR(M32&lt;&gt;0,M47&lt;&gt;0,M53&lt;&gt;0,M56&lt;&gt;0),TRUE,FALSE)</f>
        <v>0</v>
      </c>
      <c r="N57" s="5492"/>
      <c r="O57" s="5492"/>
      <c r="P57" s="112"/>
      <c r="S57" s="2037"/>
    </row>
    <row r="58" spans="1:19">
      <c r="A58" s="112"/>
      <c r="B58" s="2011"/>
      <c r="C58" s="2011" t="s">
        <v>1516</v>
      </c>
      <c r="D58" s="1998"/>
      <c r="E58" s="1998"/>
      <c r="F58" s="1998"/>
      <c r="G58" s="1998"/>
      <c r="H58" s="2534"/>
      <c r="I58" s="2534"/>
      <c r="J58" s="2530"/>
      <c r="K58" s="2527"/>
      <c r="L58" s="2039"/>
      <c r="M58" s="5490"/>
      <c r="N58" s="4563"/>
      <c r="O58" s="4563"/>
      <c r="P58" s="112"/>
      <c r="S58" s="2037"/>
    </row>
    <row r="59" spans="1:19">
      <c r="A59" s="112"/>
      <c r="B59" s="2011"/>
      <c r="C59" s="2011" t="s">
        <v>1517</v>
      </c>
      <c r="D59" s="1998"/>
      <c r="E59" s="1998"/>
      <c r="F59" s="1998"/>
      <c r="G59" s="1998"/>
      <c r="H59" s="2534"/>
      <c r="I59" s="2534"/>
      <c r="J59" s="2530"/>
      <c r="K59" s="2527"/>
      <c r="L59" s="2039"/>
      <c r="M59" s="2039"/>
      <c r="N59" s="2039"/>
      <c r="O59" s="2039"/>
      <c r="P59" s="112"/>
      <c r="S59" s="2037"/>
    </row>
    <row r="60" spans="1:19">
      <c r="A60" s="112"/>
      <c r="B60" s="2011"/>
      <c r="C60" s="2011" t="s">
        <v>2049</v>
      </c>
      <c r="D60" s="1998"/>
      <c r="E60" s="1998"/>
      <c r="F60" s="1998"/>
      <c r="G60" s="1998"/>
      <c r="H60" s="2534"/>
      <c r="I60" s="2534"/>
      <c r="J60" s="2545">
        <f>B57</f>
        <v>42</v>
      </c>
      <c r="K60" s="2547"/>
      <c r="L60" s="2039"/>
      <c r="M60" s="2039"/>
      <c r="N60" s="2039"/>
      <c r="O60" s="2039"/>
      <c r="P60" s="112"/>
      <c r="S60" s="2037"/>
    </row>
    <row r="61" spans="1:19" ht="6.75" customHeight="1">
      <c r="A61" s="112"/>
      <c r="B61" s="2011"/>
      <c r="C61" s="1998"/>
      <c r="D61" s="1998"/>
      <c r="E61" s="1998"/>
      <c r="F61" s="1998"/>
      <c r="G61" s="1998"/>
      <c r="H61" s="2534"/>
      <c r="I61" s="2534"/>
      <c r="J61" s="2528"/>
      <c r="K61" s="2529"/>
      <c r="L61" s="2039"/>
      <c r="M61" s="2039"/>
      <c r="N61" s="2039"/>
      <c r="O61" s="2039"/>
      <c r="P61" s="112"/>
      <c r="S61" s="2037"/>
    </row>
    <row r="62" spans="1:19">
      <c r="A62" s="112"/>
      <c r="B62" s="2013">
        <v>43</v>
      </c>
      <c r="C62" s="2029" t="s">
        <v>1387</v>
      </c>
      <c r="D62" s="1998"/>
      <c r="E62" s="1998"/>
      <c r="F62" s="1998"/>
      <c r="G62" s="1998"/>
      <c r="H62" s="2534"/>
      <c r="I62" s="2534"/>
      <c r="J62" s="2530"/>
      <c r="K62" s="2527"/>
      <c r="L62" s="2039"/>
      <c r="M62" s="2039"/>
      <c r="N62" s="2039"/>
      <c r="O62" s="2039"/>
      <c r="P62" s="112"/>
      <c r="S62" s="2037"/>
    </row>
    <row r="63" spans="1:19">
      <c r="A63" s="112"/>
      <c r="B63" s="2011"/>
      <c r="C63" s="2011" t="s">
        <v>1388</v>
      </c>
      <c r="D63" s="1998"/>
      <c r="E63" s="1998"/>
      <c r="F63" s="1998"/>
      <c r="G63" s="1998"/>
      <c r="H63" s="2534"/>
      <c r="I63" s="2534"/>
      <c r="J63" s="2530"/>
      <c r="K63" s="2527"/>
      <c r="L63" s="2039"/>
      <c r="M63" s="2039"/>
      <c r="N63" s="2039"/>
      <c r="O63" s="2039"/>
      <c r="P63" s="112"/>
      <c r="S63" s="2037"/>
    </row>
    <row r="64" spans="1:19">
      <c r="A64" s="112"/>
      <c r="B64" s="2011"/>
      <c r="C64" s="1998" t="s">
        <v>1344</v>
      </c>
      <c r="D64" s="1998"/>
      <c r="E64" s="1998"/>
      <c r="F64" s="1998"/>
      <c r="G64" s="1998"/>
      <c r="H64" s="2534"/>
      <c r="I64" s="2534"/>
      <c r="J64" s="2530"/>
      <c r="K64" s="2527"/>
      <c r="L64" s="2039"/>
      <c r="M64" s="2039"/>
      <c r="N64" s="2039"/>
      <c r="O64" s="2039"/>
      <c r="P64" s="112"/>
      <c r="S64" s="2037"/>
    </row>
    <row r="65" spans="1:19" ht="13.5" thickBot="1">
      <c r="A65" s="112"/>
      <c r="B65" s="1990"/>
      <c r="C65" s="396" t="s">
        <v>1345</v>
      </c>
      <c r="D65" s="396"/>
      <c r="E65" s="396"/>
      <c r="F65" s="396"/>
      <c r="G65" s="396"/>
      <c r="H65" s="2535"/>
      <c r="I65" s="2535"/>
      <c r="J65" s="2538">
        <f>B62</f>
        <v>43</v>
      </c>
      <c r="K65" s="2546"/>
      <c r="L65" s="2042"/>
      <c r="M65" s="2042"/>
      <c r="N65" s="2042"/>
      <c r="O65" s="2042"/>
      <c r="P65" s="112"/>
      <c r="S65" s="2037"/>
    </row>
    <row r="66" spans="1:19">
      <c r="A66" s="112"/>
      <c r="B66" s="2011"/>
      <c r="C66" s="1998"/>
      <c r="D66" s="1998"/>
      <c r="E66" s="1998"/>
      <c r="F66" s="1998"/>
      <c r="G66" s="1998"/>
      <c r="H66" s="2043"/>
      <c r="I66" s="2043"/>
      <c r="J66" s="1998"/>
      <c r="K66" s="1998"/>
      <c r="L66" s="1998"/>
      <c r="M66" s="2043"/>
      <c r="N66" s="2043"/>
      <c r="O66" s="2043" t="str">
        <f>"Schedule E (Form 1040) "&amp; TaxYear</f>
        <v>Schedule E (Form 1040) 2016</v>
      </c>
      <c r="P66" s="112"/>
      <c r="S66" s="2037"/>
    </row>
    <row r="67" spans="1:19">
      <c r="A67" s="112"/>
      <c r="B67" s="2044"/>
      <c r="C67" s="2039"/>
      <c r="D67" s="2039"/>
      <c r="E67" s="2039"/>
      <c r="F67" s="2039"/>
      <c r="G67" s="2039"/>
      <c r="H67" s="2039"/>
      <c r="I67" s="2039"/>
      <c r="J67" s="2039"/>
      <c r="K67" s="2039"/>
      <c r="L67" s="2039"/>
      <c r="M67" s="2039"/>
      <c r="N67" s="2039"/>
      <c r="O67" s="2039"/>
      <c r="P67" s="112"/>
      <c r="S67" s="2037"/>
    </row>
    <row r="68" spans="1:19">
      <c r="C68" s="1996"/>
      <c r="D68" s="1996"/>
      <c r="E68" s="1996"/>
      <c r="F68" s="1996"/>
      <c r="G68" s="1996"/>
      <c r="H68" s="1996"/>
      <c r="I68" s="1996"/>
      <c r="J68" s="1996"/>
      <c r="K68" s="1996"/>
      <c r="L68" s="1996"/>
      <c r="M68" s="1996"/>
      <c r="N68" s="1996"/>
      <c r="O68" s="1996"/>
    </row>
    <row r="69" spans="1:19">
      <c r="C69" s="1996"/>
      <c r="D69" s="1996"/>
      <c r="E69" s="1996"/>
      <c r="F69" s="1996"/>
      <c r="G69" s="1996"/>
      <c r="H69" s="1996"/>
      <c r="I69" s="1996"/>
      <c r="J69" s="1996"/>
      <c r="K69" s="1996"/>
      <c r="L69" s="1996"/>
      <c r="M69" s="1996"/>
      <c r="N69" s="1996"/>
      <c r="O69" s="1996"/>
    </row>
    <row r="70" spans="1:19" ht="13.5" thickBot="1">
      <c r="C70" s="1972"/>
      <c r="D70" s="1972"/>
      <c r="E70" s="1972"/>
      <c r="F70" s="1972"/>
      <c r="G70" s="1996"/>
      <c r="H70" s="1996"/>
      <c r="I70" s="1996"/>
      <c r="J70" s="1996"/>
      <c r="K70" s="1996"/>
      <c r="L70" s="1996"/>
      <c r="M70" s="1996"/>
      <c r="N70" s="1996"/>
      <c r="O70" s="1996"/>
    </row>
    <row r="71" spans="1:19" ht="14.25" thickTop="1" thickBot="1">
      <c r="C71" s="5346" t="s">
        <v>1302</v>
      </c>
      <c r="D71" s="5347"/>
      <c r="E71" s="5347"/>
      <c r="F71" s="5348"/>
      <c r="G71" s="1996"/>
      <c r="H71" s="1996"/>
      <c r="I71" s="1996"/>
      <c r="J71" s="1996"/>
      <c r="K71" s="1996"/>
      <c r="L71" s="1996"/>
      <c r="M71" s="1996"/>
      <c r="N71" s="1996"/>
      <c r="O71" s="1996"/>
    </row>
    <row r="72" spans="1:19" ht="14.25" thickTop="1" thickBot="1">
      <c r="C72" s="1972"/>
      <c r="D72" s="1972"/>
      <c r="E72" s="1972"/>
      <c r="F72" s="1972"/>
      <c r="G72" s="1996"/>
      <c r="H72" s="1996"/>
      <c r="I72" s="1996"/>
      <c r="J72" s="1996"/>
      <c r="K72" s="1996"/>
      <c r="L72" s="1996"/>
      <c r="M72" s="1996"/>
      <c r="N72" s="1996"/>
      <c r="O72" s="1996"/>
    </row>
    <row r="73" spans="1:19" ht="14.25" thickTop="1" thickBot="1">
      <c r="C73" s="5346" t="s">
        <v>1303</v>
      </c>
      <c r="D73" s="5347"/>
      <c r="E73" s="5347"/>
      <c r="F73" s="5348"/>
      <c r="G73" s="1996"/>
      <c r="H73" s="1996"/>
      <c r="I73" s="1996"/>
      <c r="J73" s="1996"/>
      <c r="K73" s="1996"/>
      <c r="L73" s="1996"/>
      <c r="M73" s="1996"/>
      <c r="N73" s="1996"/>
      <c r="O73" s="1996"/>
    </row>
    <row r="74" spans="1:19" ht="13.5" thickTop="1"/>
  </sheetData>
  <sheetProtection password="F07E" sheet="1" objects="1" scenarios="1"/>
  <mergeCells count="102">
    <mergeCell ref="B1:D1"/>
    <mergeCell ref="B4:J4"/>
    <mergeCell ref="C15:E15"/>
    <mergeCell ref="J15:L15"/>
    <mergeCell ref="G12:I14"/>
    <mergeCell ref="B19:F19"/>
    <mergeCell ref="C16:E16"/>
    <mergeCell ref="J16:L16"/>
    <mergeCell ref="C17:E17"/>
    <mergeCell ref="J17:L17"/>
    <mergeCell ref="C18:E18"/>
    <mergeCell ref="J18:L18"/>
    <mergeCell ref="G19:O19"/>
    <mergeCell ref="M58:O58"/>
    <mergeCell ref="M57:O57"/>
    <mergeCell ref="B52:D52"/>
    <mergeCell ref="E52:F52"/>
    <mergeCell ref="J52:K52"/>
    <mergeCell ref="L42:O42"/>
    <mergeCell ref="L43:O43"/>
    <mergeCell ref="M44:O44"/>
    <mergeCell ref="J43:K43"/>
    <mergeCell ref="M53:O53"/>
    <mergeCell ref="E54:O54"/>
    <mergeCell ref="G49:I51"/>
    <mergeCell ref="G52:I52"/>
    <mergeCell ref="E49:F51"/>
    <mergeCell ref="J49:K51"/>
    <mergeCell ref="M55:O55"/>
    <mergeCell ref="M56:O56"/>
    <mergeCell ref="C73:F73"/>
    <mergeCell ref="M13:O13"/>
    <mergeCell ref="M14:O14"/>
    <mergeCell ref="M2:O2"/>
    <mergeCell ref="K3:O3"/>
    <mergeCell ref="K4:O4"/>
    <mergeCell ref="M5:O5"/>
    <mergeCell ref="M12:O12"/>
    <mergeCell ref="M23:O23"/>
    <mergeCell ref="M24:O24"/>
    <mergeCell ref="M25:O25"/>
    <mergeCell ref="M26:O26"/>
    <mergeCell ref="M27:O27"/>
    <mergeCell ref="L36:O36"/>
    <mergeCell ref="J37:O37"/>
    <mergeCell ref="C40:E40"/>
    <mergeCell ref="J40:K40"/>
    <mergeCell ref="C41:E41"/>
    <mergeCell ref="J41:K41"/>
    <mergeCell ref="M45:O45"/>
    <mergeCell ref="M47:O47"/>
    <mergeCell ref="M46:O46"/>
    <mergeCell ref="L49:O51"/>
    <mergeCell ref="C36:K36"/>
    <mergeCell ref="C20:D22"/>
    <mergeCell ref="B38:E39"/>
    <mergeCell ref="C24:D24"/>
    <mergeCell ref="E24:F24"/>
    <mergeCell ref="C25:D25"/>
    <mergeCell ref="C35:K35"/>
    <mergeCell ref="C26:D26"/>
    <mergeCell ref="E26:F26"/>
    <mergeCell ref="C71:F71"/>
    <mergeCell ref="F43:I43"/>
    <mergeCell ref="D43:E43"/>
    <mergeCell ref="F40:I40"/>
    <mergeCell ref="F41:I41"/>
    <mergeCell ref="F42:I42"/>
    <mergeCell ref="C23:D23"/>
    <mergeCell ref="E23:F23"/>
    <mergeCell ref="J23:L23"/>
    <mergeCell ref="J24:L24"/>
    <mergeCell ref="J26:L26"/>
    <mergeCell ref="J28:L28"/>
    <mergeCell ref="J20:L22"/>
    <mergeCell ref="E20:F22"/>
    <mergeCell ref="L35:O35"/>
    <mergeCell ref="E25:F25"/>
    <mergeCell ref="M20:O22"/>
    <mergeCell ref="G20:I22"/>
    <mergeCell ref="G23:I23"/>
    <mergeCell ref="G24:I24"/>
    <mergeCell ref="G25:I25"/>
    <mergeCell ref="G26:I26"/>
    <mergeCell ref="G27:I27"/>
    <mergeCell ref="L33:O33"/>
    <mergeCell ref="L34:O34"/>
    <mergeCell ref="M31:O31"/>
    <mergeCell ref="M32:O32"/>
    <mergeCell ref="J25:L25"/>
    <mergeCell ref="G28:I28"/>
    <mergeCell ref="E27:F27"/>
    <mergeCell ref="B37:I37"/>
    <mergeCell ref="F38:I39"/>
    <mergeCell ref="L38:O39"/>
    <mergeCell ref="D48:O48"/>
    <mergeCell ref="M52:O52"/>
    <mergeCell ref="L40:O40"/>
    <mergeCell ref="L41:O41"/>
    <mergeCell ref="M28:O28"/>
    <mergeCell ref="M29:O29"/>
    <mergeCell ref="M30:O30"/>
  </mergeCells>
  <conditionalFormatting sqref="J10">
    <cfRule type="expression" dxfId="929" priority="26">
      <formula>IF(NoColor,1,0)</formula>
    </cfRule>
  </conditionalFormatting>
  <conditionalFormatting sqref="L10">
    <cfRule type="expression" dxfId="928" priority="25">
      <formula>IF(NoColor,1,0)</formula>
    </cfRule>
  </conditionalFormatting>
  <conditionalFormatting sqref="H15:H18">
    <cfRule type="expression" dxfId="927" priority="24">
      <formula>IF(NoColor,1,0)</formula>
    </cfRule>
  </conditionalFormatting>
  <conditionalFormatting sqref="N15:N18">
    <cfRule type="expression" dxfId="926" priority="23">
      <formula>IF(NoColor,1,0)</formula>
    </cfRule>
  </conditionalFormatting>
  <conditionalFormatting sqref="C15:E18">
    <cfRule type="expression" dxfId="925" priority="22">
      <formula>IF(NoColor,1,0)</formula>
    </cfRule>
  </conditionalFormatting>
  <conditionalFormatting sqref="F15:F18">
    <cfRule type="expression" dxfId="924" priority="21">
      <formula>IF(NoColor,1,0)</formula>
    </cfRule>
  </conditionalFormatting>
  <conditionalFormatting sqref="J15:L18">
    <cfRule type="expression" dxfId="923" priority="20">
      <formula>IF(NoColor,1,0)</formula>
    </cfRule>
  </conditionalFormatting>
  <conditionalFormatting sqref="C23:O26">
    <cfRule type="expression" dxfId="922" priority="19">
      <formula>IF(NoColor,1,0)</formula>
    </cfRule>
  </conditionalFormatting>
  <conditionalFormatting sqref="E27">
    <cfRule type="expression" dxfId="921" priority="18">
      <formula>IF(NoColor,1,0)</formula>
    </cfRule>
  </conditionalFormatting>
  <conditionalFormatting sqref="D28">
    <cfRule type="expression" dxfId="920" priority="17">
      <formula>IF(NoColor,1,0)</formula>
    </cfRule>
  </conditionalFormatting>
  <conditionalFormatting sqref="G28:L28">
    <cfRule type="expression" dxfId="919" priority="16">
      <formula>IF(NoColor,1,0)</formula>
    </cfRule>
  </conditionalFormatting>
  <conditionalFormatting sqref="M27:O27">
    <cfRule type="expression" dxfId="918" priority="15">
      <formula>IF(NoColor,1,0)</formula>
    </cfRule>
  </conditionalFormatting>
  <conditionalFormatting sqref="M29:O32">
    <cfRule type="expression" dxfId="917" priority="14">
      <formula>IF(NoColor,1,0)</formula>
    </cfRule>
  </conditionalFormatting>
  <conditionalFormatting sqref="C35:O36">
    <cfRule type="expression" dxfId="916" priority="13">
      <formula>IF(NoColor,1,0)</formula>
    </cfRule>
  </conditionalFormatting>
  <conditionalFormatting sqref="C40:O41">
    <cfRule type="expression" dxfId="915" priority="12">
      <formula>IF(NoColor,1,0)</formula>
    </cfRule>
  </conditionalFormatting>
  <conditionalFormatting sqref="D43:E43">
    <cfRule type="expression" dxfId="914" priority="11">
      <formula>IF(NoColor,1,0)</formula>
    </cfRule>
  </conditionalFormatting>
  <conditionalFormatting sqref="F42:I42">
    <cfRule type="expression" dxfId="913" priority="10">
      <formula>IF(NoColor,1,0)</formula>
    </cfRule>
  </conditionalFormatting>
  <conditionalFormatting sqref="J43:K43">
    <cfRule type="expression" dxfId="912" priority="9">
      <formula>IF(NoColor,1,0)</formula>
    </cfRule>
  </conditionalFormatting>
  <conditionalFormatting sqref="L42:O42">
    <cfRule type="expression" dxfId="911" priority="8">
      <formula>IF(NoColor,1,0)</formula>
    </cfRule>
  </conditionalFormatting>
  <conditionalFormatting sqref="M44:O47">
    <cfRule type="expression" dxfId="910" priority="7">
      <formula>IF(NoColor,1,0)</formula>
    </cfRule>
  </conditionalFormatting>
  <conditionalFormatting sqref="B52:O52">
    <cfRule type="expression" dxfId="909" priority="6">
      <formula>IF(NoColor,1,0)</formula>
    </cfRule>
  </conditionalFormatting>
  <conditionalFormatting sqref="M53:O53">
    <cfRule type="expression" dxfId="908" priority="5">
      <formula>IF(NoColor,1,0)</formula>
    </cfRule>
  </conditionalFormatting>
  <conditionalFormatting sqref="M55:O56">
    <cfRule type="expression" dxfId="907" priority="4">
      <formula>IF(NoColor,1,0)</formula>
    </cfRule>
  </conditionalFormatting>
  <conditionalFormatting sqref="K60">
    <cfRule type="expression" dxfId="906" priority="3">
      <formula>IF(NoColor,1,0)</formula>
    </cfRule>
  </conditionalFormatting>
  <conditionalFormatting sqref="K65">
    <cfRule type="expression" dxfId="905" priority="2">
      <formula>IF(NoColor,1,0)</formula>
    </cfRule>
  </conditionalFormatting>
  <conditionalFormatting sqref="B4:O4">
    <cfRule type="expression" dxfId="904" priority="1">
      <formula>IF(NoColor,1,0)</formula>
    </cfRule>
  </conditionalFormatting>
  <hyperlinks>
    <hyperlink ref="C71:F71" r:id="rId1" display="Download Form 1040 Schedule E"/>
    <hyperlink ref="C73:F73" r:id="rId2" display="Download Form 1040 Schedule E Instructions"/>
  </hyperlinks>
  <printOptions horizontalCentered="1" gridLines="1" gridLinesSet="0"/>
  <pageMargins left="0.56000000000000005" right="0.41" top="0.49" bottom="0.46" header="0.5" footer="0.4"/>
  <pageSetup scale="87" orientation="portrait" r:id="rId3"/>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27"/>
  <sheetViews>
    <sheetView zoomScaleNormal="100" workbookViewId="0">
      <selection activeCell="O11" sqref="O11"/>
    </sheetView>
  </sheetViews>
  <sheetFormatPr defaultRowHeight="12.75"/>
  <cols>
    <col min="1" max="1" width="2" customWidth="1"/>
    <col min="2" max="2" width="3.85546875" customWidth="1"/>
    <col min="3" max="3" width="4" customWidth="1"/>
    <col min="4" max="4" width="11.140625" customWidth="1"/>
    <col min="5" max="5" width="8.85546875" customWidth="1"/>
    <col min="6" max="6" width="3" customWidth="1"/>
    <col min="7" max="7" width="6.28515625" customWidth="1"/>
    <col min="8" max="13" width="3.28515625" customWidth="1"/>
    <col min="14" max="14" width="1.7109375" customWidth="1"/>
    <col min="15" max="15" width="2.85546875" customWidth="1"/>
    <col min="16" max="16" width="4.85546875" customWidth="1"/>
    <col min="17" max="17" width="2.42578125" customWidth="1"/>
    <col min="18" max="18" width="9.42578125" customWidth="1"/>
    <col min="19" max="19" width="3.7109375" customWidth="1"/>
    <col min="20" max="28" width="3.28515625" customWidth="1"/>
    <col min="29" max="29" width="1.7109375" customWidth="1"/>
    <col min="30" max="30" width="11.5703125" style="64" customWidth="1"/>
    <col min="31" max="31" width="1.7109375" customWidth="1"/>
  </cols>
  <sheetData>
    <row r="1" spans="1:31" ht="15.75" customHeight="1">
      <c r="A1" s="112"/>
      <c r="B1" s="112"/>
      <c r="C1" s="112"/>
      <c r="D1" s="112"/>
      <c r="E1" s="1511"/>
      <c r="F1" s="112"/>
      <c r="G1" s="112"/>
      <c r="H1" s="112"/>
      <c r="I1" s="112"/>
      <c r="J1" s="112"/>
      <c r="K1" s="112"/>
      <c r="L1" s="112"/>
      <c r="M1" s="112"/>
      <c r="N1" s="112"/>
      <c r="O1" s="112"/>
      <c r="P1" s="112"/>
      <c r="Q1" s="112"/>
      <c r="R1" s="112"/>
      <c r="S1" s="112"/>
      <c r="T1" s="112"/>
      <c r="U1" s="112"/>
      <c r="V1" s="112"/>
      <c r="W1" s="112"/>
      <c r="X1" s="112"/>
      <c r="Y1" s="112"/>
      <c r="Z1" s="112"/>
      <c r="AA1" s="112"/>
      <c r="AB1" s="112"/>
      <c r="AC1" s="857"/>
      <c r="AD1" s="523"/>
      <c r="AE1" s="857"/>
    </row>
    <row r="2" spans="1:31"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857"/>
      <c r="AD2" s="523"/>
      <c r="AE2" s="857"/>
    </row>
    <row r="3" spans="1:31" ht="10.5" customHeight="1">
      <c r="A3" s="112"/>
      <c r="B3" s="5587" t="s">
        <v>1883</v>
      </c>
      <c r="C3" s="5587"/>
      <c r="D3" s="5588"/>
      <c r="E3" s="2601"/>
      <c r="F3" s="2399"/>
      <c r="G3" s="2399"/>
      <c r="H3" s="2399"/>
      <c r="I3" s="2399"/>
      <c r="J3" s="2399"/>
      <c r="K3" s="2399"/>
      <c r="L3" s="2399"/>
      <c r="M3" s="2399"/>
      <c r="N3" s="2399"/>
      <c r="O3" s="2399"/>
      <c r="P3" s="2399"/>
      <c r="Q3" s="2399"/>
      <c r="R3" s="2399"/>
      <c r="S3" s="2399"/>
      <c r="T3" s="2399"/>
      <c r="U3" s="2399"/>
      <c r="V3" s="2399"/>
      <c r="W3" s="2399"/>
      <c r="X3" s="2955" t="s">
        <v>249</v>
      </c>
      <c r="Y3" s="2955"/>
      <c r="Z3" s="2956"/>
      <c r="AA3" s="2956"/>
      <c r="AB3" s="2956"/>
      <c r="AC3" s="857"/>
      <c r="AD3" s="523"/>
      <c r="AE3" s="857"/>
    </row>
    <row r="4" spans="1:31" s="3" customFormat="1" ht="21.75" customHeight="1">
      <c r="A4" s="936"/>
      <c r="B4" s="5589"/>
      <c r="C4" s="5589"/>
      <c r="D4" s="5588"/>
      <c r="E4" s="2923"/>
      <c r="F4" s="222"/>
      <c r="G4" s="2969" t="s">
        <v>1879</v>
      </c>
      <c r="H4" s="353"/>
      <c r="I4" s="353"/>
      <c r="J4" s="353"/>
      <c r="K4" s="353"/>
      <c r="L4" s="353"/>
      <c r="M4" s="353"/>
      <c r="N4" s="191"/>
      <c r="O4" s="191"/>
      <c r="P4" s="191"/>
      <c r="Q4" s="191"/>
      <c r="R4" s="185"/>
      <c r="S4" s="185"/>
      <c r="T4" s="191"/>
      <c r="U4" s="353"/>
      <c r="V4" s="353"/>
      <c r="W4" s="226"/>
      <c r="X4" s="5568">
        <f>TaxYear</f>
        <v>2016</v>
      </c>
      <c r="Y4" s="5569"/>
      <c r="Z4" s="5569"/>
      <c r="AA4" s="5569"/>
      <c r="AB4" s="5569"/>
      <c r="AC4" s="936"/>
      <c r="AD4" s="523"/>
      <c r="AE4" s="936"/>
    </row>
    <row r="5" spans="1:31" ht="9.75" customHeight="1">
      <c r="A5" s="857"/>
      <c r="B5" s="2924"/>
      <c r="C5" s="2924"/>
      <c r="D5" s="2954"/>
      <c r="E5" s="2991" t="s">
        <v>1880</v>
      </c>
      <c r="F5" s="2958"/>
      <c r="G5" s="2958"/>
      <c r="H5" s="2958"/>
      <c r="I5" s="2958"/>
      <c r="J5" s="2958"/>
      <c r="K5" s="2958"/>
      <c r="L5" s="2958"/>
      <c r="M5" s="2958"/>
      <c r="N5" s="2958"/>
      <c r="O5" s="2958"/>
      <c r="P5" s="2958"/>
      <c r="Q5" s="2958"/>
      <c r="R5" s="2958"/>
      <c r="S5" s="2958"/>
      <c r="T5" s="2958"/>
      <c r="U5" s="2958"/>
      <c r="V5" s="2958"/>
      <c r="W5" s="2958"/>
      <c r="X5" s="5570" t="s">
        <v>1882</v>
      </c>
      <c r="Y5" s="5571"/>
      <c r="Z5" s="5571"/>
      <c r="AA5" s="5571"/>
      <c r="AB5" s="5571"/>
      <c r="AC5" s="857"/>
      <c r="AD5" s="523"/>
      <c r="AE5" s="857"/>
    </row>
    <row r="6" spans="1:31" ht="12" customHeight="1">
      <c r="A6" s="857"/>
      <c r="B6" s="5590" t="s">
        <v>1881</v>
      </c>
      <c r="C6" s="5590"/>
      <c r="D6" s="5591"/>
      <c r="E6" s="2992" t="s">
        <v>2018</v>
      </c>
      <c r="F6" s="2957"/>
      <c r="G6" s="2957"/>
      <c r="H6" s="2957"/>
      <c r="I6" s="2957"/>
      <c r="J6" s="2957"/>
      <c r="K6" s="2957"/>
      <c r="L6" s="2957"/>
      <c r="M6" s="2957"/>
      <c r="N6" s="2957"/>
      <c r="O6" s="2957"/>
      <c r="P6" s="2957"/>
      <c r="Q6" s="2957"/>
      <c r="R6" s="2957"/>
      <c r="S6" s="2957"/>
      <c r="T6" s="2957"/>
      <c r="U6" s="2957"/>
      <c r="V6" s="2957"/>
      <c r="W6" s="2957"/>
      <c r="X6" s="5572"/>
      <c r="Y6" s="5571"/>
      <c r="Z6" s="5571"/>
      <c r="AA6" s="5571"/>
      <c r="AB6" s="5571"/>
      <c r="AC6" s="857"/>
      <c r="AD6" s="523"/>
      <c r="AE6" s="857"/>
    </row>
    <row r="7" spans="1:31" ht="6.75" customHeight="1">
      <c r="A7" s="857"/>
      <c r="B7" s="5115"/>
      <c r="C7" s="5115"/>
      <c r="D7" s="5592"/>
      <c r="E7" s="2959"/>
      <c r="F7" s="2960"/>
      <c r="G7" s="2960"/>
      <c r="H7" s="2960"/>
      <c r="I7" s="2960"/>
      <c r="J7" s="2960"/>
      <c r="K7" s="2960"/>
      <c r="L7" s="2960"/>
      <c r="M7" s="2960"/>
      <c r="N7" s="2960"/>
      <c r="O7" s="2960"/>
      <c r="P7" s="2960"/>
      <c r="Q7" s="2960"/>
      <c r="R7" s="2960"/>
      <c r="S7" s="2960"/>
      <c r="T7" s="2960"/>
      <c r="U7" s="2960"/>
      <c r="V7" s="2960"/>
      <c r="W7" s="2960"/>
      <c r="X7" s="5573"/>
      <c r="Y7" s="5574"/>
      <c r="Z7" s="5574"/>
      <c r="AA7" s="5574"/>
      <c r="AB7" s="5574"/>
      <c r="AC7" s="857"/>
      <c r="AD7" s="523"/>
      <c r="AE7" s="857"/>
    </row>
    <row r="8" spans="1:31" ht="12" customHeight="1">
      <c r="A8" s="857"/>
      <c r="B8" s="225" t="s">
        <v>1884</v>
      </c>
      <c r="C8" s="225"/>
      <c r="D8" s="222"/>
      <c r="E8" s="222"/>
      <c r="F8" s="222"/>
      <c r="G8" s="189"/>
      <c r="H8" s="189"/>
      <c r="I8" s="191"/>
      <c r="J8" s="191"/>
      <c r="K8" s="191"/>
      <c r="L8" s="191"/>
      <c r="M8" s="191"/>
      <c r="N8" s="205"/>
      <c r="O8" s="205"/>
      <c r="P8" s="205"/>
      <c r="Q8" s="205"/>
      <c r="R8" s="214"/>
      <c r="S8" s="211"/>
      <c r="T8" s="2970" t="s">
        <v>234</v>
      </c>
      <c r="U8" s="191"/>
      <c r="V8" s="191"/>
      <c r="W8" s="191"/>
      <c r="X8" s="189"/>
      <c r="Y8" s="189"/>
      <c r="Z8" s="189"/>
      <c r="AA8" s="189"/>
      <c r="AB8" s="189"/>
      <c r="AC8" s="857"/>
      <c r="AD8" s="523"/>
      <c r="AE8" s="857"/>
    </row>
    <row r="9" spans="1:31" ht="14.25" customHeight="1" thickBot="1">
      <c r="A9" s="857"/>
      <c r="B9" s="5123"/>
      <c r="C9" s="5123"/>
      <c r="D9" s="4640"/>
      <c r="E9" s="4640"/>
      <c r="F9" s="4640"/>
      <c r="G9" s="5575"/>
      <c r="H9" s="5575"/>
      <c r="I9" s="5575"/>
      <c r="J9" s="5575"/>
      <c r="K9" s="5575"/>
      <c r="L9" s="5575"/>
      <c r="M9" s="5575"/>
      <c r="N9" s="4640"/>
      <c r="O9" s="4640"/>
      <c r="P9" s="4640"/>
      <c r="Q9" s="4640"/>
      <c r="R9" s="4640"/>
      <c r="S9" s="4719"/>
      <c r="T9" s="5576"/>
      <c r="U9" s="5577"/>
      <c r="V9" s="5577"/>
      <c r="W9" s="5577"/>
      <c r="X9" s="5577"/>
      <c r="Y9" s="5577"/>
      <c r="Z9" s="5577"/>
      <c r="AA9" s="5577"/>
      <c r="AB9" s="5578"/>
      <c r="AC9" s="857"/>
      <c r="AD9" s="523"/>
      <c r="AE9" s="857"/>
    </row>
    <row r="10" spans="1:31" ht="12.75" customHeight="1">
      <c r="A10" s="857"/>
      <c r="B10" s="318" t="s">
        <v>235</v>
      </c>
      <c r="C10" s="225" t="s">
        <v>1885</v>
      </c>
      <c r="D10" s="225"/>
      <c r="E10" s="234"/>
      <c r="F10" s="222"/>
      <c r="G10" s="3007" t="s">
        <v>2019</v>
      </c>
      <c r="H10" s="316"/>
      <c r="I10" s="1959"/>
      <c r="J10" s="1959"/>
      <c r="K10" s="1959"/>
      <c r="L10" s="1959"/>
      <c r="M10" s="3008"/>
      <c r="N10" s="5581" t="s">
        <v>1886</v>
      </c>
      <c r="O10" s="5582"/>
      <c r="P10" s="5582"/>
      <c r="Q10" s="5582"/>
      <c r="R10" s="5582"/>
      <c r="S10" s="2919"/>
      <c r="T10" s="2931" t="s">
        <v>2015</v>
      </c>
      <c r="U10" s="214"/>
      <c r="V10" s="214"/>
      <c r="W10" s="214"/>
      <c r="X10" s="2927"/>
      <c r="Y10" s="2927"/>
      <c r="Z10" s="2927"/>
      <c r="AA10" s="2927"/>
      <c r="AB10" s="2927"/>
      <c r="AC10" s="857"/>
      <c r="AD10" s="523"/>
      <c r="AE10" s="857"/>
    </row>
    <row r="11" spans="1:31" ht="12.75" customHeight="1">
      <c r="A11" s="857"/>
      <c r="B11" s="5583"/>
      <c r="C11" s="5583"/>
      <c r="D11" s="5575"/>
      <c r="E11" s="5575"/>
      <c r="F11" s="5575"/>
      <c r="G11" s="3009"/>
      <c r="H11" s="5560"/>
      <c r="I11" s="5560"/>
      <c r="J11" s="5560"/>
      <c r="K11" s="5560"/>
      <c r="L11" s="5560"/>
      <c r="M11" s="5585"/>
      <c r="N11" s="2926"/>
      <c r="O11" s="2925"/>
      <c r="P11" s="2928" t="s">
        <v>216</v>
      </c>
      <c r="Q11" s="2925"/>
      <c r="R11" s="2928" t="s">
        <v>1887</v>
      </c>
      <c r="S11" s="2928"/>
      <c r="T11" s="5560"/>
      <c r="U11" s="5562"/>
      <c r="V11" s="5564"/>
      <c r="W11" s="5560"/>
      <c r="X11" s="5560"/>
      <c r="Y11" s="5560"/>
      <c r="Z11" s="5560"/>
      <c r="AA11" s="5560"/>
      <c r="AB11" s="5560"/>
      <c r="AC11" s="857"/>
      <c r="AD11" s="523"/>
      <c r="AE11" s="857"/>
    </row>
    <row r="12" spans="1:31" ht="4.5" customHeight="1" thickBot="1">
      <c r="A12" s="857"/>
      <c r="B12" s="4640"/>
      <c r="C12" s="4640"/>
      <c r="D12" s="4640"/>
      <c r="E12" s="4640"/>
      <c r="F12" s="4640"/>
      <c r="G12" s="3010"/>
      <c r="H12" s="5584"/>
      <c r="I12" s="5584"/>
      <c r="J12" s="5584"/>
      <c r="K12" s="5584"/>
      <c r="L12" s="5584"/>
      <c r="M12" s="5586"/>
      <c r="N12" s="2929"/>
      <c r="O12" s="2929"/>
      <c r="P12" s="2930"/>
      <c r="Q12" s="2929"/>
      <c r="R12" s="2929"/>
      <c r="S12" s="2929"/>
      <c r="T12" s="5561"/>
      <c r="U12" s="5563"/>
      <c r="V12" s="5565"/>
      <c r="W12" s="5561"/>
      <c r="X12" s="5561"/>
      <c r="Y12" s="5561"/>
      <c r="Z12" s="5561"/>
      <c r="AA12" s="5561"/>
      <c r="AB12" s="5561"/>
      <c r="AC12" s="857"/>
      <c r="AD12" s="523"/>
      <c r="AE12" s="857"/>
    </row>
    <row r="13" spans="1:31" ht="3.75" customHeight="1">
      <c r="A13" s="857"/>
      <c r="B13" s="198"/>
      <c r="C13" s="198"/>
      <c r="D13" s="234"/>
      <c r="E13" s="234"/>
      <c r="F13" s="1158"/>
      <c r="G13" s="189"/>
      <c r="H13" s="237"/>
      <c r="I13" s="1159"/>
      <c r="J13" s="1159"/>
      <c r="K13" s="1159"/>
      <c r="L13" s="1159"/>
      <c r="M13" s="1159"/>
      <c r="N13" s="234"/>
      <c r="O13" s="238"/>
      <c r="P13" s="238"/>
      <c r="Q13" s="1159"/>
      <c r="R13" s="234"/>
      <c r="S13" s="234"/>
      <c r="T13" s="234"/>
      <c r="U13" s="879"/>
      <c r="V13" s="1160"/>
      <c r="W13" s="1160"/>
      <c r="X13" s="1160"/>
      <c r="Y13" s="1160"/>
      <c r="Z13" s="1160"/>
      <c r="AA13" s="1160"/>
      <c r="AB13" s="1160"/>
      <c r="AC13" s="857"/>
      <c r="AD13" s="523"/>
      <c r="AE13" s="857"/>
    </row>
    <row r="14" spans="1:31" ht="12.75" customHeight="1">
      <c r="A14" s="857"/>
      <c r="B14" s="223" t="s">
        <v>593</v>
      </c>
      <c r="C14" s="3013" t="str">
        <f>"Did you “materially participate” in the operation of this business during "&amp;TaxYear&amp;"?  If “No,” see instructions for limit on passive losses"</f>
        <v>Did you “materially participate” in the operation of this business during 2016?  If “No,” see instructions for limit on passive losses</v>
      </c>
      <c r="D14" s="32"/>
      <c r="E14" s="32"/>
      <c r="F14" s="189"/>
      <c r="G14" s="189"/>
      <c r="H14" s="237"/>
      <c r="I14" s="189"/>
      <c r="J14" s="189"/>
      <c r="K14" s="189"/>
      <c r="L14" s="189"/>
      <c r="M14" s="189"/>
      <c r="N14" s="234"/>
      <c r="O14" s="238"/>
      <c r="P14" s="238"/>
      <c r="Q14" s="238"/>
      <c r="R14" s="189"/>
      <c r="S14" s="189"/>
      <c r="T14" s="234"/>
      <c r="U14" s="189"/>
      <c r="V14" s="189"/>
      <c r="W14" s="189"/>
      <c r="X14" s="2971"/>
      <c r="Y14" s="507" t="s">
        <v>436</v>
      </c>
      <c r="Z14" s="224"/>
      <c r="AA14" s="2971"/>
      <c r="AB14" s="507" t="s">
        <v>437</v>
      </c>
      <c r="AC14" s="857"/>
      <c r="AD14" s="523"/>
      <c r="AE14" s="857"/>
    </row>
    <row r="15" spans="1:31" ht="12.75" customHeight="1">
      <c r="A15" s="857"/>
      <c r="B15" s="223" t="s">
        <v>595</v>
      </c>
      <c r="C15" s="225" t="str">
        <f>"Did you make any payments in "&amp;TaxYear&amp;" that would require you to file Form(s) 1099? (see instructions) "</f>
        <v xml:space="preserve">Did you make any payments in 2016 that would require you to file Form(s) 1099? (see instructions) </v>
      </c>
      <c r="D15" s="225"/>
      <c r="E15" s="32"/>
      <c r="F15" s="189"/>
      <c r="G15" s="189"/>
      <c r="H15" s="237"/>
      <c r="I15" s="189"/>
      <c r="J15" s="189"/>
      <c r="K15" s="189"/>
      <c r="L15" s="189"/>
      <c r="M15" s="189"/>
      <c r="N15" s="234"/>
      <c r="O15" s="238"/>
      <c r="P15" s="238"/>
      <c r="Q15" s="238"/>
      <c r="R15" s="189"/>
      <c r="S15" s="189"/>
      <c r="T15" s="234"/>
      <c r="U15" s="189"/>
      <c r="V15" s="189"/>
      <c r="W15" s="189"/>
      <c r="X15" s="2971"/>
      <c r="Y15" s="507" t="s">
        <v>436</v>
      </c>
      <c r="Z15" s="224"/>
      <c r="AA15" s="2971"/>
      <c r="AB15" s="507" t="s">
        <v>437</v>
      </c>
      <c r="AC15" s="857"/>
      <c r="AD15" s="523"/>
      <c r="AE15" s="857"/>
    </row>
    <row r="16" spans="1:31" ht="12.75" customHeight="1">
      <c r="A16" s="857"/>
      <c r="B16" s="223" t="s">
        <v>218</v>
      </c>
      <c r="C16" s="225" t="s">
        <v>1083</v>
      </c>
      <c r="D16" s="225"/>
      <c r="E16" s="32"/>
      <c r="F16" s="189"/>
      <c r="G16" s="189"/>
      <c r="H16" s="237"/>
      <c r="I16" s="189"/>
      <c r="J16" s="189"/>
      <c r="K16" s="189"/>
      <c r="L16" s="189"/>
      <c r="M16" s="189"/>
      <c r="N16" s="234"/>
      <c r="O16" s="238"/>
      <c r="P16" s="238"/>
      <c r="Q16" s="238"/>
      <c r="R16" s="189"/>
      <c r="S16" s="189"/>
      <c r="T16" s="234"/>
      <c r="U16" s="189"/>
      <c r="V16" s="189"/>
      <c r="W16" s="189"/>
      <c r="X16" s="2971"/>
      <c r="Y16" s="507" t="s">
        <v>436</v>
      </c>
      <c r="Z16" s="224"/>
      <c r="AA16" s="2971"/>
      <c r="AB16" s="507" t="s">
        <v>437</v>
      </c>
      <c r="AC16" s="857"/>
      <c r="AD16" s="2973" t="s">
        <v>149</v>
      </c>
      <c r="AE16" s="857"/>
    </row>
    <row r="17" spans="1:31" ht="3.75" customHeight="1">
      <c r="A17" s="857"/>
      <c r="B17" s="2974"/>
      <c r="C17" s="323"/>
      <c r="D17" s="323"/>
      <c r="E17" s="203"/>
      <c r="F17" s="27"/>
      <c r="G17" s="27"/>
      <c r="H17" s="2975"/>
      <c r="I17" s="27"/>
      <c r="J17" s="27"/>
      <c r="K17" s="27"/>
      <c r="L17" s="27"/>
      <c r="M17" s="27"/>
      <c r="N17" s="236"/>
      <c r="O17" s="2976"/>
      <c r="P17" s="2976"/>
      <c r="Q17" s="2976"/>
      <c r="R17" s="27"/>
      <c r="S17" s="27"/>
      <c r="T17" s="236"/>
      <c r="U17" s="27"/>
      <c r="V17" s="27"/>
      <c r="W17" s="27"/>
      <c r="X17" s="2977"/>
      <c r="Y17" s="923"/>
      <c r="Z17" s="2978"/>
      <c r="AA17" s="2977"/>
      <c r="AB17" s="923"/>
      <c r="AC17" s="857"/>
      <c r="AD17" s="2973"/>
      <c r="AE17" s="857"/>
    </row>
    <row r="18" spans="1:31" ht="15" customHeight="1">
      <c r="A18" s="857"/>
      <c r="B18" s="5524" t="s">
        <v>92</v>
      </c>
      <c r="C18" s="5423"/>
      <c r="D18" s="2932" t="s">
        <v>2014</v>
      </c>
      <c r="E18" s="239"/>
      <c r="F18" s="240"/>
      <c r="G18" s="241"/>
      <c r="H18" s="1459"/>
      <c r="I18" s="1459" t="s">
        <v>1888</v>
      </c>
      <c r="J18" s="1459"/>
      <c r="K18" s="241"/>
      <c r="L18" s="241"/>
      <c r="M18" s="241"/>
      <c r="N18" s="242"/>
      <c r="O18" s="242"/>
      <c r="P18" s="242"/>
      <c r="Q18" s="242"/>
      <c r="R18" s="242"/>
      <c r="S18" s="242"/>
      <c r="T18" s="242"/>
      <c r="U18" s="241"/>
      <c r="V18" s="241"/>
      <c r="W18" s="243"/>
      <c r="X18" s="424"/>
      <c r="Y18" s="241"/>
      <c r="Z18" s="241"/>
      <c r="AA18" s="424"/>
      <c r="AB18" s="241"/>
      <c r="AC18" s="857"/>
      <c r="AD18" s="2609" t="s">
        <v>661</v>
      </c>
      <c r="AE18" s="857"/>
    </row>
    <row r="19" spans="1:31" ht="13.5" customHeight="1">
      <c r="A19" s="857"/>
      <c r="B19" s="835" t="s">
        <v>18</v>
      </c>
      <c r="C19" s="507" t="s">
        <v>1889</v>
      </c>
      <c r="D19" s="507"/>
      <c r="E19" s="507"/>
      <c r="F19" s="245"/>
      <c r="G19" s="245"/>
      <c r="H19" s="245"/>
      <c r="I19" s="245"/>
      <c r="J19" s="245"/>
      <c r="K19" s="245"/>
      <c r="L19" s="245"/>
      <c r="M19" s="245"/>
      <c r="N19" s="246"/>
      <c r="O19" s="246"/>
      <c r="P19" s="246"/>
      <c r="Q19" s="246"/>
      <c r="R19" s="882" t="s">
        <v>1946</v>
      </c>
      <c r="S19" s="686" t="s">
        <v>18</v>
      </c>
      <c r="T19" s="5555"/>
      <c r="U19" s="5556"/>
      <c r="V19" s="5556"/>
      <c r="W19" s="5557"/>
      <c r="X19" s="510"/>
      <c r="Y19" s="1358"/>
      <c r="Z19" s="1358"/>
      <c r="AA19" s="1358"/>
      <c r="AB19" s="1358"/>
      <c r="AC19" s="857"/>
      <c r="AD19" s="523"/>
      <c r="AE19" s="857"/>
    </row>
    <row r="20" spans="1:31" ht="13.5" customHeight="1">
      <c r="A20" s="857"/>
      <c r="B20" s="835" t="s">
        <v>84</v>
      </c>
      <c r="C20" s="507" t="s">
        <v>1890</v>
      </c>
      <c r="D20" s="507"/>
      <c r="E20" s="507"/>
      <c r="F20" s="245"/>
      <c r="G20" s="245"/>
      <c r="H20" s="245"/>
      <c r="I20" s="245"/>
      <c r="J20" s="245"/>
      <c r="K20" s="245"/>
      <c r="L20" s="245"/>
      <c r="M20" s="245"/>
      <c r="N20" s="246"/>
      <c r="O20" s="246"/>
      <c r="P20" s="246"/>
      <c r="Q20" s="246"/>
      <c r="R20" s="882" t="s">
        <v>1475</v>
      </c>
      <c r="S20" s="686" t="s">
        <v>21</v>
      </c>
      <c r="T20" s="5555"/>
      <c r="U20" s="5556"/>
      <c r="V20" s="5556"/>
      <c r="W20" s="5557"/>
      <c r="X20" s="510"/>
      <c r="Y20" s="2939"/>
      <c r="Z20" s="5549"/>
      <c r="AA20" s="4724"/>
      <c r="AB20" s="4724"/>
      <c r="AC20" s="857"/>
      <c r="AD20" s="523"/>
      <c r="AE20" s="857"/>
    </row>
    <row r="21" spans="1:31" ht="12" customHeight="1">
      <c r="A21" s="857"/>
      <c r="B21" s="835" t="s">
        <v>85</v>
      </c>
      <c r="C21" s="507" t="s">
        <v>1891</v>
      </c>
      <c r="D21" s="507"/>
      <c r="E21" s="507"/>
      <c r="F21" s="245"/>
      <c r="G21" s="245"/>
      <c r="H21" s="245"/>
      <c r="I21" s="245"/>
      <c r="J21" s="245"/>
      <c r="K21" s="245"/>
      <c r="L21" s="245"/>
      <c r="M21" s="245"/>
      <c r="N21" s="246"/>
      <c r="O21" s="246"/>
      <c r="P21" s="246"/>
      <c r="Q21" s="246"/>
      <c r="R21" s="246"/>
      <c r="S21" s="246"/>
      <c r="T21" s="835"/>
      <c r="U21" s="245"/>
      <c r="V21" s="835"/>
      <c r="W21" s="882" t="s">
        <v>2011</v>
      </c>
      <c r="X21" s="1628" t="s">
        <v>1896</v>
      </c>
      <c r="Y21" s="5550">
        <f>IF(AD21&lt;&gt;"",AD21,SUM(T19,-T20))</f>
        <v>0</v>
      </c>
      <c r="Z21" s="5551"/>
      <c r="AA21" s="4763"/>
      <c r="AB21" s="4763"/>
      <c r="AC21" s="857"/>
      <c r="AD21" s="845"/>
      <c r="AE21" s="857"/>
    </row>
    <row r="22" spans="1:31" ht="12" customHeight="1">
      <c r="A22" s="857"/>
      <c r="B22" s="835" t="str">
        <f>"2  "</f>
        <v xml:space="preserve">2  </v>
      </c>
      <c r="C22" s="507" t="s">
        <v>1892</v>
      </c>
      <c r="D22" s="507"/>
      <c r="E22" s="249"/>
      <c r="F22" s="245"/>
      <c r="G22" s="245"/>
      <c r="H22" s="245"/>
      <c r="I22" s="245"/>
      <c r="J22" s="245"/>
      <c r="K22" s="245"/>
      <c r="L22" s="245"/>
      <c r="M22" s="245"/>
      <c r="N22" s="246"/>
      <c r="O22" s="246"/>
      <c r="P22" s="246"/>
      <c r="Q22" s="246"/>
      <c r="R22" s="246"/>
      <c r="S22" s="246"/>
      <c r="T22" s="246"/>
      <c r="U22" s="245"/>
      <c r="V22" s="245"/>
      <c r="W22" s="882" t="s">
        <v>2010</v>
      </c>
      <c r="X22" s="508">
        <v>2</v>
      </c>
      <c r="Y22" s="5151"/>
      <c r="Z22" s="5152"/>
      <c r="AA22" s="5534"/>
      <c r="AB22" s="5534"/>
      <c r="AC22" s="857"/>
      <c r="AD22" s="523"/>
      <c r="AE22" s="857"/>
    </row>
    <row r="23" spans="1:31" ht="12" customHeight="1">
      <c r="A23" s="857"/>
      <c r="B23" s="835" t="s">
        <v>1893</v>
      </c>
      <c r="C23" s="1490" t="s">
        <v>1894</v>
      </c>
      <c r="D23" s="1490"/>
      <c r="E23" s="250"/>
      <c r="F23" s="250"/>
      <c r="G23" s="247"/>
      <c r="H23" s="247"/>
      <c r="I23" s="247"/>
      <c r="J23" s="247"/>
      <c r="K23" s="247"/>
      <c r="L23" s="247"/>
      <c r="M23" s="247"/>
      <c r="N23" s="250"/>
      <c r="O23" s="882" t="s">
        <v>1911</v>
      </c>
      <c r="P23" s="2934" t="s">
        <v>1893</v>
      </c>
      <c r="Q23" s="5151"/>
      <c r="R23" s="5548"/>
      <c r="S23" s="2935" t="s">
        <v>1895</v>
      </c>
      <c r="T23" s="5566" t="s">
        <v>452</v>
      </c>
      <c r="U23" s="5360"/>
      <c r="V23" s="5360"/>
      <c r="W23" s="5567"/>
      <c r="X23" s="1630" t="s">
        <v>1895</v>
      </c>
      <c r="Y23" s="5151"/>
      <c r="Z23" s="5152"/>
      <c r="AA23" s="5534"/>
      <c r="AB23" s="5534"/>
      <c r="AC23" s="857"/>
      <c r="AD23" s="523"/>
      <c r="AE23" s="857"/>
    </row>
    <row r="24" spans="1:31" ht="12" customHeight="1">
      <c r="A24" s="857"/>
      <c r="B24" s="835" t="s">
        <v>190</v>
      </c>
      <c r="C24" s="1490" t="s">
        <v>1897</v>
      </c>
      <c r="D24" s="1490"/>
      <c r="E24" s="250"/>
      <c r="F24" s="250"/>
      <c r="G24" s="247"/>
      <c r="H24" s="247"/>
      <c r="I24" s="247"/>
      <c r="J24" s="247"/>
      <c r="K24" s="247"/>
      <c r="L24" s="247"/>
      <c r="M24" s="247"/>
      <c r="N24" s="250"/>
      <c r="O24" s="882" t="s">
        <v>2009</v>
      </c>
      <c r="P24" s="2934" t="s">
        <v>190</v>
      </c>
      <c r="Q24" s="5555"/>
      <c r="R24" s="5556"/>
      <c r="S24" s="2935" t="s">
        <v>160</v>
      </c>
      <c r="T24" s="5566" t="s">
        <v>452</v>
      </c>
      <c r="U24" s="5360"/>
      <c r="V24" s="5360"/>
      <c r="W24" s="5567"/>
      <c r="X24" s="1630" t="s">
        <v>160</v>
      </c>
      <c r="Y24" s="5151"/>
      <c r="Z24" s="5152"/>
      <c r="AA24" s="5534"/>
      <c r="AB24" s="5534"/>
      <c r="AC24" s="857"/>
      <c r="AD24" s="523"/>
      <c r="AE24" s="857"/>
    </row>
    <row r="25" spans="1:31" ht="12" customHeight="1">
      <c r="A25" s="857"/>
      <c r="B25" s="835" t="s">
        <v>591</v>
      </c>
      <c r="C25" s="507" t="s">
        <v>1898</v>
      </c>
      <c r="D25" s="507"/>
      <c r="E25" s="249"/>
      <c r="F25" s="245"/>
      <c r="G25" s="245"/>
      <c r="H25" s="245"/>
      <c r="I25" s="245"/>
      <c r="J25" s="245"/>
      <c r="K25" s="245"/>
      <c r="L25" s="245"/>
      <c r="M25" s="245"/>
      <c r="N25" s="246"/>
      <c r="O25" s="246"/>
      <c r="P25" s="246"/>
      <c r="Q25" s="246"/>
      <c r="R25" s="246"/>
      <c r="S25" s="246"/>
      <c r="T25" s="246"/>
      <c r="U25" s="245"/>
      <c r="V25" s="245"/>
      <c r="W25" s="882" t="s">
        <v>1909</v>
      </c>
      <c r="X25" s="1628" t="s">
        <v>591</v>
      </c>
      <c r="Y25" s="5151"/>
      <c r="Z25" s="5152"/>
      <c r="AA25" s="5534"/>
      <c r="AB25" s="5534"/>
      <c r="AC25" s="857"/>
      <c r="AD25" s="523"/>
      <c r="AE25" s="857"/>
    </row>
    <row r="26" spans="1:31" ht="12" customHeight="1">
      <c r="A26" s="857"/>
      <c r="B26" s="835" t="s">
        <v>84</v>
      </c>
      <c r="C26" s="1490" t="s">
        <v>1899</v>
      </c>
      <c r="D26" s="1490"/>
      <c r="E26" s="250"/>
      <c r="F26" s="250"/>
      <c r="G26" s="247"/>
      <c r="H26" s="247"/>
      <c r="I26" s="247"/>
      <c r="J26" s="247"/>
      <c r="K26" s="247"/>
      <c r="L26" s="247"/>
      <c r="M26" s="247"/>
      <c r="N26" s="250"/>
      <c r="O26" s="882" t="s">
        <v>1909</v>
      </c>
      <c r="P26" s="2934" t="s">
        <v>592</v>
      </c>
      <c r="Q26" s="5151"/>
      <c r="R26" s="5548"/>
      <c r="S26" s="2935" t="s">
        <v>1905</v>
      </c>
      <c r="T26" s="2937" t="s">
        <v>452</v>
      </c>
      <c r="U26" s="2937"/>
      <c r="V26" s="2938"/>
      <c r="W26" s="2938"/>
      <c r="X26" s="1630" t="s">
        <v>1905</v>
      </c>
      <c r="Y26" s="5151"/>
      <c r="Z26" s="5152"/>
      <c r="AA26" s="5534"/>
      <c r="AB26" s="5534"/>
      <c r="AC26" s="857"/>
      <c r="AD26" s="523"/>
      <c r="AE26" s="857"/>
    </row>
    <row r="27" spans="1:31" ht="12" customHeight="1">
      <c r="A27" s="857"/>
      <c r="B27" s="835" t="str">
        <f>"6  "</f>
        <v xml:space="preserve">6  </v>
      </c>
      <c r="C27" s="507" t="s">
        <v>1900</v>
      </c>
      <c r="D27" s="507"/>
      <c r="E27" s="249"/>
      <c r="F27" s="245"/>
      <c r="G27" s="245"/>
      <c r="H27" s="245"/>
      <c r="I27" s="245"/>
      <c r="J27" s="245"/>
      <c r="K27" s="245"/>
      <c r="L27" s="245"/>
      <c r="M27" s="245"/>
      <c r="N27" s="246"/>
      <c r="O27" s="246"/>
      <c r="P27" s="246"/>
      <c r="Q27" s="246"/>
      <c r="R27" s="246"/>
      <c r="S27" s="246"/>
      <c r="T27" s="246"/>
      <c r="U27" s="245"/>
      <c r="V27" s="245"/>
      <c r="W27" s="247"/>
      <c r="X27" s="510"/>
      <c r="Y27" s="5558"/>
      <c r="Z27" s="5559"/>
      <c r="AA27" s="5559"/>
      <c r="AB27" s="5559"/>
      <c r="AC27" s="857"/>
      <c r="AD27" s="523"/>
      <c r="AE27" s="857"/>
    </row>
    <row r="28" spans="1:31" ht="12" customHeight="1">
      <c r="A28" s="857"/>
      <c r="B28" s="835" t="s">
        <v>61</v>
      </c>
      <c r="C28" s="1490" t="str">
        <f>"Amount received in "&amp;TaxYear</f>
        <v>Amount received in 2016</v>
      </c>
      <c r="D28" s="1490"/>
      <c r="E28" s="250"/>
      <c r="F28" s="250"/>
      <c r="G28" s="247"/>
      <c r="H28" s="247"/>
      <c r="I28" s="247"/>
      <c r="J28" s="247"/>
      <c r="K28" s="247"/>
      <c r="L28" s="247"/>
      <c r="M28" s="247"/>
      <c r="N28" s="250"/>
      <c r="O28" s="882" t="s">
        <v>2059</v>
      </c>
      <c r="P28" s="2934" t="s">
        <v>693</v>
      </c>
      <c r="Q28" s="5151"/>
      <c r="R28" s="5548"/>
      <c r="S28" s="2935" t="s">
        <v>1901</v>
      </c>
      <c r="T28" s="2937" t="s">
        <v>452</v>
      </c>
      <c r="U28" s="2937"/>
      <c r="V28" s="2938"/>
      <c r="W28" s="2938"/>
      <c r="X28" s="1630" t="s">
        <v>1901</v>
      </c>
      <c r="Y28" s="5151"/>
      <c r="Z28" s="5152"/>
      <c r="AA28" s="5534"/>
      <c r="AB28" s="5534"/>
      <c r="AC28" s="857"/>
      <c r="AD28" s="523"/>
      <c r="AE28" s="857"/>
    </row>
    <row r="29" spans="1:31" ht="12" customHeight="1">
      <c r="A29" s="857"/>
      <c r="B29" s="835" t="s">
        <v>85</v>
      </c>
      <c r="C29" s="1490" t="str">
        <f>"If election to defer to "&amp;TaxYear+1&amp;" is attached, check here"</f>
        <v>If election to defer to 2017 is attached, check here</v>
      </c>
      <c r="D29" s="1490"/>
      <c r="E29" s="250"/>
      <c r="F29" s="250"/>
      <c r="G29" s="247"/>
      <c r="H29" s="247"/>
      <c r="I29" s="247"/>
      <c r="J29" s="247"/>
      <c r="K29" s="2941"/>
      <c r="L29" s="247"/>
      <c r="M29" s="247"/>
      <c r="N29" s="250"/>
      <c r="O29" s="250"/>
      <c r="P29" s="250"/>
      <c r="Q29" s="250"/>
      <c r="R29" s="250"/>
      <c r="S29" s="250"/>
      <c r="T29" s="250"/>
      <c r="U29" s="276" t="s">
        <v>1902</v>
      </c>
      <c r="V29" s="5554" t="str">
        <f>TaxYear-1&amp;" "</f>
        <v xml:space="preserve">2015 </v>
      </c>
      <c r="W29" s="4564"/>
      <c r="X29" s="1630" t="s">
        <v>1903</v>
      </c>
      <c r="Y29" s="5151"/>
      <c r="Z29" s="5152"/>
      <c r="AA29" s="5534"/>
      <c r="AB29" s="5534"/>
      <c r="AC29" s="857"/>
      <c r="AD29" s="523"/>
      <c r="AE29" s="857"/>
    </row>
    <row r="30" spans="1:31" ht="12" customHeight="1">
      <c r="A30" s="857"/>
      <c r="B30" s="835" t="str">
        <f>"7  "</f>
        <v xml:space="preserve">7  </v>
      </c>
      <c r="C30" s="1490" t="s">
        <v>1904</v>
      </c>
      <c r="D30" s="1490"/>
      <c r="E30" s="252"/>
      <c r="F30" s="250"/>
      <c r="G30" s="247"/>
      <c r="H30" s="247"/>
      <c r="I30" s="247"/>
      <c r="J30" s="247"/>
      <c r="K30" s="247"/>
      <c r="L30" s="247"/>
      <c r="M30" s="247"/>
      <c r="N30" s="250"/>
      <c r="O30" s="250"/>
      <c r="P30" s="250"/>
      <c r="Q30" s="250"/>
      <c r="R30" s="250"/>
      <c r="S30" s="250"/>
      <c r="T30" s="250"/>
      <c r="U30" s="247"/>
      <c r="V30" s="247"/>
      <c r="W30" s="882" t="s">
        <v>2060</v>
      </c>
      <c r="X30" s="248">
        <v>7</v>
      </c>
      <c r="Y30" s="5151"/>
      <c r="Z30" s="5152"/>
      <c r="AA30" s="5534"/>
      <c r="AB30" s="5534"/>
      <c r="AC30" s="857"/>
      <c r="AD30" s="523"/>
      <c r="AE30" s="857"/>
    </row>
    <row r="31" spans="1:31" ht="12" customHeight="1">
      <c r="A31" s="857"/>
      <c r="B31" s="835" t="str">
        <f>"8  "</f>
        <v xml:space="preserve">8  </v>
      </c>
      <c r="C31" s="1490" t="s">
        <v>1906</v>
      </c>
      <c r="D31" s="1490"/>
      <c r="E31" s="250"/>
      <c r="F31" s="250"/>
      <c r="G31" s="247"/>
      <c r="H31" s="247"/>
      <c r="I31" s="247"/>
      <c r="J31" s="247"/>
      <c r="K31" s="247"/>
      <c r="L31" s="247"/>
      <c r="M31" s="247"/>
      <c r="N31" s="250"/>
      <c r="O31" s="250"/>
      <c r="P31" s="250"/>
      <c r="Q31" s="250"/>
      <c r="R31" s="250"/>
      <c r="S31" s="250"/>
      <c r="T31" s="250"/>
      <c r="U31" s="247"/>
      <c r="V31" s="247"/>
      <c r="W31" s="882" t="s">
        <v>1911</v>
      </c>
      <c r="X31" s="248">
        <v>8</v>
      </c>
      <c r="Y31" s="5151"/>
      <c r="Z31" s="5152"/>
      <c r="AA31" s="5534"/>
      <c r="AB31" s="5534"/>
      <c r="AC31" s="857"/>
      <c r="AD31" s="523"/>
      <c r="AE31" s="857"/>
    </row>
    <row r="32" spans="1:31" ht="12" customHeight="1">
      <c r="A32" s="857"/>
      <c r="B32" s="835" t="str">
        <f>"9  "</f>
        <v xml:space="preserve">9  </v>
      </c>
      <c r="C32" s="1490" t="s">
        <v>1907</v>
      </c>
      <c r="D32" s="1490"/>
      <c r="E32" s="250"/>
      <c r="F32" s="250"/>
      <c r="G32" s="247"/>
      <c r="H32" s="247"/>
      <c r="I32" s="247"/>
      <c r="J32" s="247"/>
      <c r="K32" s="247"/>
      <c r="L32" s="247"/>
      <c r="M32" s="247"/>
      <c r="N32" s="250"/>
      <c r="O32" s="250"/>
      <c r="P32" s="250"/>
      <c r="Q32" s="250"/>
      <c r="R32" s="250"/>
      <c r="S32" s="250"/>
      <c r="T32" s="250"/>
      <c r="U32" s="247"/>
      <c r="V32" s="247"/>
      <c r="W32" s="250"/>
      <c r="X32" s="5552">
        <v>9</v>
      </c>
      <c r="Y32" s="5558"/>
      <c r="Z32" s="5559"/>
      <c r="AA32" s="5559"/>
      <c r="AB32" s="5559"/>
      <c r="AC32" s="857"/>
      <c r="AD32" s="523"/>
      <c r="AE32" s="857"/>
    </row>
    <row r="33" spans="1:31" ht="12" customHeight="1">
      <c r="A33" s="857"/>
      <c r="B33" s="835"/>
      <c r="C33" s="225" t="s">
        <v>1908</v>
      </c>
      <c r="D33" s="225"/>
      <c r="E33" s="256"/>
      <c r="F33" s="234"/>
      <c r="G33" s="245"/>
      <c r="H33" s="245"/>
      <c r="I33" s="253"/>
      <c r="J33" s="253"/>
      <c r="K33" s="253"/>
      <c r="L33" s="253"/>
      <c r="M33" s="253"/>
      <c r="N33" s="250"/>
      <c r="O33" s="250"/>
      <c r="P33" s="250"/>
      <c r="Q33" s="250"/>
      <c r="R33" s="254"/>
      <c r="S33" s="254"/>
      <c r="T33" s="250"/>
      <c r="U33" s="253"/>
      <c r="V33" s="253"/>
      <c r="W33" s="882" t="s">
        <v>2008</v>
      </c>
      <c r="X33" s="5553"/>
      <c r="Y33" s="5550">
        <f>IF(AD33&lt;&gt;"",AD33,IF(ScheduleF_PartIII,Y94,ROUND(SUM(Y21,Y22,Y23,Y24,Y25,Y26,Y28,Y29,Y30,Y31),0)))</f>
        <v>0</v>
      </c>
      <c r="Z33" s="5551"/>
      <c r="AA33" s="4763"/>
      <c r="AB33" s="4763"/>
      <c r="AC33" s="857"/>
      <c r="AD33" s="845"/>
      <c r="AE33" s="857"/>
    </row>
    <row r="34" spans="1:31" ht="15">
      <c r="A34" s="857"/>
      <c r="B34" s="5524" t="s">
        <v>194</v>
      </c>
      <c r="C34" s="5423"/>
      <c r="D34" s="240" t="s">
        <v>2013</v>
      </c>
      <c r="E34" s="241"/>
      <c r="F34" s="241"/>
      <c r="G34" s="241"/>
      <c r="H34" s="241"/>
      <c r="I34" s="240"/>
      <c r="J34" s="240"/>
      <c r="K34" s="240"/>
      <c r="L34" s="2933"/>
      <c r="M34" s="2933" t="s">
        <v>1910</v>
      </c>
      <c r="N34" s="2945"/>
      <c r="O34" s="2945"/>
      <c r="P34" s="241"/>
      <c r="Q34" s="241"/>
      <c r="R34" s="241"/>
      <c r="S34" s="241"/>
      <c r="T34" s="241"/>
      <c r="U34" s="241"/>
      <c r="V34" s="241"/>
      <c r="W34" s="241"/>
      <c r="X34" s="241"/>
      <c r="Y34" s="241"/>
      <c r="Z34" s="241"/>
      <c r="AA34" s="521"/>
      <c r="AB34" s="521"/>
      <c r="AC34" s="857"/>
      <c r="AD34" s="523"/>
      <c r="AE34" s="857"/>
    </row>
    <row r="35" spans="1:31" ht="12" customHeight="1">
      <c r="A35" s="857"/>
      <c r="B35" s="265">
        <v>10</v>
      </c>
      <c r="C35" s="1532" t="s">
        <v>1912</v>
      </c>
      <c r="D35" s="1532"/>
      <c r="E35" s="257"/>
      <c r="F35" s="245"/>
      <c r="G35" s="245"/>
      <c r="H35" s="253"/>
      <c r="I35" s="2943"/>
      <c r="J35" s="5547"/>
      <c r="K35" s="5407"/>
      <c r="L35" s="5407"/>
      <c r="M35" s="5407"/>
      <c r="N35" s="5529">
        <v>23</v>
      </c>
      <c r="O35" s="5530"/>
      <c r="P35" s="2918" t="s">
        <v>1926</v>
      </c>
      <c r="Q35" s="423"/>
      <c r="R35" s="549"/>
      <c r="S35" s="549"/>
      <c r="T35" s="423"/>
      <c r="U35" s="423"/>
      <c r="V35" s="423"/>
      <c r="W35" s="423"/>
      <c r="X35" s="248">
        <v>23</v>
      </c>
      <c r="Y35" s="5151"/>
      <c r="Z35" s="5152"/>
      <c r="AA35" s="5534"/>
      <c r="AB35" s="5534"/>
      <c r="AC35" s="857"/>
      <c r="AD35" s="523"/>
      <c r="AE35" s="857"/>
    </row>
    <row r="36" spans="1:31" ht="11.25" customHeight="1">
      <c r="A36" s="857"/>
      <c r="B36" s="265"/>
      <c r="C36" s="1532" t="s">
        <v>2020</v>
      </c>
      <c r="D36" s="257"/>
      <c r="E36" s="257"/>
      <c r="F36" s="245"/>
      <c r="G36" s="245"/>
      <c r="H36" s="253"/>
      <c r="I36" s="508">
        <f>B35</f>
        <v>10</v>
      </c>
      <c r="J36" s="5151"/>
      <c r="K36" s="5152"/>
      <c r="L36" s="5534"/>
      <c r="M36" s="5534"/>
      <c r="N36" s="5531">
        <v>24</v>
      </c>
      <c r="O36" s="5532"/>
      <c r="P36" s="2918" t="s">
        <v>1091</v>
      </c>
      <c r="Q36" s="507"/>
      <c r="R36" s="258"/>
      <c r="S36" s="258"/>
      <c r="T36" s="259"/>
      <c r="U36" s="257"/>
      <c r="V36" s="257"/>
      <c r="W36" s="260"/>
      <c r="X36" s="510"/>
      <c r="Y36" s="2944"/>
      <c r="Z36" s="2951"/>
      <c r="AA36" s="2454"/>
      <c r="AB36" s="2454"/>
      <c r="AC36" s="857"/>
      <c r="AD36" s="523"/>
      <c r="AE36" s="857"/>
    </row>
    <row r="37" spans="1:31" ht="11.25" customHeight="1">
      <c r="A37" s="857"/>
      <c r="B37" s="265">
        <v>11</v>
      </c>
      <c r="C37" s="1532" t="s">
        <v>1913</v>
      </c>
      <c r="D37" s="1532"/>
      <c r="E37" s="257"/>
      <c r="F37" s="245"/>
      <c r="G37" s="245"/>
      <c r="H37" s="835" t="s">
        <v>442</v>
      </c>
      <c r="I37" s="508">
        <v>11</v>
      </c>
      <c r="J37" s="5151"/>
      <c r="K37" s="5152"/>
      <c r="L37" s="5534"/>
      <c r="M37" s="5534"/>
      <c r="N37" s="5533" t="s">
        <v>61</v>
      </c>
      <c r="O37" s="5532"/>
      <c r="P37" s="549" t="s">
        <v>1927</v>
      </c>
      <c r="Q37" s="1629"/>
      <c r="R37" s="1629"/>
      <c r="S37" s="1629"/>
      <c r="T37" s="259"/>
      <c r="U37" s="262"/>
      <c r="V37" s="262"/>
      <c r="W37" s="835" t="s">
        <v>2021</v>
      </c>
      <c r="X37" s="2952" t="s">
        <v>286</v>
      </c>
      <c r="Y37" s="5151"/>
      <c r="Z37" s="5152"/>
      <c r="AA37" s="5534"/>
      <c r="AB37" s="5534"/>
      <c r="AC37" s="857"/>
      <c r="AD37" s="523"/>
      <c r="AE37" s="857"/>
    </row>
    <row r="38" spans="1:31" ht="11.25" customHeight="1">
      <c r="A38" s="857"/>
      <c r="B38" s="265">
        <v>12</v>
      </c>
      <c r="C38" s="1532" t="s">
        <v>1914</v>
      </c>
      <c r="D38" s="1532"/>
      <c r="E38" s="257"/>
      <c r="F38" s="245"/>
      <c r="G38" s="245"/>
      <c r="H38" s="253"/>
      <c r="I38" s="740">
        <f>B38</f>
        <v>12</v>
      </c>
      <c r="J38" s="5151"/>
      <c r="K38" s="5152"/>
      <c r="L38" s="5534"/>
      <c r="M38" s="5534"/>
      <c r="N38" s="5533" t="s">
        <v>84</v>
      </c>
      <c r="O38" s="5532"/>
      <c r="P38" s="549" t="s">
        <v>1928</v>
      </c>
      <c r="Q38" s="507"/>
      <c r="R38" s="258"/>
      <c r="S38" s="258"/>
      <c r="T38" s="259"/>
      <c r="U38" s="257"/>
      <c r="V38" s="257"/>
      <c r="W38" s="835" t="s">
        <v>1414</v>
      </c>
      <c r="X38" s="2952" t="s">
        <v>110</v>
      </c>
      <c r="Y38" s="5151"/>
      <c r="Z38" s="5152"/>
      <c r="AA38" s="5534"/>
      <c r="AB38" s="5534"/>
      <c r="AC38" s="857"/>
      <c r="AD38" s="523"/>
      <c r="AE38" s="857"/>
    </row>
    <row r="39" spans="1:31" ht="11.25" customHeight="1">
      <c r="A39" s="857"/>
      <c r="B39" s="265">
        <v>13</v>
      </c>
      <c r="C39" s="1532" t="s">
        <v>1915</v>
      </c>
      <c r="D39" s="1532"/>
      <c r="E39" s="257"/>
      <c r="F39" s="245"/>
      <c r="G39" s="245"/>
      <c r="H39" s="835" t="s">
        <v>1120</v>
      </c>
      <c r="I39" s="508">
        <f>B39</f>
        <v>13</v>
      </c>
      <c r="J39" s="5151"/>
      <c r="K39" s="5152"/>
      <c r="L39" s="5534"/>
      <c r="M39" s="5534"/>
      <c r="N39" s="5533">
        <v>25</v>
      </c>
      <c r="O39" s="5532"/>
      <c r="P39" s="549" t="s">
        <v>42</v>
      </c>
      <c r="Q39" s="507"/>
      <c r="R39" s="2916"/>
      <c r="S39" s="2918"/>
      <c r="T39" s="260"/>
      <c r="U39" s="257"/>
      <c r="V39" s="257"/>
      <c r="W39" s="835" t="s">
        <v>1414</v>
      </c>
      <c r="X39" s="248">
        <v>25</v>
      </c>
      <c r="Y39" s="5151"/>
      <c r="Z39" s="5152"/>
      <c r="AA39" s="5534"/>
      <c r="AB39" s="5534"/>
      <c r="AC39" s="857"/>
      <c r="AD39" s="523"/>
      <c r="AE39" s="857"/>
    </row>
    <row r="40" spans="1:31" ht="11.25" customHeight="1">
      <c r="A40" s="857"/>
      <c r="B40" s="265">
        <v>14</v>
      </c>
      <c r="C40" s="1532" t="s">
        <v>684</v>
      </c>
      <c r="D40" s="1532"/>
      <c r="E40" s="257"/>
      <c r="F40" s="245"/>
      <c r="G40" s="245"/>
      <c r="H40" s="253"/>
      <c r="I40" s="2943"/>
      <c r="J40" s="2946"/>
      <c r="K40" s="2947"/>
      <c r="L40" s="2947"/>
      <c r="M40" s="2947"/>
      <c r="N40" s="5533">
        <v>26</v>
      </c>
      <c r="O40" s="5532"/>
      <c r="P40" s="2918" t="s">
        <v>1929</v>
      </c>
      <c r="Q40" s="507"/>
      <c r="R40" s="2916"/>
      <c r="S40" s="2918"/>
      <c r="T40" s="2916"/>
      <c r="U40" s="2916"/>
      <c r="V40" s="2916"/>
      <c r="W40" s="835" t="s">
        <v>1135</v>
      </c>
      <c r="X40" s="248">
        <v>26</v>
      </c>
      <c r="Y40" s="5151"/>
      <c r="Z40" s="5152"/>
      <c r="AA40" s="5534"/>
      <c r="AB40" s="5534"/>
      <c r="AC40" s="857"/>
      <c r="AD40" s="523"/>
      <c r="AE40" s="857"/>
    </row>
    <row r="41" spans="1:31" ht="11.25" customHeight="1">
      <c r="A41" s="857"/>
      <c r="B41" s="265"/>
      <c r="C41" s="1532" t="s">
        <v>1916</v>
      </c>
      <c r="D41" s="1532"/>
      <c r="E41" s="257"/>
      <c r="F41" s="245"/>
      <c r="G41" s="245"/>
      <c r="H41" s="835" t="s">
        <v>1089</v>
      </c>
      <c r="I41" s="508">
        <f>B40</f>
        <v>14</v>
      </c>
      <c r="J41" s="5151"/>
      <c r="K41" s="5152"/>
      <c r="L41" s="5534"/>
      <c r="M41" s="5534"/>
      <c r="N41" s="5533">
        <v>27</v>
      </c>
      <c r="O41" s="5532"/>
      <c r="P41" s="2918" t="s">
        <v>1930</v>
      </c>
      <c r="Q41" s="507"/>
      <c r="R41" s="2916"/>
      <c r="S41" s="2918"/>
      <c r="T41" s="2916"/>
      <c r="U41" s="2916"/>
      <c r="V41" s="2916"/>
      <c r="W41" s="835" t="s">
        <v>931</v>
      </c>
      <c r="X41" s="248">
        <v>27</v>
      </c>
      <c r="Y41" s="5151"/>
      <c r="Z41" s="5152"/>
      <c r="AA41" s="5534"/>
      <c r="AB41" s="5534"/>
      <c r="AC41" s="857"/>
      <c r="AD41" s="523"/>
      <c r="AE41" s="857"/>
    </row>
    <row r="42" spans="1:31" ht="11.25" customHeight="1">
      <c r="A42" s="857"/>
      <c r="B42" s="265">
        <v>15</v>
      </c>
      <c r="C42" s="257" t="s">
        <v>411</v>
      </c>
      <c r="D42" s="257"/>
      <c r="E42" s="257"/>
      <c r="F42" s="245"/>
      <c r="G42" s="245"/>
      <c r="H42" s="253"/>
      <c r="I42" s="2943"/>
      <c r="J42" s="2946"/>
      <c r="K42" s="2947"/>
      <c r="L42" s="2947"/>
      <c r="M42" s="2947"/>
      <c r="N42" s="5533">
        <v>28</v>
      </c>
      <c r="O42" s="5532"/>
      <c r="P42" s="2918" t="s">
        <v>1294</v>
      </c>
      <c r="Q42" s="507"/>
      <c r="R42" s="2916"/>
      <c r="S42" s="2918"/>
      <c r="T42" s="2916"/>
      <c r="U42" s="2916"/>
      <c r="V42" s="2916"/>
      <c r="W42" s="835" t="s">
        <v>1160</v>
      </c>
      <c r="X42" s="248">
        <v>28</v>
      </c>
      <c r="Y42" s="5151"/>
      <c r="Z42" s="5152"/>
      <c r="AA42" s="5534"/>
      <c r="AB42" s="5534"/>
      <c r="AC42" s="857"/>
      <c r="AD42" s="523"/>
      <c r="AE42" s="857"/>
    </row>
    <row r="43" spans="1:31" ht="11.25" customHeight="1">
      <c r="A43" s="857"/>
      <c r="B43" s="265"/>
      <c r="C43" s="1532" t="s">
        <v>1917</v>
      </c>
      <c r="D43" s="1532"/>
      <c r="E43" s="257"/>
      <c r="F43" s="245"/>
      <c r="G43" s="245"/>
      <c r="H43" s="835" t="s">
        <v>716</v>
      </c>
      <c r="I43" s="508">
        <f>B42</f>
        <v>15</v>
      </c>
      <c r="J43" s="5151"/>
      <c r="K43" s="5152"/>
      <c r="L43" s="5534"/>
      <c r="M43" s="5534"/>
      <c r="N43" s="5533">
        <v>29</v>
      </c>
      <c r="O43" s="5532"/>
      <c r="P43" s="549" t="s">
        <v>1295</v>
      </c>
      <c r="Q43" s="507"/>
      <c r="R43" s="2916"/>
      <c r="S43" s="2918"/>
      <c r="T43" s="2916"/>
      <c r="U43" s="2916"/>
      <c r="V43" s="2916"/>
      <c r="W43" s="835" t="s">
        <v>1160</v>
      </c>
      <c r="X43" s="248">
        <v>29</v>
      </c>
      <c r="Y43" s="5151"/>
      <c r="Z43" s="5152"/>
      <c r="AA43" s="5534"/>
      <c r="AB43" s="5534"/>
      <c r="AC43" s="857"/>
      <c r="AD43" s="523"/>
      <c r="AE43" s="857"/>
    </row>
    <row r="44" spans="1:31" ht="11.25" customHeight="1">
      <c r="A44" s="857"/>
      <c r="B44" s="265">
        <v>16</v>
      </c>
      <c r="C44" s="1532" t="s">
        <v>1918</v>
      </c>
      <c r="D44" s="1532"/>
      <c r="E44" s="257"/>
      <c r="F44" s="245"/>
      <c r="G44" s="245"/>
      <c r="H44" s="835" t="s">
        <v>2022</v>
      </c>
      <c r="I44" s="508">
        <f>B44</f>
        <v>16</v>
      </c>
      <c r="J44" s="5151"/>
      <c r="K44" s="5152"/>
      <c r="L44" s="5534"/>
      <c r="M44" s="5534"/>
      <c r="N44" s="5533">
        <v>30</v>
      </c>
      <c r="O44" s="5532"/>
      <c r="P44" s="2918" t="s">
        <v>1296</v>
      </c>
      <c r="Q44" s="507"/>
      <c r="R44" s="549"/>
      <c r="S44" s="549"/>
      <c r="T44" s="2916"/>
      <c r="U44" s="2916"/>
      <c r="V44" s="2916"/>
      <c r="W44" s="835" t="s">
        <v>1160</v>
      </c>
      <c r="X44" s="248">
        <v>30</v>
      </c>
      <c r="Y44" s="5151"/>
      <c r="Z44" s="5152"/>
      <c r="AA44" s="5534"/>
      <c r="AB44" s="5534"/>
      <c r="AC44" s="857"/>
      <c r="AD44" s="523"/>
      <c r="AE44" s="857"/>
    </row>
    <row r="45" spans="1:31" ht="11.25" customHeight="1">
      <c r="A45" s="857"/>
      <c r="B45" s="265">
        <v>17</v>
      </c>
      <c r="C45" s="257" t="s">
        <v>1919</v>
      </c>
      <c r="D45" s="257"/>
      <c r="E45" s="257"/>
      <c r="F45" s="245"/>
      <c r="G45" s="245"/>
      <c r="H45" s="835" t="s">
        <v>2012</v>
      </c>
      <c r="I45" s="508">
        <f>B45</f>
        <v>17</v>
      </c>
      <c r="J45" s="5151"/>
      <c r="K45" s="5152"/>
      <c r="L45" s="5534"/>
      <c r="M45" s="5534"/>
      <c r="N45" s="5533">
        <v>31</v>
      </c>
      <c r="O45" s="5532"/>
      <c r="P45" s="2918" t="s">
        <v>1931</v>
      </c>
      <c r="Q45" s="507"/>
      <c r="R45" s="2916"/>
      <c r="S45" s="2918"/>
      <c r="T45" s="2916"/>
      <c r="U45" s="2916"/>
      <c r="V45" s="2916"/>
      <c r="W45" s="2916"/>
      <c r="X45" s="248">
        <v>31</v>
      </c>
      <c r="Y45" s="5151"/>
      <c r="Z45" s="5152"/>
      <c r="AA45" s="5534"/>
      <c r="AB45" s="5534"/>
      <c r="AC45" s="857"/>
      <c r="AD45" s="523"/>
      <c r="AE45" s="857"/>
    </row>
    <row r="46" spans="1:31" ht="11.25" customHeight="1">
      <c r="A46" s="857"/>
      <c r="B46" s="265">
        <v>18</v>
      </c>
      <c r="C46" s="1532" t="s">
        <v>1920</v>
      </c>
      <c r="D46" s="1532"/>
      <c r="E46" s="257"/>
      <c r="F46" s="245"/>
      <c r="G46" s="245"/>
      <c r="H46" s="835" t="s">
        <v>985</v>
      </c>
      <c r="I46" s="508">
        <f>B46</f>
        <v>18</v>
      </c>
      <c r="J46" s="5151"/>
      <c r="K46" s="5152"/>
      <c r="L46" s="5534"/>
      <c r="M46" s="5534"/>
      <c r="N46" s="5533">
        <v>32</v>
      </c>
      <c r="O46" s="5532"/>
      <c r="P46" s="2918" t="s">
        <v>1932</v>
      </c>
      <c r="Q46" s="507"/>
      <c r="R46" s="2918"/>
      <c r="S46" s="2949"/>
      <c r="T46" s="2950"/>
      <c r="U46" s="2950"/>
      <c r="V46" s="2950"/>
      <c r="W46" s="2950"/>
      <c r="X46" s="510"/>
      <c r="Y46" s="2679"/>
      <c r="Z46" s="2951"/>
      <c r="AA46" s="2454"/>
      <c r="AB46" s="2454"/>
      <c r="AC46" s="857"/>
      <c r="AD46" s="523"/>
      <c r="AE46" s="857"/>
    </row>
    <row r="47" spans="1:31" ht="11.25" customHeight="1">
      <c r="A47" s="857"/>
      <c r="B47" s="265">
        <v>19</v>
      </c>
      <c r="C47" s="257" t="s">
        <v>1921</v>
      </c>
      <c r="D47" s="257"/>
      <c r="E47" s="257"/>
      <c r="F47" s="245"/>
      <c r="G47" s="245"/>
      <c r="H47" s="835" t="s">
        <v>716</v>
      </c>
      <c r="I47" s="508">
        <f>B47</f>
        <v>19</v>
      </c>
      <c r="J47" s="5151"/>
      <c r="K47" s="5152"/>
      <c r="L47" s="5534"/>
      <c r="M47" s="5534"/>
      <c r="N47" s="5533" t="s">
        <v>61</v>
      </c>
      <c r="O47" s="5532"/>
      <c r="P47" s="5526"/>
      <c r="Q47" s="5527"/>
      <c r="R47" s="5527"/>
      <c r="S47" s="5527"/>
      <c r="T47" s="5527"/>
      <c r="U47" s="5527"/>
      <c r="V47" s="5527"/>
      <c r="W47" s="5528"/>
      <c r="X47" s="1630" t="s">
        <v>212</v>
      </c>
      <c r="Y47" s="5151"/>
      <c r="Z47" s="5152"/>
      <c r="AA47" s="5534"/>
      <c r="AB47" s="5534"/>
      <c r="AC47" s="857"/>
      <c r="AD47" s="523"/>
      <c r="AE47" s="857"/>
    </row>
    <row r="48" spans="1:31" ht="11.25" customHeight="1">
      <c r="A48" s="857"/>
      <c r="B48" s="265">
        <v>20</v>
      </c>
      <c r="C48" s="1532" t="s">
        <v>1922</v>
      </c>
      <c r="D48" s="1532"/>
      <c r="E48" s="257"/>
      <c r="F48" s="245"/>
      <c r="G48" s="245"/>
      <c r="H48" s="835" t="s">
        <v>1597</v>
      </c>
      <c r="I48" s="508">
        <f>B48</f>
        <v>20</v>
      </c>
      <c r="J48" s="5151"/>
      <c r="K48" s="5152"/>
      <c r="L48" s="5534"/>
      <c r="M48" s="5534"/>
      <c r="N48" s="5533" t="s">
        <v>84</v>
      </c>
      <c r="O48" s="5532"/>
      <c r="P48" s="5526"/>
      <c r="Q48" s="5527"/>
      <c r="R48" s="5527"/>
      <c r="S48" s="5527"/>
      <c r="T48" s="5527"/>
      <c r="U48" s="5527"/>
      <c r="V48" s="5527"/>
      <c r="W48" s="5528"/>
      <c r="X48" s="1630" t="s">
        <v>489</v>
      </c>
      <c r="Y48" s="5151"/>
      <c r="Z48" s="5152"/>
      <c r="AA48" s="5534"/>
      <c r="AB48" s="5534"/>
      <c r="AC48" s="857"/>
      <c r="AD48" s="523"/>
      <c r="AE48" s="857"/>
    </row>
    <row r="49" spans="1:31" ht="11.25" customHeight="1">
      <c r="A49" s="857"/>
      <c r="B49" s="265">
        <v>21</v>
      </c>
      <c r="C49" s="1532" t="s">
        <v>416</v>
      </c>
      <c r="D49" s="1532"/>
      <c r="E49" s="257"/>
      <c r="F49" s="245"/>
      <c r="G49" s="245"/>
      <c r="H49" s="253"/>
      <c r="I49" s="510"/>
      <c r="J49" s="2946"/>
      <c r="K49" s="2947"/>
      <c r="L49" s="2947"/>
      <c r="M49" s="2947"/>
      <c r="N49" s="5533" t="s">
        <v>85</v>
      </c>
      <c r="O49" s="5532"/>
      <c r="P49" s="5526"/>
      <c r="Q49" s="5527"/>
      <c r="R49" s="5527"/>
      <c r="S49" s="5527"/>
      <c r="T49" s="5527"/>
      <c r="U49" s="5527"/>
      <c r="V49" s="5527"/>
      <c r="W49" s="5528"/>
      <c r="X49" s="1630" t="s">
        <v>1935</v>
      </c>
      <c r="Y49" s="5151"/>
      <c r="Z49" s="5152"/>
      <c r="AA49" s="5534"/>
      <c r="AB49" s="5534"/>
      <c r="AC49" s="857"/>
      <c r="AD49" s="523"/>
      <c r="AE49" s="857"/>
    </row>
    <row r="50" spans="1:31" ht="11.25" customHeight="1">
      <c r="A50" s="857"/>
      <c r="B50" s="238" t="s">
        <v>61</v>
      </c>
      <c r="C50" s="257" t="s">
        <v>570</v>
      </c>
      <c r="D50" s="257"/>
      <c r="E50" s="257"/>
      <c r="F50" s="245"/>
      <c r="G50" s="245"/>
      <c r="H50" s="253"/>
      <c r="I50" s="2948" t="s">
        <v>1923</v>
      </c>
      <c r="J50" s="5151"/>
      <c r="K50" s="5152"/>
      <c r="L50" s="5534"/>
      <c r="M50" s="5534"/>
      <c r="N50" s="5533" t="s">
        <v>151</v>
      </c>
      <c r="O50" s="5532"/>
      <c r="P50" s="5526"/>
      <c r="Q50" s="5527"/>
      <c r="R50" s="5527"/>
      <c r="S50" s="5527"/>
      <c r="T50" s="5527"/>
      <c r="U50" s="5527"/>
      <c r="V50" s="5527"/>
      <c r="W50" s="5528"/>
      <c r="X50" s="1630" t="s">
        <v>1936</v>
      </c>
      <c r="Y50" s="5151"/>
      <c r="Z50" s="5152"/>
      <c r="AA50" s="5534"/>
      <c r="AB50" s="5534"/>
      <c r="AC50" s="857"/>
      <c r="AD50" s="523"/>
      <c r="AE50" s="857"/>
    </row>
    <row r="51" spans="1:31" ht="11.25" customHeight="1">
      <c r="A51" s="857"/>
      <c r="B51" s="238" t="s">
        <v>84</v>
      </c>
      <c r="C51" s="1532" t="s">
        <v>645</v>
      </c>
      <c r="D51" s="1532"/>
      <c r="E51" s="257"/>
      <c r="F51" s="245"/>
      <c r="G51" s="245"/>
      <c r="H51" s="835" t="s">
        <v>1161</v>
      </c>
      <c r="I51" s="2948" t="s">
        <v>1924</v>
      </c>
      <c r="J51" s="5151"/>
      <c r="K51" s="5152"/>
      <c r="L51" s="5534"/>
      <c r="M51" s="5534"/>
      <c r="N51" s="5533" t="s">
        <v>1933</v>
      </c>
      <c r="O51" s="5532"/>
      <c r="P51" s="5526"/>
      <c r="Q51" s="5527"/>
      <c r="R51" s="5527"/>
      <c r="S51" s="5527"/>
      <c r="T51" s="5527"/>
      <c r="U51" s="5527"/>
      <c r="V51" s="5527"/>
      <c r="W51" s="5528"/>
      <c r="X51" s="1630" t="s">
        <v>1937</v>
      </c>
      <c r="Y51" s="5151"/>
      <c r="Z51" s="5152"/>
      <c r="AA51" s="5534"/>
      <c r="AB51" s="5534"/>
      <c r="AC51" s="857"/>
      <c r="AD51" s="523"/>
      <c r="AE51" s="857"/>
    </row>
    <row r="52" spans="1:31" ht="11.25" customHeight="1">
      <c r="A52" s="857"/>
      <c r="B52" s="265">
        <v>22</v>
      </c>
      <c r="C52" s="1532" t="s">
        <v>1925</v>
      </c>
      <c r="D52" s="1532"/>
      <c r="E52" s="257"/>
      <c r="F52" s="245"/>
      <c r="G52" s="245"/>
      <c r="H52" s="253"/>
      <c r="I52" s="509">
        <v>22</v>
      </c>
      <c r="J52" s="5536"/>
      <c r="K52" s="5537"/>
      <c r="L52" s="5231"/>
      <c r="M52" s="5231"/>
      <c r="N52" s="5541" t="s">
        <v>1934</v>
      </c>
      <c r="O52" s="5542"/>
      <c r="P52" s="5543"/>
      <c r="Q52" s="5544"/>
      <c r="R52" s="5544"/>
      <c r="S52" s="5544"/>
      <c r="T52" s="5544"/>
      <c r="U52" s="5544"/>
      <c r="V52" s="5544"/>
      <c r="W52" s="5545"/>
      <c r="X52" s="3002" t="s">
        <v>1938</v>
      </c>
      <c r="Y52" s="5536"/>
      <c r="Z52" s="5537"/>
      <c r="AA52" s="5231"/>
      <c r="AB52" s="5231"/>
      <c r="AC52" s="857"/>
      <c r="AD52" s="523"/>
      <c r="AE52" s="857"/>
    </row>
    <row r="53" spans="1:31" ht="15" customHeight="1">
      <c r="A53" s="857"/>
      <c r="B53" s="2947">
        <v>33</v>
      </c>
      <c r="C53" s="3003" t="s">
        <v>1939</v>
      </c>
      <c r="D53" s="3003"/>
      <c r="E53" s="3003"/>
      <c r="F53" s="3004"/>
      <c r="G53" s="3005"/>
      <c r="H53" s="3005"/>
      <c r="I53" s="3005"/>
      <c r="J53" s="3005"/>
      <c r="K53" s="3005"/>
      <c r="L53" s="3005"/>
      <c r="M53" s="3005"/>
      <c r="N53" s="3004"/>
      <c r="O53" s="3004"/>
      <c r="P53" s="3004"/>
      <c r="Q53" s="3004"/>
      <c r="R53" s="3004"/>
      <c r="S53" s="3004"/>
      <c r="T53" s="3004"/>
      <c r="U53" s="3005"/>
      <c r="V53" s="3005"/>
      <c r="W53" s="3004"/>
      <c r="X53" s="3006">
        <v>33</v>
      </c>
      <c r="Y53" s="5538">
        <f>IF(AD53&lt;&gt;"",AD53,ROUND(SUM(J36,J37,J38,J39,J41,J43,J44,J45,J46,J47,J48,J50,J51,J52,Y35,Y36,Y37,Y38,Y39,Y40,Y41,Y42,Y43,Y44,Y45,Y47,Y48,Y49,Y50,Y51,Y52),0))</f>
        <v>0</v>
      </c>
      <c r="Z53" s="5539"/>
      <c r="AA53" s="5540"/>
      <c r="AB53" s="5540"/>
      <c r="AC53" s="857"/>
      <c r="AD53" s="845"/>
      <c r="AE53" s="857"/>
    </row>
    <row r="54" spans="1:31" ht="15" customHeight="1">
      <c r="A54" s="857"/>
      <c r="B54" s="265">
        <v>34</v>
      </c>
      <c r="C54" s="1490" t="s">
        <v>1940</v>
      </c>
      <c r="D54" s="1490"/>
      <c r="E54" s="250"/>
      <c r="F54" s="250"/>
      <c r="G54" s="247"/>
      <c r="H54" s="247"/>
      <c r="I54" s="247"/>
      <c r="J54" s="247"/>
      <c r="K54" s="247"/>
      <c r="L54" s="247"/>
      <c r="M54" s="247"/>
      <c r="N54" s="250"/>
      <c r="O54" s="250"/>
      <c r="P54" s="250"/>
      <c r="Q54" s="250"/>
      <c r="R54" s="250"/>
      <c r="S54" s="250"/>
      <c r="T54" s="250"/>
      <c r="U54" s="247"/>
      <c r="V54" s="247"/>
      <c r="W54" s="250"/>
      <c r="X54" s="248">
        <v>34</v>
      </c>
      <c r="Y54" s="5248">
        <f>IF(AD54&lt;&gt;"",AD54,SUM(Y33,-Y53))</f>
        <v>0</v>
      </c>
      <c r="Z54" s="5579"/>
      <c r="AA54" s="5580"/>
      <c r="AB54" s="5580"/>
      <c r="AC54" s="857"/>
      <c r="AD54" s="845"/>
      <c r="AE54" s="857"/>
    </row>
    <row r="55" spans="1:31" ht="14.25" customHeight="1">
      <c r="A55" s="857"/>
      <c r="B55" s="265"/>
      <c r="C55" s="2681" t="s">
        <v>1941</v>
      </c>
      <c r="D55" s="2681"/>
      <c r="E55" s="250"/>
      <c r="F55" s="250"/>
      <c r="G55" s="247"/>
      <c r="H55" s="247"/>
      <c r="I55" s="247"/>
      <c r="J55" s="247"/>
      <c r="K55" s="247"/>
      <c r="L55" s="247"/>
      <c r="M55" s="247"/>
      <c r="N55" s="250"/>
      <c r="O55" s="250"/>
      <c r="P55" s="250"/>
      <c r="Q55" s="250"/>
      <c r="R55" s="250"/>
      <c r="S55" s="250"/>
      <c r="T55" s="2953"/>
      <c r="U55" s="247"/>
      <c r="V55" s="247"/>
      <c r="W55" s="247"/>
      <c r="X55" s="247"/>
      <c r="Y55" s="247"/>
      <c r="Z55" s="247"/>
      <c r="AA55" s="247"/>
      <c r="AB55" s="247"/>
      <c r="AC55" s="857"/>
      <c r="AD55" s="523"/>
      <c r="AE55" s="857"/>
    </row>
    <row r="56" spans="1:31" ht="14.25" customHeight="1">
      <c r="A56" s="857"/>
      <c r="B56" s="265">
        <v>35</v>
      </c>
      <c r="C56" s="2681" t="str">
        <f>"Did you receive an applicable subsidy in "&amp;TaxYear&amp;"? (see instructions)"</f>
        <v>Did you receive an applicable subsidy in 2016? (see instructions)</v>
      </c>
      <c r="D56" s="2681"/>
      <c r="E56" s="250"/>
      <c r="F56" s="250"/>
      <c r="G56" s="247"/>
      <c r="H56" s="247"/>
      <c r="I56" s="247"/>
      <c r="J56" s="247"/>
      <c r="K56" s="247"/>
      <c r="L56" s="247"/>
      <c r="M56" s="247"/>
      <c r="N56" s="250"/>
      <c r="O56" s="250"/>
      <c r="P56" s="250"/>
      <c r="Q56" s="250"/>
      <c r="R56" s="250"/>
      <c r="S56" s="250"/>
      <c r="T56" s="2953"/>
      <c r="U56" s="247"/>
      <c r="V56" s="247"/>
      <c r="W56" s="247"/>
      <c r="X56" s="2941"/>
      <c r="Y56" s="2936" t="s">
        <v>436</v>
      </c>
      <c r="Z56" s="247"/>
      <c r="AA56" s="2941"/>
      <c r="AB56" s="2917" t="s">
        <v>437</v>
      </c>
      <c r="AC56" s="857"/>
      <c r="AD56" s="523"/>
      <c r="AE56" s="857"/>
    </row>
    <row r="57" spans="1:31" ht="14.25" customHeight="1">
      <c r="A57" s="857"/>
      <c r="B57" s="265">
        <v>36</v>
      </c>
      <c r="C57" s="2681" t="s">
        <v>1942</v>
      </c>
      <c r="D57" s="2681"/>
      <c r="E57" s="250"/>
      <c r="F57" s="250"/>
      <c r="G57" s="247"/>
      <c r="H57" s="247"/>
      <c r="I57" s="247"/>
      <c r="J57" s="247"/>
      <c r="K57" s="247"/>
      <c r="L57" s="247"/>
      <c r="M57" s="247"/>
      <c r="N57" s="250"/>
      <c r="O57" s="250"/>
      <c r="P57" s="250"/>
      <c r="Q57" s="250"/>
      <c r="R57" s="250"/>
      <c r="S57" s="250"/>
      <c r="T57" s="2953"/>
      <c r="U57" s="247"/>
      <c r="V57" s="247"/>
      <c r="W57" s="247"/>
      <c r="X57" s="247"/>
      <c r="Y57" s="247"/>
      <c r="Z57" s="247"/>
      <c r="AA57" s="247"/>
      <c r="AB57" s="2917"/>
      <c r="AC57" s="857"/>
      <c r="AD57" s="523"/>
      <c r="AE57" s="857"/>
    </row>
    <row r="58" spans="1:31" ht="12.75" customHeight="1">
      <c r="A58" s="857"/>
      <c r="B58" s="835" t="s">
        <v>61</v>
      </c>
      <c r="C58" s="2941"/>
      <c r="D58" s="507" t="s">
        <v>1943</v>
      </c>
      <c r="E58" s="835"/>
      <c r="F58" s="507"/>
      <c r="G58" s="507"/>
      <c r="H58" s="835" t="s">
        <v>84</v>
      </c>
      <c r="I58" s="2941"/>
      <c r="J58" s="225" t="s">
        <v>1944</v>
      </c>
      <c r="K58" s="245"/>
      <c r="L58" s="835"/>
      <c r="M58" s="234"/>
      <c r="N58" s="234"/>
      <c r="O58" s="234"/>
      <c r="P58" s="234"/>
      <c r="Q58" s="234"/>
      <c r="R58" s="254"/>
      <c r="S58" s="254"/>
      <c r="T58" s="234"/>
      <c r="U58" s="245"/>
      <c r="V58" s="245"/>
      <c r="W58" s="250"/>
      <c r="X58" s="500"/>
      <c r="Y58" s="500"/>
      <c r="Z58" s="991"/>
      <c r="AA58" s="500"/>
      <c r="AB58" s="500"/>
      <c r="AC58" s="857"/>
      <c r="AD58" s="523"/>
      <c r="AE58" s="857"/>
    </row>
    <row r="59" spans="1:31" ht="3.75" customHeight="1" thickBot="1">
      <c r="A59" s="857"/>
      <c r="B59" s="835"/>
      <c r="C59" s="835"/>
      <c r="D59" s="225"/>
      <c r="E59" s="234"/>
      <c r="F59" s="234"/>
      <c r="G59" s="245"/>
      <c r="H59" s="245"/>
      <c r="I59" s="245"/>
      <c r="J59" s="245"/>
      <c r="K59" s="245"/>
      <c r="L59" s="245"/>
      <c r="M59" s="245"/>
      <c r="N59" s="234"/>
      <c r="O59" s="234"/>
      <c r="P59" s="234"/>
      <c r="Q59" s="234"/>
      <c r="R59" s="254"/>
      <c r="S59" s="254"/>
      <c r="T59" s="234"/>
      <c r="U59" s="245"/>
      <c r="V59" s="245"/>
      <c r="W59" s="250"/>
      <c r="X59" s="500"/>
      <c r="Y59" s="500"/>
      <c r="Z59" s="991"/>
      <c r="AA59" s="500"/>
      <c r="AB59" s="500"/>
      <c r="AC59" s="857"/>
      <c r="AD59" s="523"/>
      <c r="AE59" s="857"/>
    </row>
    <row r="60" spans="1:31" ht="22.5" customHeight="1">
      <c r="A60" s="857"/>
      <c r="B60" s="3724" t="s">
        <v>2044</v>
      </c>
      <c r="C60" s="742"/>
      <c r="D60" s="743"/>
      <c r="E60" s="743"/>
      <c r="F60" s="743"/>
      <c r="G60" s="744"/>
      <c r="H60" s="744"/>
      <c r="I60" s="744"/>
      <c r="J60" s="744"/>
      <c r="K60" s="744"/>
      <c r="L60" s="744"/>
      <c r="M60" s="744"/>
      <c r="N60" s="743"/>
      <c r="O60" s="743"/>
      <c r="P60" s="743"/>
      <c r="Q60" s="743"/>
      <c r="R60" s="1637" t="s">
        <v>1945</v>
      </c>
      <c r="S60" s="1637"/>
      <c r="T60" s="743"/>
      <c r="U60" s="1637"/>
      <c r="V60" s="744"/>
      <c r="W60" s="746"/>
      <c r="X60" s="744"/>
      <c r="Y60" s="744"/>
      <c r="Z60" s="747"/>
      <c r="AA60" s="748"/>
      <c r="AB60" s="748" t="str">
        <f>"Schedule F (Form 1040)  "&amp;TaxYear</f>
        <v>Schedule F (Form 1040)  2016</v>
      </c>
      <c r="AC60" s="857"/>
      <c r="AD60" s="523"/>
      <c r="AE60" s="857"/>
    </row>
    <row r="61" spans="1:31" ht="19.5" customHeight="1" thickBot="1">
      <c r="A61" s="857"/>
      <c r="B61" s="2979" t="str">
        <f>"Schedule F (Form 1040) "&amp;TaxYear</f>
        <v>Schedule F (Form 1040) 2016</v>
      </c>
      <c r="C61" s="2979"/>
      <c r="D61" s="2979"/>
      <c r="E61" s="2979"/>
      <c r="F61" s="2979"/>
      <c r="G61" s="2979"/>
      <c r="H61" s="2979"/>
      <c r="I61" s="2979"/>
      <c r="J61" s="2979"/>
      <c r="K61" s="2979"/>
      <c r="L61" s="2979"/>
      <c r="M61" s="2979"/>
      <c r="N61" s="2979"/>
      <c r="O61" s="2979"/>
      <c r="P61" s="2979"/>
      <c r="Q61" s="2979"/>
      <c r="R61" s="2979"/>
      <c r="S61" s="2979"/>
      <c r="T61" s="2979"/>
      <c r="U61" s="2979"/>
      <c r="V61" s="2979"/>
      <c r="W61" s="2979"/>
      <c r="X61" s="2979"/>
      <c r="Y61" s="2980"/>
      <c r="Z61" s="2981"/>
      <c r="AA61" s="2981" t="s">
        <v>330</v>
      </c>
      <c r="AB61" s="2982" t="str">
        <f>"2"</f>
        <v>2</v>
      </c>
      <c r="AC61" s="857"/>
      <c r="AD61" s="523"/>
      <c r="AE61" s="857"/>
    </row>
    <row r="62" spans="1:31" ht="15.75" thickTop="1">
      <c r="A62" s="857"/>
      <c r="B62" s="5523" t="s">
        <v>514</v>
      </c>
      <c r="C62" s="4781"/>
      <c r="D62" s="2990" t="s">
        <v>2017</v>
      </c>
      <c r="E62" s="2983"/>
      <c r="F62" s="2983"/>
      <c r="G62" s="2983"/>
      <c r="H62" s="2983"/>
      <c r="I62" s="2983"/>
      <c r="J62" s="2983"/>
      <c r="K62" s="2983"/>
      <c r="L62" s="2983"/>
      <c r="M62" s="2983"/>
      <c r="N62" s="2983"/>
      <c r="O62" s="2983"/>
      <c r="P62" s="2983"/>
      <c r="Q62" s="2983"/>
      <c r="R62" s="2983"/>
      <c r="S62" s="2983"/>
      <c r="T62" s="2983"/>
      <c r="U62" s="2983"/>
      <c r="V62" s="2983"/>
      <c r="W62" s="2983"/>
      <c r="X62" s="2983"/>
      <c r="Y62" s="2983"/>
      <c r="Z62" s="2983"/>
      <c r="AA62" s="2983"/>
      <c r="AB62" s="2983"/>
      <c r="AC62" s="857"/>
      <c r="AD62" s="523"/>
      <c r="AE62" s="857"/>
    </row>
    <row r="63" spans="1:31" ht="9.75" customHeight="1">
      <c r="A63" s="857"/>
      <c r="B63" s="423"/>
      <c r="C63" s="423"/>
      <c r="D63" s="423"/>
      <c r="E63" s="423"/>
      <c r="F63" s="423"/>
      <c r="G63" s="423"/>
      <c r="H63" s="423"/>
      <c r="I63" s="423"/>
      <c r="J63" s="423"/>
      <c r="K63" s="423"/>
      <c r="L63" s="423"/>
      <c r="M63" s="423"/>
      <c r="N63" s="423"/>
      <c r="O63" s="423"/>
      <c r="P63" s="423"/>
      <c r="Q63" s="423"/>
      <c r="R63" s="423"/>
      <c r="S63" s="423"/>
      <c r="T63" s="423"/>
      <c r="U63" s="423"/>
      <c r="V63" s="423"/>
      <c r="W63" s="423"/>
      <c r="X63" s="2961"/>
      <c r="Y63" s="423"/>
      <c r="Z63" s="423"/>
      <c r="AA63" s="423"/>
      <c r="AB63" s="423"/>
      <c r="AC63" s="857"/>
      <c r="AD63" s="523"/>
      <c r="AE63" s="857"/>
    </row>
    <row r="64" spans="1:31" ht="14.25" customHeight="1">
      <c r="A64" s="857"/>
      <c r="B64" s="265">
        <v>37</v>
      </c>
      <c r="C64" s="234" t="s">
        <v>1947</v>
      </c>
      <c r="D64" s="234"/>
      <c r="E64" s="234"/>
      <c r="F64" s="234"/>
      <c r="G64" s="234"/>
      <c r="H64" s="234"/>
      <c r="I64" s="234"/>
      <c r="J64" s="234"/>
      <c r="K64" s="234"/>
      <c r="L64" s="234"/>
      <c r="M64" s="234"/>
      <c r="N64" s="234"/>
      <c r="O64" s="234"/>
      <c r="P64" s="234"/>
      <c r="Q64" s="234"/>
      <c r="R64" s="234"/>
      <c r="S64" s="234"/>
      <c r="T64" s="234"/>
      <c r="U64" s="234"/>
      <c r="V64" s="234"/>
      <c r="W64" s="882" t="s">
        <v>2061</v>
      </c>
      <c r="X64" s="1630">
        <v>37</v>
      </c>
      <c r="Y64" s="5151"/>
      <c r="Z64" s="5152"/>
      <c r="AA64" s="5534"/>
      <c r="AB64" s="5534"/>
      <c r="AC64" s="857"/>
      <c r="AD64" s="523"/>
      <c r="AE64" s="857"/>
    </row>
    <row r="65" spans="1:31" ht="12" customHeight="1">
      <c r="A65" s="857"/>
      <c r="B65" s="265"/>
      <c r="C65" s="265"/>
      <c r="D65" s="234"/>
      <c r="E65" s="234"/>
      <c r="F65" s="234"/>
      <c r="G65" s="234"/>
      <c r="H65" s="234"/>
      <c r="I65" s="234"/>
      <c r="J65" s="234"/>
      <c r="K65" s="234"/>
      <c r="L65" s="234"/>
      <c r="M65" s="234"/>
      <c r="N65" s="234"/>
      <c r="O65" s="234"/>
      <c r="P65" s="234"/>
      <c r="Q65" s="234"/>
      <c r="R65" s="234"/>
      <c r="S65" s="234"/>
      <c r="T65" s="234"/>
      <c r="U65" s="234"/>
      <c r="V65" s="234"/>
      <c r="W65" s="234"/>
      <c r="X65" s="2961"/>
      <c r="Y65" s="234"/>
      <c r="Z65" s="234"/>
      <c r="AA65" s="234"/>
      <c r="AB65" s="234"/>
      <c r="AC65" s="857"/>
      <c r="AD65" s="523"/>
      <c r="AE65" s="857"/>
    </row>
    <row r="66" spans="1:31" ht="15" customHeight="1">
      <c r="A66" s="857"/>
      <c r="B66" s="223" t="s">
        <v>1948</v>
      </c>
      <c r="C66" s="1490" t="s">
        <v>1894</v>
      </c>
      <c r="D66" s="1490"/>
      <c r="E66" s="250"/>
      <c r="F66" s="250"/>
      <c r="G66" s="250"/>
      <c r="H66" s="250"/>
      <c r="I66" s="250"/>
      <c r="J66" s="250"/>
      <c r="K66" s="2965" t="s">
        <v>2028</v>
      </c>
      <c r="L66" s="2987" t="s">
        <v>1948</v>
      </c>
      <c r="M66" s="5151"/>
      <c r="N66" s="5152"/>
      <c r="O66" s="5534"/>
      <c r="P66" s="5546"/>
      <c r="Q66" s="234"/>
      <c r="R66" s="882" t="s">
        <v>1949</v>
      </c>
      <c r="S66" s="2937" t="s">
        <v>452</v>
      </c>
      <c r="T66" s="2937"/>
      <c r="U66" s="2937"/>
      <c r="V66" s="2938"/>
      <c r="W66" s="2938"/>
      <c r="X66" s="2921" t="s">
        <v>1949</v>
      </c>
      <c r="Y66" s="5151"/>
      <c r="Z66" s="5152"/>
      <c r="AA66" s="5534"/>
      <c r="AB66" s="5534"/>
      <c r="AC66" s="857"/>
      <c r="AD66" s="523"/>
      <c r="AE66" s="857"/>
    </row>
    <row r="67" spans="1:31" ht="12.75" customHeight="1">
      <c r="A67" s="857"/>
      <c r="B67" s="265"/>
      <c r="C67" s="265"/>
      <c r="D67" s="1490"/>
      <c r="E67" s="250"/>
      <c r="F67" s="250"/>
      <c r="G67" s="250"/>
      <c r="H67" s="250"/>
      <c r="I67" s="250"/>
      <c r="J67" s="250"/>
      <c r="K67" s="250"/>
      <c r="L67" s="250"/>
      <c r="M67" s="250"/>
      <c r="N67" s="250"/>
      <c r="O67" s="250"/>
      <c r="P67" s="234"/>
      <c r="Q67" s="234"/>
      <c r="R67" s="234"/>
      <c r="S67" s="250"/>
      <c r="T67" s="250"/>
      <c r="U67" s="250"/>
      <c r="V67" s="250"/>
      <c r="W67" s="250"/>
      <c r="X67" s="2961"/>
      <c r="Y67" s="250"/>
      <c r="Z67" s="279" t="str">
        <f>IF(AND(U67&lt;&gt;"",X67&lt;&gt;""),"Check ONLY one.","")</f>
        <v/>
      </c>
      <c r="AA67" s="250"/>
      <c r="AB67" s="250"/>
      <c r="AC67" s="857"/>
      <c r="AD67" s="523"/>
      <c r="AE67" s="857"/>
    </row>
    <row r="68" spans="1:31" ht="15" customHeight="1">
      <c r="A68" s="857"/>
      <c r="B68" s="223" t="s">
        <v>96</v>
      </c>
      <c r="C68" s="1490" t="s">
        <v>1950</v>
      </c>
      <c r="D68" s="1490"/>
      <c r="E68" s="250"/>
      <c r="F68" s="250"/>
      <c r="G68" s="250"/>
      <c r="H68" s="250"/>
      <c r="I68" s="250"/>
      <c r="J68" s="250"/>
      <c r="K68" s="2965" t="s">
        <v>1660</v>
      </c>
      <c r="L68" s="2987" t="s">
        <v>96</v>
      </c>
      <c r="M68" s="5151"/>
      <c r="N68" s="5152"/>
      <c r="O68" s="5534"/>
      <c r="P68" s="5546"/>
      <c r="Q68" s="234"/>
      <c r="R68" s="882" t="s">
        <v>1951</v>
      </c>
      <c r="S68" s="2937" t="s">
        <v>452</v>
      </c>
      <c r="T68" s="2937"/>
      <c r="U68" s="2937"/>
      <c r="V68" s="2938"/>
      <c r="W68" s="2938"/>
      <c r="X68" s="2921" t="s">
        <v>1951</v>
      </c>
      <c r="Y68" s="5151"/>
      <c r="Z68" s="5152"/>
      <c r="AA68" s="5534"/>
      <c r="AB68" s="5534"/>
      <c r="AC68" s="857"/>
      <c r="AD68" s="523"/>
      <c r="AE68" s="857"/>
    </row>
    <row r="69" spans="1:31" ht="12.75" customHeight="1">
      <c r="A69" s="857"/>
      <c r="B69" s="265"/>
      <c r="C69" s="265"/>
      <c r="D69" s="1490"/>
      <c r="E69" s="250"/>
      <c r="F69" s="250"/>
      <c r="G69" s="250"/>
      <c r="H69" s="250"/>
      <c r="I69" s="250"/>
      <c r="J69" s="250"/>
      <c r="K69" s="250"/>
      <c r="L69" s="250"/>
      <c r="M69" s="250"/>
      <c r="N69" s="250"/>
      <c r="O69" s="250"/>
      <c r="P69" s="234"/>
      <c r="Q69" s="234"/>
      <c r="R69" s="234"/>
      <c r="S69" s="250"/>
      <c r="T69" s="250"/>
      <c r="U69" s="250"/>
      <c r="V69" s="250"/>
      <c r="W69" s="250"/>
      <c r="X69" s="2962"/>
      <c r="Y69" s="250"/>
      <c r="Z69" s="279" t="str">
        <f>IF(AND(U69&lt;&gt;"",X69&lt;&gt;""),"Check ONLY one.","")</f>
        <v/>
      </c>
      <c r="AA69" s="250"/>
      <c r="AB69" s="250"/>
      <c r="AC69" s="857"/>
      <c r="AD69" s="523"/>
      <c r="AE69" s="857"/>
    </row>
    <row r="70" spans="1:31" ht="12.75" customHeight="1">
      <c r="A70" s="857"/>
      <c r="B70" s="223">
        <v>40</v>
      </c>
      <c r="C70" s="1490" t="s">
        <v>1953</v>
      </c>
      <c r="D70" s="1490"/>
      <c r="E70" s="250"/>
      <c r="F70" s="250"/>
      <c r="G70" s="250"/>
      <c r="H70" s="250"/>
      <c r="I70" s="250"/>
      <c r="J70" s="250"/>
      <c r="K70" s="250"/>
      <c r="L70" s="250"/>
      <c r="M70" s="250"/>
      <c r="N70" s="250"/>
      <c r="O70" s="250"/>
      <c r="P70" s="234"/>
      <c r="Q70" s="234"/>
      <c r="R70" s="234"/>
      <c r="S70" s="250"/>
      <c r="T70" s="250"/>
      <c r="U70" s="250"/>
      <c r="V70" s="250"/>
      <c r="W70" s="250"/>
      <c r="X70" s="2963"/>
      <c r="Y70" s="250"/>
      <c r="Z70" s="279"/>
      <c r="AA70" s="250"/>
      <c r="AB70" s="250"/>
      <c r="AC70" s="857"/>
      <c r="AD70" s="523"/>
      <c r="AE70" s="857"/>
    </row>
    <row r="71" spans="1:31" ht="15" customHeight="1">
      <c r="A71" s="857"/>
      <c r="B71" s="2940" t="s">
        <v>61</v>
      </c>
      <c r="C71" s="1490" t="s">
        <v>1954</v>
      </c>
      <c r="D71" s="1490"/>
      <c r="E71" s="250"/>
      <c r="F71" s="250"/>
      <c r="G71" s="250"/>
      <c r="H71" s="250"/>
      <c r="I71" s="250"/>
      <c r="J71" s="250"/>
      <c r="K71" s="250"/>
      <c r="L71" s="250"/>
      <c r="M71" s="250"/>
      <c r="N71" s="250"/>
      <c r="O71" s="250"/>
      <c r="P71" s="250"/>
      <c r="Q71" s="250"/>
      <c r="R71" s="234"/>
      <c r="S71" s="882"/>
      <c r="T71" s="2937"/>
      <c r="U71" s="2937"/>
      <c r="V71" s="2938"/>
      <c r="W71" s="882" t="s">
        <v>2023</v>
      </c>
      <c r="X71" s="2921" t="s">
        <v>1952</v>
      </c>
      <c r="Y71" s="5151"/>
      <c r="Z71" s="5152"/>
      <c r="AA71" s="5534"/>
      <c r="AB71" s="5534"/>
      <c r="AC71" s="857"/>
      <c r="AD71" s="523"/>
      <c r="AE71" s="857"/>
    </row>
    <row r="72" spans="1:31" ht="12" customHeight="1">
      <c r="A72" s="857"/>
      <c r="B72" s="265"/>
      <c r="C72" s="265"/>
      <c r="D72" s="250"/>
      <c r="E72" s="250"/>
      <c r="F72" s="250"/>
      <c r="G72" s="250"/>
      <c r="H72" s="250"/>
      <c r="I72" s="250"/>
      <c r="J72" s="250"/>
      <c r="K72" s="250"/>
      <c r="L72" s="250"/>
      <c r="M72" s="250"/>
      <c r="N72" s="250"/>
      <c r="O72" s="250"/>
      <c r="P72" s="234"/>
      <c r="Q72" s="234"/>
      <c r="R72" s="234"/>
      <c r="S72" s="250"/>
      <c r="T72" s="250"/>
      <c r="U72" s="250"/>
      <c r="V72" s="250"/>
      <c r="W72" s="2984"/>
      <c r="X72" s="2961"/>
      <c r="Y72" s="250"/>
      <c r="Z72" s="250"/>
      <c r="AA72" s="250"/>
      <c r="AB72" s="250"/>
      <c r="AC72" s="857"/>
      <c r="AD72" s="523"/>
      <c r="AE72" s="857"/>
    </row>
    <row r="73" spans="1:31" ht="15" customHeight="1">
      <c r="A73" s="857"/>
      <c r="B73" s="2940" t="s">
        <v>84</v>
      </c>
      <c r="C73" s="1490" t="s">
        <v>1899</v>
      </c>
      <c r="D73" s="1490"/>
      <c r="E73" s="250"/>
      <c r="F73" s="250"/>
      <c r="G73" s="250"/>
      <c r="H73" s="250"/>
      <c r="I73" s="250"/>
      <c r="J73" s="250"/>
      <c r="K73" s="882" t="s">
        <v>2027</v>
      </c>
      <c r="L73" s="2987" t="s">
        <v>1955</v>
      </c>
      <c r="M73" s="5151"/>
      <c r="N73" s="5152"/>
      <c r="O73" s="5534"/>
      <c r="P73" s="5546"/>
      <c r="Q73" s="234"/>
      <c r="R73" s="882" t="s">
        <v>1956</v>
      </c>
      <c r="S73" s="2937" t="s">
        <v>452</v>
      </c>
      <c r="T73" s="2937"/>
      <c r="U73" s="2937"/>
      <c r="V73" s="2938"/>
      <c r="W73" s="2985"/>
      <c r="X73" s="2921" t="s">
        <v>1956</v>
      </c>
      <c r="Y73" s="5151"/>
      <c r="Z73" s="5152"/>
      <c r="AA73" s="5534"/>
      <c r="AB73" s="5534"/>
      <c r="AC73" s="857"/>
      <c r="AD73" s="523"/>
      <c r="AE73" s="857"/>
    </row>
    <row r="74" spans="1:31" ht="9.75" customHeight="1">
      <c r="A74" s="857"/>
      <c r="B74" s="423"/>
      <c r="C74" s="423"/>
      <c r="D74" s="423"/>
      <c r="E74" s="423"/>
      <c r="F74" s="423"/>
      <c r="G74" s="423"/>
      <c r="H74" s="423"/>
      <c r="I74" s="423"/>
      <c r="J74" s="423"/>
      <c r="K74" s="423"/>
      <c r="L74" s="423"/>
      <c r="M74" s="423"/>
      <c r="N74" s="423"/>
      <c r="O74" s="423"/>
      <c r="P74" s="423"/>
      <c r="Q74" s="423"/>
      <c r="R74" s="423"/>
      <c r="S74" s="423"/>
      <c r="T74" s="423"/>
      <c r="U74" s="423"/>
      <c r="V74" s="423"/>
      <c r="W74" s="2986"/>
      <c r="X74" s="2961"/>
      <c r="Y74" s="423"/>
      <c r="Z74" s="423"/>
      <c r="AA74" s="423"/>
      <c r="AB74" s="423"/>
      <c r="AC74" s="857"/>
      <c r="AD74" s="523"/>
      <c r="AE74" s="857"/>
    </row>
    <row r="75" spans="1:31" ht="14.25" customHeight="1">
      <c r="A75" s="857"/>
      <c r="B75" s="265">
        <v>41</v>
      </c>
      <c r="C75" s="225" t="s">
        <v>1957</v>
      </c>
      <c r="D75" s="225"/>
      <c r="E75" s="234"/>
      <c r="F75" s="234"/>
      <c r="G75" s="234"/>
      <c r="H75" s="234"/>
      <c r="I75" s="234"/>
      <c r="J75" s="234"/>
      <c r="K75" s="234"/>
      <c r="L75" s="234"/>
      <c r="M75" s="234"/>
      <c r="N75" s="234"/>
      <c r="O75" s="234"/>
      <c r="P75" s="234"/>
      <c r="Q75" s="234"/>
      <c r="R75" s="234"/>
      <c r="S75" s="234"/>
      <c r="T75" s="234"/>
      <c r="U75" s="234"/>
      <c r="V75" s="234"/>
      <c r="W75" s="882" t="s">
        <v>2026</v>
      </c>
      <c r="X75" s="1630">
        <v>41</v>
      </c>
      <c r="Y75" s="5151"/>
      <c r="Z75" s="5152"/>
      <c r="AA75" s="5534"/>
      <c r="AB75" s="5534"/>
      <c r="AC75" s="857"/>
      <c r="AD75" s="523"/>
      <c r="AE75" s="857"/>
    </row>
    <row r="76" spans="1:31" ht="9.75" customHeight="1">
      <c r="A76" s="857"/>
      <c r="B76" s="423"/>
      <c r="C76" s="423"/>
      <c r="D76" s="423"/>
      <c r="E76" s="423"/>
      <c r="F76" s="423"/>
      <c r="G76" s="423"/>
      <c r="H76" s="423"/>
      <c r="I76" s="423"/>
      <c r="J76" s="423"/>
      <c r="K76" s="423"/>
      <c r="L76" s="423"/>
      <c r="M76" s="423"/>
      <c r="N76" s="423"/>
      <c r="O76" s="423"/>
      <c r="P76" s="423"/>
      <c r="Q76" s="423"/>
      <c r="R76" s="423"/>
      <c r="S76" s="423"/>
      <c r="T76" s="423"/>
      <c r="U76" s="423"/>
      <c r="V76" s="423"/>
      <c r="W76" s="423"/>
      <c r="X76" s="2961"/>
      <c r="Y76" s="423"/>
      <c r="Z76" s="423"/>
      <c r="AA76" s="423"/>
      <c r="AB76" s="423"/>
      <c r="AC76" s="857"/>
      <c r="AD76" s="523"/>
      <c r="AE76" s="857"/>
    </row>
    <row r="77" spans="1:31" ht="14.25" customHeight="1">
      <c r="A77" s="857"/>
      <c r="B77" s="265">
        <v>42</v>
      </c>
      <c r="C77" s="225" t="s">
        <v>1904</v>
      </c>
      <c r="D77" s="225"/>
      <c r="E77" s="234"/>
      <c r="F77" s="234"/>
      <c r="G77" s="234"/>
      <c r="H77" s="234"/>
      <c r="I77" s="234"/>
      <c r="J77" s="234"/>
      <c r="K77" s="234"/>
      <c r="L77" s="234"/>
      <c r="M77" s="234"/>
      <c r="N77" s="234"/>
      <c r="O77" s="234"/>
      <c r="P77" s="234"/>
      <c r="Q77" s="234"/>
      <c r="R77" s="234"/>
      <c r="S77" s="234"/>
      <c r="T77" s="234"/>
      <c r="U77" s="234"/>
      <c r="V77" s="234"/>
      <c r="W77" s="882" t="s">
        <v>2023</v>
      </c>
      <c r="X77" s="1630">
        <v>42</v>
      </c>
      <c r="Y77" s="5151"/>
      <c r="Z77" s="5152"/>
      <c r="AA77" s="5534"/>
      <c r="AB77" s="5534"/>
      <c r="AC77" s="857"/>
      <c r="AD77" s="523"/>
      <c r="AE77" s="857"/>
    </row>
    <row r="78" spans="1:31" ht="9.75" customHeight="1">
      <c r="A78" s="857"/>
      <c r="B78" s="423"/>
      <c r="C78" s="423"/>
      <c r="D78" s="423"/>
      <c r="E78" s="423"/>
      <c r="F78" s="423"/>
      <c r="G78" s="423"/>
      <c r="H78" s="423"/>
      <c r="I78" s="423"/>
      <c r="J78" s="423"/>
      <c r="K78" s="423"/>
      <c r="L78" s="423"/>
      <c r="M78" s="423"/>
      <c r="N78" s="423"/>
      <c r="O78" s="423"/>
      <c r="P78" s="423"/>
      <c r="Q78" s="423"/>
      <c r="R78" s="423"/>
      <c r="S78" s="423"/>
      <c r="T78" s="423"/>
      <c r="U78" s="423"/>
      <c r="V78" s="423"/>
      <c r="W78" s="423"/>
      <c r="X78" s="2961"/>
      <c r="Y78" s="423"/>
      <c r="Z78" s="423"/>
      <c r="AA78" s="423"/>
      <c r="AB78" s="423"/>
      <c r="AC78" s="857"/>
      <c r="AD78" s="523"/>
      <c r="AE78" s="857"/>
    </row>
    <row r="79" spans="1:31" ht="14.25" customHeight="1">
      <c r="A79" s="857"/>
      <c r="B79" s="265">
        <v>43</v>
      </c>
      <c r="C79" s="225" t="s">
        <v>1958</v>
      </c>
      <c r="D79" s="225"/>
      <c r="E79" s="234"/>
      <c r="F79" s="234"/>
      <c r="G79" s="234"/>
      <c r="H79" s="234"/>
      <c r="I79" s="234"/>
      <c r="J79" s="234"/>
      <c r="K79" s="234"/>
      <c r="L79" s="234"/>
      <c r="M79" s="234"/>
      <c r="N79" s="234"/>
      <c r="O79" s="234"/>
      <c r="P79" s="234"/>
      <c r="Q79" s="234"/>
      <c r="R79" s="234"/>
      <c r="S79" s="234"/>
      <c r="T79" s="234"/>
      <c r="U79" s="234"/>
      <c r="V79" s="234"/>
      <c r="W79" s="882" t="s">
        <v>2025</v>
      </c>
      <c r="X79" s="1630">
        <v>43</v>
      </c>
      <c r="Y79" s="5151"/>
      <c r="Z79" s="5152"/>
      <c r="AA79" s="5534"/>
      <c r="AB79" s="5534"/>
      <c r="AC79" s="857"/>
      <c r="AD79" s="523"/>
      <c r="AE79" s="857"/>
    </row>
    <row r="80" spans="1:31" ht="9.75" customHeight="1">
      <c r="A80" s="857"/>
      <c r="B80" s="423"/>
      <c r="C80" s="423"/>
      <c r="D80" s="423"/>
      <c r="E80" s="423"/>
      <c r="F80" s="423"/>
      <c r="G80" s="423"/>
      <c r="H80" s="423"/>
      <c r="I80" s="423"/>
      <c r="J80" s="423"/>
      <c r="K80" s="423"/>
      <c r="L80" s="423"/>
      <c r="M80" s="423"/>
      <c r="N80" s="423"/>
      <c r="O80" s="423"/>
      <c r="P80" s="423"/>
      <c r="Q80" s="423"/>
      <c r="R80" s="423"/>
      <c r="S80" s="423"/>
      <c r="T80" s="423"/>
      <c r="U80" s="423"/>
      <c r="V80" s="423"/>
      <c r="W80" s="423"/>
      <c r="X80" s="2961"/>
      <c r="Y80" s="2964"/>
      <c r="Z80" s="2945"/>
      <c r="AA80" s="2945"/>
      <c r="AB80" s="2945"/>
      <c r="AC80" s="857"/>
      <c r="AD80" s="523"/>
      <c r="AE80" s="857"/>
    </row>
    <row r="81" spans="1:31" ht="14.25" customHeight="1">
      <c r="A81" s="857"/>
      <c r="B81" s="265">
        <v>44</v>
      </c>
      <c r="C81" s="225" t="s">
        <v>1959</v>
      </c>
      <c r="D81" s="225"/>
      <c r="E81" s="234"/>
      <c r="F81" s="234"/>
      <c r="G81" s="234"/>
      <c r="H81" s="234"/>
      <c r="I81" s="234"/>
      <c r="J81" s="234"/>
      <c r="K81" s="234"/>
      <c r="L81" s="234"/>
      <c r="M81" s="234"/>
      <c r="N81" s="234"/>
      <c r="O81" s="234"/>
      <c r="P81" s="234"/>
      <c r="Q81" s="234"/>
      <c r="R81" s="234"/>
      <c r="S81" s="234"/>
      <c r="T81" s="234"/>
      <c r="U81" s="234"/>
      <c r="V81" s="234"/>
      <c r="W81" s="882" t="s">
        <v>2024</v>
      </c>
      <c r="X81" s="1630">
        <v>44</v>
      </c>
      <c r="Y81" s="5121">
        <f>IF(AD81&lt;&gt;"",AD81,ROUND(SUM(Y64,Y66,Y68,Y71,Y73,Y75,Y77,Y79),0))</f>
        <v>0</v>
      </c>
      <c r="Z81" s="5177"/>
      <c r="AA81" s="5535"/>
      <c r="AB81" s="5535"/>
      <c r="AC81" s="857"/>
      <c r="AD81" s="845"/>
      <c r="AE81" s="857"/>
    </row>
    <row r="82" spans="1:31" ht="9.75" customHeight="1">
      <c r="A82" s="857"/>
      <c r="B82" s="423"/>
      <c r="C82" s="423"/>
      <c r="D82" s="423"/>
      <c r="E82" s="423"/>
      <c r="F82" s="423"/>
      <c r="G82" s="423"/>
      <c r="H82" s="423"/>
      <c r="I82" s="423"/>
      <c r="J82" s="423"/>
      <c r="K82" s="423"/>
      <c r="L82" s="423"/>
      <c r="M82" s="423"/>
      <c r="N82" s="423"/>
      <c r="O82" s="423"/>
      <c r="P82" s="423"/>
      <c r="Q82" s="423"/>
      <c r="R82" s="423"/>
      <c r="S82" s="423"/>
      <c r="T82" s="423"/>
      <c r="U82" s="423"/>
      <c r="V82" s="423"/>
      <c r="W82" s="423"/>
      <c r="X82" s="2962"/>
      <c r="Y82" s="423"/>
      <c r="Z82" s="423"/>
      <c r="AA82" s="423"/>
      <c r="AB82" s="423"/>
      <c r="AC82" s="857"/>
      <c r="AD82" s="523"/>
      <c r="AE82" s="857"/>
    </row>
    <row r="83" spans="1:31" ht="14.25" customHeight="1">
      <c r="A83" s="857"/>
      <c r="B83" s="265">
        <v>45</v>
      </c>
      <c r="C83" s="225" t="s">
        <v>1960</v>
      </c>
      <c r="D83" s="225"/>
      <c r="E83" s="234"/>
      <c r="F83" s="234"/>
      <c r="G83" s="234"/>
      <c r="H83" s="234"/>
      <c r="I83" s="234"/>
      <c r="J83" s="234"/>
      <c r="K83" s="234"/>
      <c r="L83" s="234"/>
      <c r="M83" s="234"/>
      <c r="N83" s="234"/>
      <c r="O83" s="234"/>
      <c r="P83" s="234"/>
      <c r="Q83" s="234"/>
      <c r="R83" s="234"/>
      <c r="S83" s="882"/>
      <c r="T83" s="2937"/>
      <c r="U83" s="2937"/>
      <c r="V83" s="2938"/>
      <c r="W83" s="2938"/>
      <c r="X83" s="2963"/>
      <c r="Y83" s="423"/>
      <c r="Z83" s="423"/>
      <c r="AA83" s="423"/>
      <c r="AB83" s="423"/>
      <c r="AC83" s="857"/>
      <c r="AD83" s="523"/>
      <c r="AE83" s="857"/>
    </row>
    <row r="84" spans="1:31" ht="12.75" customHeight="1">
      <c r="A84" s="857"/>
      <c r="B84" s="265"/>
      <c r="C84" s="250" t="s">
        <v>1961</v>
      </c>
      <c r="D84" s="250"/>
      <c r="E84" s="250"/>
      <c r="F84" s="250"/>
      <c r="G84" s="250"/>
      <c r="H84" s="250"/>
      <c r="I84" s="250"/>
      <c r="J84" s="250"/>
      <c r="K84" s="250"/>
      <c r="L84" s="250"/>
      <c r="M84" s="250"/>
      <c r="N84" s="250"/>
      <c r="O84" s="250"/>
      <c r="P84" s="250"/>
      <c r="Q84" s="250"/>
      <c r="R84" s="2965" t="s">
        <v>12</v>
      </c>
      <c r="S84" s="2967">
        <v>45</v>
      </c>
      <c r="T84" s="5152"/>
      <c r="U84" s="5152"/>
      <c r="V84" s="5534"/>
      <c r="W84" s="5534"/>
      <c r="X84" s="2963"/>
      <c r="Y84" s="423"/>
      <c r="Z84" s="423"/>
      <c r="AA84" s="423"/>
      <c r="AB84" s="423"/>
      <c r="AC84" s="857"/>
      <c r="AD84" s="523"/>
      <c r="AE84" s="857"/>
    </row>
    <row r="85" spans="1:31" ht="14.25" customHeight="1">
      <c r="A85" s="857"/>
      <c r="B85" s="265">
        <v>46</v>
      </c>
      <c r="C85" s="225" t="s">
        <v>1962</v>
      </c>
      <c r="D85" s="225"/>
      <c r="E85" s="234"/>
      <c r="F85" s="234"/>
      <c r="G85" s="234"/>
      <c r="H85" s="234"/>
      <c r="I85" s="234"/>
      <c r="J85" s="234"/>
      <c r="K85" s="234"/>
      <c r="L85" s="234"/>
      <c r="M85" s="234"/>
      <c r="N85" s="234"/>
      <c r="O85" s="234"/>
      <c r="P85" s="234"/>
      <c r="Q85" s="234"/>
      <c r="R85" s="234"/>
      <c r="S85" s="2966"/>
      <c r="T85" s="2937"/>
      <c r="U85" s="2937"/>
      <c r="V85" s="2938"/>
      <c r="W85" s="2938"/>
      <c r="X85" s="2963"/>
      <c r="Y85" s="423"/>
      <c r="Z85" s="423"/>
      <c r="AA85" s="423"/>
      <c r="AB85" s="423"/>
      <c r="AC85" s="857"/>
      <c r="AD85" s="523"/>
      <c r="AE85" s="857"/>
    </row>
    <row r="86" spans="1:31" ht="12.75" customHeight="1">
      <c r="A86" s="857"/>
      <c r="B86" s="265"/>
      <c r="C86" s="1490" t="s">
        <v>1963</v>
      </c>
      <c r="D86" s="1490"/>
      <c r="E86" s="250"/>
      <c r="F86" s="250"/>
      <c r="G86" s="250"/>
      <c r="H86" s="250"/>
      <c r="I86" s="250"/>
      <c r="J86" s="250"/>
      <c r="K86" s="250"/>
      <c r="L86" s="250"/>
      <c r="M86" s="250"/>
      <c r="N86" s="250"/>
      <c r="O86" s="250"/>
      <c r="P86" s="250"/>
      <c r="Q86" s="250"/>
      <c r="R86" s="2965" t="s">
        <v>1964</v>
      </c>
      <c r="S86" s="2967">
        <v>46</v>
      </c>
      <c r="T86" s="5152"/>
      <c r="U86" s="5152"/>
      <c r="V86" s="5534"/>
      <c r="W86" s="5534"/>
      <c r="X86" s="2963"/>
      <c r="Y86" s="423"/>
      <c r="Z86" s="423"/>
      <c r="AA86" s="423"/>
      <c r="AB86" s="423"/>
      <c r="AC86" s="857"/>
      <c r="AD86" s="523"/>
      <c r="AE86" s="857"/>
    </row>
    <row r="87" spans="1:31" ht="14.25" customHeight="1">
      <c r="A87" s="857"/>
      <c r="B87" s="265"/>
      <c r="C87" s="265"/>
      <c r="D87" s="225"/>
      <c r="E87" s="234"/>
      <c r="F87" s="234"/>
      <c r="G87" s="234"/>
      <c r="H87" s="234"/>
      <c r="I87" s="234"/>
      <c r="J87" s="234"/>
      <c r="K87" s="234"/>
      <c r="L87" s="234"/>
      <c r="M87" s="234"/>
      <c r="N87" s="234"/>
      <c r="O87" s="234"/>
      <c r="P87" s="234"/>
      <c r="Q87" s="234"/>
      <c r="R87" s="234"/>
      <c r="S87" s="2966"/>
      <c r="T87" s="2937"/>
      <c r="U87" s="2937"/>
      <c r="V87" s="2938"/>
      <c r="W87" s="2938"/>
      <c r="X87" s="2963"/>
      <c r="Y87" s="423"/>
      <c r="Z87" s="423"/>
      <c r="AA87" s="423"/>
      <c r="AB87" s="423"/>
      <c r="AC87" s="857"/>
      <c r="AD87" s="523"/>
      <c r="AE87" s="857"/>
    </row>
    <row r="88" spans="1:31" ht="12.75" customHeight="1">
      <c r="A88" s="857"/>
      <c r="B88" s="265">
        <v>47</v>
      </c>
      <c r="C88" s="1490" t="s">
        <v>1965</v>
      </c>
      <c r="D88" s="1490"/>
      <c r="E88" s="250"/>
      <c r="F88" s="250"/>
      <c r="G88" s="250"/>
      <c r="H88" s="250"/>
      <c r="I88" s="250"/>
      <c r="J88" s="250"/>
      <c r="K88" s="250"/>
      <c r="L88" s="250"/>
      <c r="M88" s="250"/>
      <c r="N88" s="250"/>
      <c r="O88" s="250"/>
      <c r="P88" s="250"/>
      <c r="Q88" s="250"/>
      <c r="R88" s="2965" t="s">
        <v>2062</v>
      </c>
      <c r="S88" s="2967">
        <v>47</v>
      </c>
      <c r="T88" s="5121">
        <f>ROUND(SUM(T84,T86),0)</f>
        <v>0</v>
      </c>
      <c r="U88" s="5177"/>
      <c r="V88" s="5535"/>
      <c r="W88" s="5535"/>
      <c r="X88" s="2963"/>
      <c r="Y88" s="423"/>
      <c r="Z88" s="423"/>
      <c r="AA88" s="423"/>
      <c r="AB88" s="423"/>
      <c r="AC88" s="857"/>
      <c r="AD88" s="523"/>
      <c r="AE88" s="857"/>
    </row>
    <row r="89" spans="1:31" ht="14.25" customHeight="1">
      <c r="A89" s="857"/>
      <c r="B89" s="265"/>
      <c r="C89" s="265"/>
      <c r="D89" s="225"/>
      <c r="E89" s="234"/>
      <c r="F89" s="234"/>
      <c r="G89" s="234"/>
      <c r="H89" s="234"/>
      <c r="I89" s="234"/>
      <c r="J89" s="234"/>
      <c r="K89" s="234"/>
      <c r="L89" s="234"/>
      <c r="M89" s="234"/>
      <c r="N89" s="234"/>
      <c r="O89" s="234"/>
      <c r="P89" s="234"/>
      <c r="Q89" s="234"/>
      <c r="R89" s="234"/>
      <c r="S89" s="2966"/>
      <c r="T89" s="2937"/>
      <c r="U89" s="2937"/>
      <c r="V89" s="2938"/>
      <c r="W89" s="2938"/>
      <c r="X89" s="2963"/>
      <c r="Y89" s="423"/>
      <c r="Z89" s="423"/>
      <c r="AA89" s="423"/>
      <c r="AB89" s="423"/>
      <c r="AC89" s="857"/>
      <c r="AD89" s="523"/>
      <c r="AE89" s="857"/>
    </row>
    <row r="90" spans="1:31" ht="12.75" customHeight="1">
      <c r="A90" s="857"/>
      <c r="B90" s="265">
        <v>48</v>
      </c>
      <c r="C90" s="1490" t="s">
        <v>1966</v>
      </c>
      <c r="D90" s="1490"/>
      <c r="E90" s="250"/>
      <c r="F90" s="250"/>
      <c r="G90" s="250"/>
      <c r="H90" s="250"/>
      <c r="I90" s="250"/>
      <c r="J90" s="250"/>
      <c r="K90" s="250"/>
      <c r="L90" s="250"/>
      <c r="M90" s="250"/>
      <c r="N90" s="250"/>
      <c r="O90" s="250"/>
      <c r="P90" s="250"/>
      <c r="Q90" s="250"/>
      <c r="R90" s="2965" t="s">
        <v>716</v>
      </c>
      <c r="S90" s="2967">
        <v>48</v>
      </c>
      <c r="T90" s="5152"/>
      <c r="U90" s="5152"/>
      <c r="V90" s="5534"/>
      <c r="W90" s="5534"/>
      <c r="X90" s="2963"/>
      <c r="Y90" s="423"/>
      <c r="Z90" s="423"/>
      <c r="AA90" s="423"/>
      <c r="AB90" s="423"/>
      <c r="AC90" s="857"/>
      <c r="AD90" s="523"/>
      <c r="AE90" s="857"/>
    </row>
    <row r="91" spans="1:31" ht="9.75" customHeight="1">
      <c r="A91" s="857"/>
      <c r="B91" s="423"/>
      <c r="C91" s="423"/>
      <c r="D91" s="423"/>
      <c r="E91" s="423"/>
      <c r="F91" s="423"/>
      <c r="G91" s="423"/>
      <c r="H91" s="423"/>
      <c r="I91" s="423"/>
      <c r="J91" s="423"/>
      <c r="K91" s="423"/>
      <c r="L91" s="423"/>
      <c r="M91" s="423"/>
      <c r="N91" s="423"/>
      <c r="O91" s="423"/>
      <c r="P91" s="423"/>
      <c r="Q91" s="423"/>
      <c r="R91" s="423"/>
      <c r="S91" s="423"/>
      <c r="T91" s="423"/>
      <c r="U91" s="423"/>
      <c r="V91" s="423"/>
      <c r="W91" s="423"/>
      <c r="X91" s="2961"/>
      <c r="Y91" s="423"/>
      <c r="Z91" s="423"/>
      <c r="AA91" s="423"/>
      <c r="AB91" s="423"/>
      <c r="AC91" s="857"/>
      <c r="AD91" s="523"/>
      <c r="AE91" s="857"/>
    </row>
    <row r="92" spans="1:31" ht="14.25" customHeight="1">
      <c r="A92" s="857"/>
      <c r="B92" s="265">
        <v>49</v>
      </c>
      <c r="C92" s="225" t="s">
        <v>1967</v>
      </c>
      <c r="D92" s="225"/>
      <c r="E92" s="234"/>
      <c r="F92" s="234"/>
      <c r="G92" s="234"/>
      <c r="H92" s="234"/>
      <c r="I92" s="234"/>
      <c r="J92" s="234"/>
      <c r="K92" s="234"/>
      <c r="L92" s="234"/>
      <c r="M92" s="234"/>
      <c r="N92" s="234"/>
      <c r="O92" s="234"/>
      <c r="P92" s="234"/>
      <c r="Q92" s="234"/>
      <c r="R92" s="234"/>
      <c r="S92" s="234"/>
      <c r="T92" s="234"/>
      <c r="U92" s="234"/>
      <c r="V92" s="234"/>
      <c r="W92" s="2965" t="s">
        <v>1666</v>
      </c>
      <c r="X92" s="1630">
        <v>49</v>
      </c>
      <c r="Y92" s="5121">
        <f>SUM(T88,-T90)</f>
        <v>0</v>
      </c>
      <c r="Z92" s="5177"/>
      <c r="AA92" s="5535"/>
      <c r="AB92" s="5535"/>
      <c r="AC92" s="857"/>
      <c r="AD92" s="523"/>
      <c r="AE92" s="857"/>
    </row>
    <row r="93" spans="1:31" ht="9.75" customHeight="1">
      <c r="A93" s="857"/>
      <c r="B93" s="423"/>
      <c r="C93" s="423"/>
      <c r="D93" s="423"/>
      <c r="E93" s="423"/>
      <c r="F93" s="423"/>
      <c r="G93" s="423"/>
      <c r="H93" s="423"/>
      <c r="I93" s="423"/>
      <c r="J93" s="423"/>
      <c r="K93" s="423"/>
      <c r="L93" s="423"/>
      <c r="M93" s="423"/>
      <c r="N93" s="423"/>
      <c r="O93" s="423"/>
      <c r="P93" s="423"/>
      <c r="Q93" s="423"/>
      <c r="R93" s="423"/>
      <c r="S93" s="423"/>
      <c r="T93" s="423"/>
      <c r="U93" s="423"/>
      <c r="V93" s="423"/>
      <c r="W93" s="423"/>
      <c r="X93" s="2961"/>
      <c r="Y93" s="5594" t="b">
        <f>IF(OR(Y81&lt;&gt;0,T88&lt;&gt;0,Y92&lt;&gt;0),TRUE,FALSE)</f>
        <v>0</v>
      </c>
      <c r="Z93" s="5595"/>
      <c r="AA93" s="5595"/>
      <c r="AB93" s="5595"/>
      <c r="AC93" s="857"/>
      <c r="AD93" s="523"/>
      <c r="AE93" s="857"/>
    </row>
    <row r="94" spans="1:31" ht="14.25" customHeight="1">
      <c r="A94" s="857"/>
      <c r="B94" s="504">
        <v>50</v>
      </c>
      <c r="C94" s="323" t="s">
        <v>1968</v>
      </c>
      <c r="D94" s="323"/>
      <c r="E94" s="236"/>
      <c r="F94" s="236"/>
      <c r="G94" s="236"/>
      <c r="H94" s="236"/>
      <c r="I94" s="236"/>
      <c r="J94" s="236"/>
      <c r="K94" s="236"/>
      <c r="L94" s="236"/>
      <c r="M94" s="236"/>
      <c r="N94" s="236"/>
      <c r="O94" s="236"/>
      <c r="P94" s="236"/>
      <c r="Q94" s="236"/>
      <c r="R94" s="236"/>
      <c r="S94" s="236"/>
      <c r="T94" s="236"/>
      <c r="U94" s="236"/>
      <c r="V94" s="236"/>
      <c r="W94" s="2993" t="s">
        <v>2029</v>
      </c>
      <c r="X94" s="1630">
        <v>50</v>
      </c>
      <c r="Y94" s="5121">
        <f>IF(AD94&lt;&gt;"",AD94,SUM(Y81,-Y92))</f>
        <v>0</v>
      </c>
      <c r="Z94" s="5177"/>
      <c r="AA94" s="5535"/>
      <c r="AB94" s="5535"/>
      <c r="AC94" s="857"/>
      <c r="AD94" s="845"/>
      <c r="AE94" s="857"/>
    </row>
    <row r="95" spans="1:31">
      <c r="A95" s="857"/>
      <c r="B95" s="2922" t="s">
        <v>1969</v>
      </c>
      <c r="C95" s="507"/>
      <c r="D95" s="1490"/>
      <c r="E95" s="250"/>
      <c r="F95" s="250"/>
      <c r="G95" s="250"/>
      <c r="H95" s="250"/>
      <c r="I95" s="250"/>
      <c r="J95" s="250"/>
      <c r="K95" s="250"/>
      <c r="L95" s="250"/>
      <c r="M95" s="250"/>
      <c r="N95" s="250"/>
      <c r="O95" s="250"/>
      <c r="P95" s="250"/>
      <c r="Q95" s="250"/>
      <c r="R95" s="250"/>
      <c r="S95" s="250"/>
      <c r="T95" s="250"/>
      <c r="U95" s="250"/>
      <c r="V95" s="250"/>
      <c r="W95" s="250"/>
      <c r="X95" s="2953"/>
      <c r="Y95" s="2953"/>
      <c r="Z95" s="2953"/>
      <c r="AA95" s="2953"/>
      <c r="AB95" s="2953"/>
      <c r="AC95" s="857"/>
      <c r="AD95" s="523"/>
      <c r="AE95" s="857"/>
    </row>
    <row r="96" spans="1:31" ht="12.75" customHeight="1" thickBot="1">
      <c r="A96" s="857"/>
      <c r="B96" s="555" t="s">
        <v>1970</v>
      </c>
      <c r="C96" s="2988"/>
      <c r="D96" s="2979"/>
      <c r="E96" s="2979"/>
      <c r="F96" s="2979"/>
      <c r="G96" s="2979"/>
      <c r="H96" s="2979"/>
      <c r="I96" s="2979"/>
      <c r="J96" s="2979"/>
      <c r="K96" s="2979"/>
      <c r="L96" s="2979"/>
      <c r="M96" s="2979"/>
      <c r="N96" s="2979"/>
      <c r="O96" s="2979"/>
      <c r="P96" s="2979"/>
      <c r="Q96" s="2979"/>
      <c r="R96" s="2979"/>
      <c r="S96" s="2979"/>
      <c r="T96" s="2979"/>
      <c r="U96" s="2979"/>
      <c r="V96" s="2979"/>
      <c r="W96" s="2979"/>
      <c r="X96" s="2989"/>
      <c r="Y96" s="2989"/>
      <c r="Z96" s="2989"/>
      <c r="AA96" s="2989"/>
      <c r="AB96" s="2989"/>
      <c r="AC96" s="857"/>
      <c r="AD96" s="523"/>
      <c r="AE96" s="857"/>
    </row>
    <row r="97" spans="1:31" ht="12.75" customHeight="1" thickTop="1">
      <c r="A97" s="857"/>
      <c r="B97" s="5523" t="s">
        <v>756</v>
      </c>
      <c r="C97" s="5596"/>
      <c r="D97" s="2990" t="s">
        <v>1973</v>
      </c>
      <c r="E97" s="2983"/>
      <c r="F97" s="2983"/>
      <c r="G97" s="2983"/>
      <c r="H97" s="2983"/>
      <c r="I97" s="2983"/>
      <c r="J97" s="2983"/>
      <c r="K97" s="2983"/>
      <c r="L97" s="2983"/>
      <c r="M97" s="2983"/>
      <c r="N97" s="2983"/>
      <c r="O97" s="2983"/>
      <c r="P97" s="2983"/>
      <c r="Q97" s="2983"/>
      <c r="R97" s="2983"/>
      <c r="S97" s="2983"/>
      <c r="T97" s="2983"/>
      <c r="U97" s="2983"/>
      <c r="V97" s="2983"/>
      <c r="W97" s="2983"/>
      <c r="X97" s="2983"/>
      <c r="Y97" s="2983"/>
      <c r="Z97" s="2983"/>
      <c r="AA97" s="2983"/>
      <c r="AB97" s="2983"/>
      <c r="AC97" s="857"/>
      <c r="AD97" s="523"/>
      <c r="AE97" s="857"/>
    </row>
    <row r="98" spans="1:31" ht="12.75" customHeight="1">
      <c r="A98" s="857"/>
      <c r="B98" s="265"/>
      <c r="C98" s="265"/>
      <c r="D98" s="2972" t="s">
        <v>1974</v>
      </c>
      <c r="E98" s="2968"/>
      <c r="F98" s="423"/>
      <c r="G98" s="423"/>
      <c r="H98" s="423"/>
      <c r="I98" s="423"/>
      <c r="J98" s="423"/>
      <c r="K98" s="423"/>
      <c r="L98" s="423"/>
      <c r="M98" s="423"/>
      <c r="N98" s="423"/>
      <c r="O98" s="5525">
        <v>111300</v>
      </c>
      <c r="P98" s="4773"/>
      <c r="Q98" s="4773"/>
      <c r="R98" s="225" t="s">
        <v>1994</v>
      </c>
      <c r="S98" s="423"/>
      <c r="T98" s="423"/>
      <c r="U98" s="423"/>
      <c r="V98" s="423"/>
      <c r="W98" s="423"/>
      <c r="X98" s="423"/>
      <c r="Y98" s="423"/>
      <c r="Z98" s="423"/>
      <c r="AA98" s="423"/>
      <c r="AB98" s="423"/>
      <c r="AC98" s="857"/>
      <c r="AD98" s="523"/>
      <c r="AE98" s="857"/>
    </row>
    <row r="99" spans="1:31" ht="12.75" customHeight="1">
      <c r="A99" s="857"/>
      <c r="B99" s="265"/>
      <c r="C99" s="265"/>
      <c r="D99" s="2972" t="s">
        <v>1975</v>
      </c>
      <c r="E99" s="2968"/>
      <c r="F99" s="423"/>
      <c r="G99" s="423"/>
      <c r="H99" s="423"/>
      <c r="I99" s="423"/>
      <c r="J99" s="423"/>
      <c r="K99" s="423"/>
      <c r="L99" s="423"/>
      <c r="M99" s="423"/>
      <c r="N99" s="423"/>
      <c r="O99" s="5525">
        <v>111400</v>
      </c>
      <c r="P99" s="4773"/>
      <c r="Q99" s="4773"/>
      <c r="R99" s="225" t="s">
        <v>1998</v>
      </c>
      <c r="S99" s="423"/>
      <c r="T99" s="423"/>
      <c r="U99" s="423"/>
      <c r="V99" s="423"/>
      <c r="W99" s="423"/>
      <c r="X99" s="423"/>
      <c r="Y99" s="423"/>
      <c r="Z99" s="423"/>
      <c r="AA99" s="423"/>
      <c r="AB99" s="423"/>
      <c r="AC99" s="857"/>
      <c r="AD99" s="523"/>
      <c r="AE99" s="857"/>
    </row>
    <row r="100" spans="1:31" ht="12.75" customHeight="1">
      <c r="A100" s="857"/>
      <c r="B100" s="265"/>
      <c r="C100" s="265"/>
      <c r="D100" s="2972" t="s">
        <v>1976</v>
      </c>
      <c r="E100" s="2968"/>
      <c r="F100" s="423"/>
      <c r="G100" s="423"/>
      <c r="H100" s="423"/>
      <c r="I100" s="423"/>
      <c r="J100" s="423"/>
      <c r="K100" s="423"/>
      <c r="L100" s="423"/>
      <c r="M100" s="423"/>
      <c r="N100" s="423"/>
      <c r="O100" s="5525">
        <v>111900</v>
      </c>
      <c r="P100" s="4773"/>
      <c r="Q100" s="4773"/>
      <c r="R100" s="225" t="s">
        <v>1999</v>
      </c>
      <c r="S100" s="423"/>
      <c r="T100" s="423"/>
      <c r="U100" s="423"/>
      <c r="V100" s="423"/>
      <c r="W100" s="423"/>
      <c r="X100" s="423"/>
      <c r="Y100" s="423"/>
      <c r="Z100" s="423"/>
      <c r="AA100" s="423"/>
      <c r="AB100" s="423"/>
      <c r="AC100" s="857"/>
      <c r="AD100" s="523"/>
      <c r="AE100" s="857"/>
    </row>
    <row r="101" spans="1:31" ht="12.75" customHeight="1">
      <c r="A101" s="857"/>
      <c r="B101" s="265"/>
      <c r="C101" s="265"/>
      <c r="D101" s="2972" t="s">
        <v>1977</v>
      </c>
      <c r="E101" s="2968"/>
      <c r="F101" s="423"/>
      <c r="G101" s="423"/>
      <c r="H101" s="423"/>
      <c r="I101" s="423"/>
      <c r="J101" s="423"/>
      <c r="K101" s="423"/>
      <c r="L101" s="423"/>
      <c r="M101" s="423"/>
      <c r="N101" s="423"/>
      <c r="O101" s="222" t="s">
        <v>1995</v>
      </c>
      <c r="P101" s="423"/>
      <c r="Q101" s="423"/>
      <c r="R101" s="423"/>
      <c r="S101" s="423"/>
      <c r="T101" s="423"/>
      <c r="U101" s="423"/>
      <c r="V101" s="423"/>
      <c r="W101" s="423"/>
      <c r="X101" s="423"/>
      <c r="Y101" s="423"/>
      <c r="Z101" s="423"/>
      <c r="AA101" s="423"/>
      <c r="AB101" s="423"/>
      <c r="AC101" s="857"/>
      <c r="AD101" s="523"/>
      <c r="AE101" s="857"/>
    </row>
    <row r="102" spans="1:31" ht="12.75" customHeight="1">
      <c r="A102" s="857"/>
      <c r="B102" s="2968" t="s">
        <v>1978</v>
      </c>
      <c r="C102" s="2968"/>
      <c r="D102" s="2968"/>
      <c r="E102" s="423"/>
      <c r="F102" s="423"/>
      <c r="G102" s="423"/>
      <c r="H102" s="423"/>
      <c r="I102" s="423"/>
      <c r="J102" s="423"/>
      <c r="K102" s="423"/>
      <c r="L102" s="423"/>
      <c r="M102" s="423"/>
      <c r="N102" s="423"/>
      <c r="O102" s="5525">
        <v>112111</v>
      </c>
      <c r="P102" s="4773"/>
      <c r="Q102" s="4773"/>
      <c r="R102" s="225" t="s">
        <v>2000</v>
      </c>
      <c r="S102" s="423"/>
      <c r="T102" s="423"/>
      <c r="U102" s="423"/>
      <c r="V102" s="423"/>
      <c r="W102" s="423"/>
      <c r="X102" s="423"/>
      <c r="Y102" s="423"/>
      <c r="Z102" s="423"/>
      <c r="AA102" s="423"/>
      <c r="AB102" s="423"/>
      <c r="AC102" s="857"/>
      <c r="AD102" s="523"/>
      <c r="AE102" s="857"/>
    </row>
    <row r="103" spans="1:31" ht="12.75" customHeight="1">
      <c r="A103" s="857"/>
      <c r="B103" s="2968" t="s">
        <v>1979</v>
      </c>
      <c r="C103" s="2968"/>
      <c r="D103" s="2968"/>
      <c r="E103" s="423"/>
      <c r="F103" s="423"/>
      <c r="G103" s="423"/>
      <c r="H103" s="423"/>
      <c r="I103" s="423"/>
      <c r="J103" s="423"/>
      <c r="K103" s="423"/>
      <c r="L103" s="423"/>
      <c r="M103" s="423"/>
      <c r="N103" s="423"/>
      <c r="O103" s="5525">
        <v>112112</v>
      </c>
      <c r="P103" s="4773"/>
      <c r="Q103" s="4773"/>
      <c r="R103" s="225" t="s">
        <v>2001</v>
      </c>
      <c r="S103" s="423"/>
      <c r="T103" s="423"/>
      <c r="U103" s="423"/>
      <c r="V103" s="423"/>
      <c r="W103" s="423"/>
      <c r="X103" s="423"/>
      <c r="Y103" s="423"/>
      <c r="Z103" s="423"/>
      <c r="AA103" s="423"/>
      <c r="AB103" s="423"/>
      <c r="AC103" s="857"/>
      <c r="AD103" s="523"/>
      <c r="AE103" s="857"/>
    </row>
    <row r="104" spans="1:31" ht="12.75" customHeight="1">
      <c r="A104" s="857"/>
      <c r="B104" s="2968" t="s">
        <v>1980</v>
      </c>
      <c r="C104" s="2968"/>
      <c r="D104" s="2968"/>
      <c r="E104" s="260"/>
      <c r="F104" s="281"/>
      <c r="G104" s="281"/>
      <c r="H104" s="281"/>
      <c r="I104" s="281"/>
      <c r="J104" s="281"/>
      <c r="K104" s="281"/>
      <c r="L104" s="281"/>
      <c r="M104" s="281"/>
      <c r="N104" s="281"/>
      <c r="O104" s="5525">
        <v>112120</v>
      </c>
      <c r="P104" s="4773"/>
      <c r="Q104" s="4773"/>
      <c r="R104" s="225" t="s">
        <v>2002</v>
      </c>
      <c r="S104" s="281"/>
      <c r="T104" s="281"/>
      <c r="U104" s="281"/>
      <c r="V104" s="281"/>
      <c r="W104" s="281"/>
      <c r="X104" s="281"/>
      <c r="Y104" s="281"/>
      <c r="Z104" s="281"/>
      <c r="AA104" s="281"/>
      <c r="AB104" s="281"/>
      <c r="AC104" s="857"/>
      <c r="AD104" s="523"/>
      <c r="AE104" s="857"/>
    </row>
    <row r="105" spans="1:31" ht="12.75" customHeight="1">
      <c r="A105" s="857"/>
      <c r="B105" s="2968" t="s">
        <v>1981</v>
      </c>
      <c r="C105" s="2968"/>
      <c r="D105" s="2968"/>
      <c r="E105" s="260"/>
      <c r="F105" s="281"/>
      <c r="G105" s="281"/>
      <c r="H105" s="281"/>
      <c r="I105" s="281"/>
      <c r="J105" s="281"/>
      <c r="K105" s="281"/>
      <c r="L105" s="281"/>
      <c r="M105" s="281"/>
      <c r="N105" s="281"/>
      <c r="O105" s="5525">
        <v>112210</v>
      </c>
      <c r="P105" s="4773"/>
      <c r="Q105" s="4773"/>
      <c r="R105" s="225" t="s">
        <v>2003</v>
      </c>
      <c r="S105" s="281"/>
      <c r="T105" s="281"/>
      <c r="U105" s="281"/>
      <c r="V105" s="281"/>
      <c r="W105" s="281"/>
      <c r="X105" s="281"/>
      <c r="Y105" s="281"/>
      <c r="Z105" s="281"/>
      <c r="AA105" s="281"/>
      <c r="AB105" s="281"/>
      <c r="AC105" s="857"/>
      <c r="AD105" s="523"/>
      <c r="AE105" s="857"/>
    </row>
    <row r="106" spans="1:31" ht="12.75" customHeight="1">
      <c r="A106" s="857"/>
      <c r="B106" s="2968" t="s">
        <v>1982</v>
      </c>
      <c r="C106" s="2968"/>
      <c r="D106" s="2968"/>
      <c r="E106" s="260"/>
      <c r="F106" s="281"/>
      <c r="G106" s="281"/>
      <c r="H106" s="281"/>
      <c r="I106" s="281"/>
      <c r="J106" s="281"/>
      <c r="K106" s="281"/>
      <c r="L106" s="281"/>
      <c r="M106" s="281"/>
      <c r="N106" s="281"/>
      <c r="O106" s="5525">
        <v>112300</v>
      </c>
      <c r="P106" s="4773"/>
      <c r="Q106" s="4773"/>
      <c r="R106" s="225" t="s">
        <v>2004</v>
      </c>
      <c r="S106" s="281"/>
      <c r="T106" s="281"/>
      <c r="U106" s="281"/>
      <c r="V106" s="281"/>
      <c r="W106" s="281"/>
      <c r="X106" s="281"/>
      <c r="Y106" s="281"/>
      <c r="Z106" s="281"/>
      <c r="AA106" s="281"/>
      <c r="AB106" s="281"/>
      <c r="AC106" s="857"/>
      <c r="AD106" s="523"/>
      <c r="AE106" s="857"/>
    </row>
    <row r="107" spans="1:31" ht="12.75" customHeight="1">
      <c r="A107" s="857"/>
      <c r="B107" s="2968" t="s">
        <v>1983</v>
      </c>
      <c r="C107" s="2968"/>
      <c r="D107" s="2968"/>
      <c r="E107" s="260"/>
      <c r="F107" s="281"/>
      <c r="G107" s="281"/>
      <c r="H107" s="281"/>
      <c r="I107" s="281"/>
      <c r="J107" s="281"/>
      <c r="K107" s="281"/>
      <c r="L107" s="281"/>
      <c r="M107" s="281"/>
      <c r="N107" s="281"/>
      <c r="O107" s="5525">
        <v>112400</v>
      </c>
      <c r="P107" s="4773"/>
      <c r="Q107" s="4773"/>
      <c r="R107" s="225" t="s">
        <v>2005</v>
      </c>
      <c r="S107" s="281"/>
      <c r="T107" s="281"/>
      <c r="U107" s="281"/>
      <c r="V107" s="281"/>
      <c r="W107" s="281"/>
      <c r="X107" s="281"/>
      <c r="Y107" s="281"/>
      <c r="Z107" s="281"/>
      <c r="AA107" s="281"/>
      <c r="AB107" s="281"/>
      <c r="AC107" s="857"/>
      <c r="AD107" s="523"/>
      <c r="AE107" s="857"/>
    </row>
    <row r="108" spans="1:31" ht="12.75" customHeight="1">
      <c r="A108" s="857"/>
      <c r="B108" s="2968" t="s">
        <v>1984</v>
      </c>
      <c r="C108" s="2968"/>
      <c r="D108" s="2968"/>
      <c r="E108" s="260"/>
      <c r="F108" s="281"/>
      <c r="G108" s="281"/>
      <c r="H108" s="281"/>
      <c r="I108" s="281"/>
      <c r="J108" s="281"/>
      <c r="K108" s="281"/>
      <c r="L108" s="281"/>
      <c r="M108" s="281"/>
      <c r="N108" s="281"/>
      <c r="O108" s="5525">
        <v>112510</v>
      </c>
      <c r="P108" s="4773"/>
      <c r="Q108" s="4773"/>
      <c r="R108" s="225" t="s">
        <v>2006</v>
      </c>
      <c r="S108" s="281"/>
      <c r="T108" s="281"/>
      <c r="U108" s="281"/>
      <c r="V108" s="281"/>
      <c r="W108" s="281"/>
      <c r="X108" s="281"/>
      <c r="Y108" s="281"/>
      <c r="Z108" s="281"/>
      <c r="AA108" s="281"/>
      <c r="AB108" s="281"/>
      <c r="AC108" s="857"/>
      <c r="AD108" s="523"/>
      <c r="AE108" s="857"/>
    </row>
    <row r="109" spans="1:31" ht="12.75" customHeight="1" thickBot="1">
      <c r="A109" s="857"/>
      <c r="B109" s="3599"/>
      <c r="C109" s="3599"/>
      <c r="D109" s="3599"/>
      <c r="E109" s="3600"/>
      <c r="F109" s="3601"/>
      <c r="G109" s="3601"/>
      <c r="H109" s="3601"/>
      <c r="I109" s="3601"/>
      <c r="J109" s="3601"/>
      <c r="K109" s="3601"/>
      <c r="L109" s="281"/>
      <c r="M109" s="281"/>
      <c r="N109" s="281"/>
      <c r="O109" s="5525">
        <v>112900</v>
      </c>
      <c r="P109" s="4773"/>
      <c r="Q109" s="4773"/>
      <c r="R109" s="225" t="s">
        <v>2007</v>
      </c>
      <c r="S109" s="281"/>
      <c r="T109" s="281"/>
      <c r="U109" s="281"/>
      <c r="V109" s="281"/>
      <c r="W109" s="281"/>
      <c r="X109" s="281"/>
      <c r="Y109" s="281"/>
      <c r="Z109" s="281"/>
      <c r="AA109" s="281"/>
      <c r="AB109" s="281"/>
      <c r="AC109" s="857"/>
      <c r="AD109" s="523"/>
      <c r="AE109" s="857"/>
    </row>
    <row r="110" spans="1:31" ht="12.75" customHeight="1" thickTop="1">
      <c r="A110" s="857"/>
      <c r="B110" s="3602" t="s">
        <v>1985</v>
      </c>
      <c r="C110" s="3602"/>
      <c r="D110" s="2968"/>
      <c r="E110" s="1490"/>
      <c r="F110" s="1490"/>
      <c r="G110" s="1490"/>
      <c r="H110" s="1490"/>
      <c r="I110" s="1490"/>
      <c r="J110" s="1490"/>
      <c r="K110" s="1490"/>
      <c r="L110" s="281"/>
      <c r="M110" s="281"/>
      <c r="N110" s="281"/>
      <c r="O110" s="222" t="s">
        <v>1996</v>
      </c>
      <c r="P110" s="281"/>
      <c r="Q110" s="281"/>
      <c r="R110" s="281"/>
      <c r="S110" s="281"/>
      <c r="T110" s="281"/>
      <c r="U110" s="281"/>
      <c r="V110" s="281"/>
      <c r="W110" s="281"/>
      <c r="X110" s="281"/>
      <c r="Y110" s="281"/>
      <c r="Z110" s="281"/>
      <c r="AA110" s="281"/>
      <c r="AB110" s="281"/>
      <c r="AC110" s="857"/>
      <c r="AD110" s="523"/>
      <c r="AE110" s="857"/>
    </row>
    <row r="111" spans="1:31" ht="12.75" customHeight="1">
      <c r="A111" s="857"/>
      <c r="B111" s="225" t="s">
        <v>1986</v>
      </c>
      <c r="C111" s="225"/>
      <c r="D111" s="2968"/>
      <c r="E111" s="1490"/>
      <c r="F111" s="1490"/>
      <c r="G111" s="1490"/>
      <c r="H111" s="1490"/>
      <c r="I111" s="1490"/>
      <c r="J111" s="1490"/>
      <c r="K111" s="1490"/>
      <c r="L111" s="281"/>
      <c r="M111" s="281"/>
      <c r="N111" s="281"/>
      <c r="O111" s="5525">
        <v>113000</v>
      </c>
      <c r="P111" s="4773"/>
      <c r="Q111" s="4773"/>
      <c r="R111" s="225" t="s">
        <v>2016</v>
      </c>
      <c r="S111" s="281"/>
      <c r="T111" s="281"/>
      <c r="U111" s="281"/>
      <c r="V111" s="281"/>
      <c r="W111" s="281"/>
      <c r="X111" s="281"/>
      <c r="Y111" s="281"/>
      <c r="Z111" s="281"/>
      <c r="AA111" s="281"/>
      <c r="AB111" s="281"/>
      <c r="AC111" s="857"/>
      <c r="AD111" s="523"/>
      <c r="AE111" s="857"/>
    </row>
    <row r="112" spans="1:31" ht="12.75" customHeight="1">
      <c r="A112" s="857"/>
      <c r="B112" s="225" t="s">
        <v>1987</v>
      </c>
      <c r="C112" s="225"/>
      <c r="D112" s="2968"/>
      <c r="E112" s="1490"/>
      <c r="F112" s="1490"/>
      <c r="G112" s="1490"/>
      <c r="H112" s="1490"/>
      <c r="I112" s="1490"/>
      <c r="J112" s="1490"/>
      <c r="K112" s="1490"/>
      <c r="L112" s="281"/>
      <c r="M112" s="281"/>
      <c r="N112" s="281"/>
      <c r="O112" s="281"/>
      <c r="P112" s="281"/>
      <c r="Q112" s="281"/>
      <c r="R112" s="225" t="s">
        <v>1997</v>
      </c>
      <c r="S112" s="281"/>
      <c r="T112" s="281"/>
      <c r="U112" s="281"/>
      <c r="V112" s="281"/>
      <c r="W112" s="281"/>
      <c r="X112" s="281"/>
      <c r="Y112" s="281"/>
      <c r="Z112" s="281"/>
      <c r="AA112" s="281"/>
      <c r="AB112" s="281"/>
      <c r="AC112" s="857"/>
      <c r="AD112" s="523"/>
      <c r="AE112" s="857"/>
    </row>
    <row r="113" spans="1:31" ht="12.75" customHeight="1">
      <c r="A113" s="857"/>
      <c r="B113" s="225" t="s">
        <v>1988</v>
      </c>
      <c r="C113" s="225"/>
      <c r="D113" s="2968"/>
      <c r="E113" s="1490"/>
      <c r="F113" s="1490"/>
      <c r="G113" s="1490"/>
      <c r="H113" s="1490"/>
      <c r="I113" s="1490"/>
      <c r="J113" s="1490"/>
      <c r="K113" s="1490"/>
      <c r="L113" s="281"/>
      <c r="M113" s="281"/>
      <c r="N113" s="281"/>
      <c r="O113" s="281"/>
      <c r="P113" s="281"/>
      <c r="Q113" s="281"/>
      <c r="R113" s="225"/>
      <c r="S113" s="281"/>
      <c r="T113" s="281"/>
      <c r="U113" s="281"/>
      <c r="V113" s="281"/>
      <c r="W113" s="281"/>
      <c r="X113" s="281"/>
      <c r="Y113" s="281"/>
      <c r="Z113" s="281"/>
      <c r="AA113" s="281"/>
      <c r="AB113" s="281"/>
      <c r="AC113" s="857"/>
      <c r="AD113" s="523"/>
      <c r="AE113" s="857"/>
    </row>
    <row r="114" spans="1:31" ht="12.75" customHeight="1">
      <c r="A114" s="857"/>
      <c r="B114" s="3602" t="s">
        <v>1989</v>
      </c>
      <c r="C114" s="3602"/>
      <c r="D114" s="2968"/>
      <c r="E114" s="1490"/>
      <c r="F114" s="1490"/>
      <c r="G114" s="1490"/>
      <c r="H114" s="1490"/>
      <c r="I114" s="1490"/>
      <c r="J114" s="1490"/>
      <c r="K114" s="1490"/>
      <c r="L114" s="281"/>
      <c r="M114" s="281"/>
      <c r="N114" s="281"/>
      <c r="O114" s="281"/>
      <c r="P114" s="281"/>
      <c r="Q114" s="281"/>
      <c r="R114" s="225"/>
      <c r="S114" s="281"/>
      <c r="T114" s="281"/>
      <c r="U114" s="281"/>
      <c r="V114" s="281"/>
      <c r="W114" s="281"/>
      <c r="X114" s="281"/>
      <c r="Y114" s="281"/>
      <c r="Z114" s="281"/>
      <c r="AA114" s="281"/>
      <c r="AB114" s="281"/>
      <c r="AC114" s="857"/>
      <c r="AD114" s="523"/>
      <c r="AE114" s="857"/>
    </row>
    <row r="115" spans="1:31" ht="12.75" customHeight="1">
      <c r="A115" s="857"/>
      <c r="B115" s="225" t="s">
        <v>1990</v>
      </c>
      <c r="C115" s="225"/>
      <c r="D115" s="2968"/>
      <c r="E115" s="1490"/>
      <c r="F115" s="1490"/>
      <c r="G115" s="1490"/>
      <c r="H115" s="1490"/>
      <c r="I115" s="1490"/>
      <c r="J115" s="1490"/>
      <c r="K115" s="1490"/>
      <c r="L115" s="281"/>
      <c r="M115" s="281"/>
      <c r="N115" s="281"/>
      <c r="O115" s="281"/>
      <c r="P115" s="281"/>
      <c r="Q115" s="281"/>
      <c r="R115" s="225"/>
      <c r="S115" s="281"/>
      <c r="T115" s="281"/>
      <c r="U115" s="281"/>
      <c r="V115" s="281"/>
      <c r="W115" s="281"/>
      <c r="X115" s="281"/>
      <c r="Y115" s="281"/>
      <c r="Z115" s="281"/>
      <c r="AA115" s="281"/>
      <c r="AB115" s="281"/>
      <c r="AC115" s="857"/>
      <c r="AD115" s="523"/>
      <c r="AE115" s="857"/>
    </row>
    <row r="116" spans="1:31" ht="12.75" customHeight="1">
      <c r="A116" s="857"/>
      <c r="B116" s="222" t="s">
        <v>1991</v>
      </c>
      <c r="C116" s="222"/>
      <c r="D116" s="2968"/>
      <c r="E116" s="1490"/>
      <c r="F116" s="1490"/>
      <c r="G116" s="1490"/>
      <c r="H116" s="1490"/>
      <c r="I116" s="1490"/>
      <c r="J116" s="1490"/>
      <c r="K116" s="1490"/>
      <c r="L116" s="281"/>
      <c r="M116" s="281"/>
      <c r="N116" s="281"/>
      <c r="O116" s="281"/>
      <c r="P116" s="281"/>
      <c r="Q116" s="281"/>
      <c r="R116" s="225"/>
      <c r="S116" s="281"/>
      <c r="T116" s="281"/>
      <c r="U116" s="281"/>
      <c r="V116" s="281"/>
      <c r="W116" s="281"/>
      <c r="X116" s="281"/>
      <c r="Y116" s="281"/>
      <c r="Z116" s="281"/>
      <c r="AA116" s="281"/>
      <c r="AB116" s="281"/>
      <c r="AC116" s="857"/>
      <c r="AD116" s="523"/>
      <c r="AE116" s="857"/>
    </row>
    <row r="117" spans="1:31" ht="12.75" customHeight="1">
      <c r="A117" s="857"/>
      <c r="B117" s="5593">
        <v>111100</v>
      </c>
      <c r="C117" s="4563"/>
      <c r="D117" s="225" t="s">
        <v>1992</v>
      </c>
      <c r="E117" s="260"/>
      <c r="F117" s="281"/>
      <c r="G117" s="281"/>
      <c r="H117" s="281"/>
      <c r="I117" s="281"/>
      <c r="J117" s="281"/>
      <c r="K117" s="281"/>
      <c r="L117" s="281"/>
      <c r="M117" s="281"/>
      <c r="N117" s="281"/>
      <c r="O117" s="281"/>
      <c r="P117" s="281"/>
      <c r="Q117" s="281"/>
      <c r="R117" s="225"/>
      <c r="S117" s="281"/>
      <c r="T117" s="281"/>
      <c r="U117" s="281"/>
      <c r="V117" s="281"/>
      <c r="W117" s="281"/>
      <c r="X117" s="281"/>
      <c r="Y117" s="281"/>
      <c r="Z117" s="281"/>
      <c r="AA117" s="281"/>
      <c r="AB117" s="281"/>
      <c r="AC117" s="857"/>
      <c r="AD117" s="523"/>
      <c r="AE117" s="857"/>
    </row>
    <row r="118" spans="1:31" ht="12.75" customHeight="1">
      <c r="A118" s="857"/>
      <c r="B118" s="5593">
        <v>111210</v>
      </c>
      <c r="C118" s="4563"/>
      <c r="D118" s="225" t="s">
        <v>1993</v>
      </c>
      <c r="E118" s="260"/>
      <c r="F118" s="281"/>
      <c r="G118" s="281"/>
      <c r="H118" s="281"/>
      <c r="I118" s="281"/>
      <c r="J118" s="281"/>
      <c r="K118" s="281"/>
      <c r="L118" s="281"/>
      <c r="M118" s="281"/>
      <c r="N118" s="281"/>
      <c r="O118" s="281"/>
      <c r="P118" s="281"/>
      <c r="Q118" s="281"/>
      <c r="R118" s="225"/>
      <c r="S118" s="281"/>
      <c r="T118" s="281"/>
      <c r="U118" s="281"/>
      <c r="V118" s="281"/>
      <c r="W118" s="281"/>
      <c r="X118" s="281"/>
      <c r="Y118" s="281"/>
      <c r="Z118" s="281"/>
      <c r="AA118" s="281"/>
      <c r="AB118" s="281"/>
      <c r="AC118" s="857"/>
      <c r="AD118" s="523"/>
      <c r="AE118" s="857"/>
    </row>
    <row r="119" spans="1:31" ht="4.5" customHeight="1" thickBot="1">
      <c r="A119" s="857"/>
      <c r="B119" s="274"/>
      <c r="C119" s="274"/>
      <c r="D119" s="1636"/>
      <c r="E119" s="287"/>
      <c r="F119" s="272"/>
      <c r="G119" s="272"/>
      <c r="H119" s="272"/>
      <c r="I119" s="272"/>
      <c r="J119" s="272"/>
      <c r="K119" s="272"/>
      <c r="L119" s="272"/>
      <c r="M119" s="272"/>
      <c r="N119" s="272"/>
      <c r="O119" s="272"/>
      <c r="P119" s="272"/>
      <c r="Q119" s="272"/>
      <c r="R119" s="272"/>
      <c r="S119" s="272"/>
      <c r="T119" s="272"/>
      <c r="U119" s="272"/>
      <c r="V119" s="272"/>
      <c r="W119" s="272"/>
      <c r="X119" s="272"/>
      <c r="Y119" s="272"/>
      <c r="Z119" s="272"/>
      <c r="AA119" s="272"/>
      <c r="AB119" s="272"/>
      <c r="AC119" s="857"/>
      <c r="AD119" s="523"/>
      <c r="AE119" s="857"/>
    </row>
    <row r="120" spans="1:31" ht="20.25" customHeight="1">
      <c r="A120" s="857"/>
      <c r="B120" s="511"/>
      <c r="C120" s="511"/>
      <c r="D120" s="511"/>
      <c r="E120" s="511"/>
      <c r="F120" s="511"/>
      <c r="G120" s="512"/>
      <c r="H120" s="512"/>
      <c r="I120" s="512"/>
      <c r="J120" s="512"/>
      <c r="K120" s="512"/>
      <c r="L120" s="512"/>
      <c r="M120" s="512"/>
      <c r="N120" s="513"/>
      <c r="O120" s="513"/>
      <c r="P120" s="513"/>
      <c r="Q120" s="513"/>
      <c r="R120" s="514"/>
      <c r="S120" s="2942"/>
      <c r="T120" s="513"/>
      <c r="U120" s="512"/>
      <c r="V120" s="512"/>
      <c r="W120" s="515"/>
      <c r="X120" s="512"/>
      <c r="Y120" s="512"/>
      <c r="Z120" s="514"/>
      <c r="AA120" s="516"/>
      <c r="AB120" s="516" t="str">
        <f>"Schedule F   (Form 1040)  "&amp;TaxYear</f>
        <v>Schedule F   (Form 1040)  2016</v>
      </c>
      <c r="AC120" s="857"/>
      <c r="AD120" s="523"/>
      <c r="AE120" s="857"/>
    </row>
    <row r="121" spans="1:31" ht="8.25" customHeight="1">
      <c r="A121" s="857"/>
      <c r="B121" s="937"/>
      <c r="C121" s="937"/>
      <c r="D121" s="937"/>
      <c r="E121" s="937"/>
      <c r="F121" s="937"/>
      <c r="G121" s="932"/>
      <c r="H121" s="932"/>
      <c r="I121" s="932"/>
      <c r="J121" s="932"/>
      <c r="K121" s="932"/>
      <c r="L121" s="932"/>
      <c r="M121" s="932"/>
      <c r="N121" s="938"/>
      <c r="O121" s="938"/>
      <c r="P121" s="938"/>
      <c r="Q121" s="938"/>
      <c r="R121" s="938"/>
      <c r="S121" s="938"/>
      <c r="T121" s="938"/>
      <c r="U121" s="932"/>
      <c r="V121" s="932"/>
      <c r="W121" s="939"/>
      <c r="X121" s="932"/>
      <c r="Y121" s="932"/>
      <c r="Z121" s="932"/>
      <c r="AA121" s="932"/>
      <c r="AB121" s="932"/>
      <c r="AC121" s="857"/>
      <c r="AD121" s="523"/>
      <c r="AE121" s="857"/>
    </row>
    <row r="122" spans="1:31">
      <c r="B122" s="15"/>
      <c r="C122" s="15"/>
      <c r="D122" s="16"/>
      <c r="E122" s="16"/>
      <c r="F122" s="16"/>
      <c r="G122" s="16"/>
      <c r="H122" s="16"/>
      <c r="I122" s="16"/>
      <c r="J122" s="16"/>
      <c r="K122" s="16"/>
      <c r="L122" s="16"/>
      <c r="M122" s="16"/>
      <c r="N122" s="17"/>
      <c r="O122" s="17"/>
      <c r="P122" s="17"/>
      <c r="Q122" s="17"/>
      <c r="R122" s="17"/>
      <c r="S122" s="17"/>
      <c r="T122" s="18"/>
      <c r="U122" s="16"/>
      <c r="V122" s="16"/>
      <c r="W122" s="14"/>
      <c r="X122" s="16"/>
      <c r="Y122" s="16"/>
      <c r="Z122" s="16"/>
      <c r="AA122" s="16"/>
      <c r="AB122" s="16"/>
    </row>
    <row r="123" spans="1:31" ht="13.5" thickBot="1">
      <c r="B123" s="15"/>
      <c r="C123" s="15"/>
      <c r="D123" s="16"/>
      <c r="E123" s="16"/>
      <c r="F123" s="16"/>
      <c r="G123" s="16"/>
      <c r="H123" s="16"/>
      <c r="I123" s="16"/>
      <c r="J123" s="16"/>
      <c r="K123" s="16"/>
      <c r="L123" s="16"/>
      <c r="M123" s="16"/>
      <c r="N123" s="17"/>
      <c r="O123" s="17"/>
      <c r="P123" s="17"/>
      <c r="Q123" s="17"/>
      <c r="R123" s="15"/>
      <c r="S123" s="15"/>
      <c r="T123" s="19"/>
      <c r="U123" s="16"/>
      <c r="V123" s="16"/>
      <c r="W123" s="14"/>
      <c r="X123" s="16"/>
      <c r="Y123" s="16"/>
      <c r="Z123" s="16"/>
      <c r="AA123" s="16"/>
      <c r="AB123" s="16"/>
    </row>
    <row r="124" spans="1:31" ht="14.25" thickTop="1" thickBot="1">
      <c r="B124" s="811"/>
      <c r="C124" s="811"/>
      <c r="D124" s="5169" t="s">
        <v>1971</v>
      </c>
      <c r="E124" s="5170"/>
      <c r="F124" s="5170"/>
      <c r="G124" s="5170"/>
      <c r="H124" s="5171"/>
      <c r="I124" s="812"/>
      <c r="J124" s="812"/>
      <c r="K124" s="812"/>
      <c r="L124" s="812"/>
      <c r="M124" s="812"/>
      <c r="N124" s="813"/>
      <c r="O124" s="813"/>
      <c r="P124" s="813"/>
      <c r="Q124" s="813"/>
      <c r="R124" s="811"/>
      <c r="S124" s="811"/>
      <c r="T124" s="814"/>
      <c r="U124" s="812"/>
      <c r="V124" s="812"/>
      <c r="W124" s="815"/>
      <c r="X124" s="812"/>
      <c r="Y124" s="812"/>
      <c r="Z124" s="812"/>
      <c r="AA124" s="812"/>
      <c r="AB124" s="812"/>
    </row>
    <row r="125" spans="1:31" ht="14.25" thickTop="1" thickBot="1">
      <c r="B125" s="811"/>
      <c r="C125" s="811"/>
      <c r="D125" s="812"/>
      <c r="E125" s="812"/>
      <c r="F125" s="812"/>
      <c r="G125" s="812"/>
      <c r="H125" s="812"/>
      <c r="I125" s="812"/>
      <c r="J125" s="812"/>
      <c r="K125" s="812"/>
      <c r="L125" s="812"/>
      <c r="M125" s="812"/>
      <c r="N125" s="813"/>
      <c r="O125" s="813"/>
      <c r="P125" s="813"/>
      <c r="Q125" s="813"/>
      <c r="R125" s="811"/>
      <c r="S125" s="811"/>
      <c r="T125" s="816"/>
      <c r="U125" s="812"/>
      <c r="V125" s="812"/>
      <c r="W125" s="815"/>
      <c r="X125" s="812"/>
      <c r="Y125" s="812"/>
      <c r="Z125" s="812"/>
      <c r="AA125" s="812"/>
      <c r="AB125" s="812"/>
    </row>
    <row r="126" spans="1:31" ht="27.75" customHeight="1" thickTop="1" thickBot="1">
      <c r="B126" s="811"/>
      <c r="C126" s="811"/>
      <c r="D126" s="5159" t="s">
        <v>1972</v>
      </c>
      <c r="E126" s="5160"/>
      <c r="F126" s="5160"/>
      <c r="G126" s="5160"/>
      <c r="H126" s="5161"/>
      <c r="I126" s="812"/>
      <c r="J126" s="812"/>
      <c r="K126" s="812"/>
      <c r="L126" s="812"/>
      <c r="M126" s="812"/>
      <c r="N126" s="813"/>
      <c r="O126" s="813"/>
      <c r="P126" s="813"/>
      <c r="Q126" s="813"/>
      <c r="R126" s="811"/>
      <c r="S126" s="811"/>
      <c r="T126" s="816"/>
      <c r="U126" s="812"/>
      <c r="V126" s="812"/>
      <c r="W126" s="815"/>
      <c r="X126" s="812"/>
      <c r="Y126" s="812"/>
      <c r="Z126" s="812"/>
      <c r="AA126" s="812"/>
      <c r="AB126" s="812"/>
    </row>
    <row r="127" spans="1:31" ht="13.5" thickTop="1"/>
  </sheetData>
  <sheetProtection password="F07E" sheet="1" objects="1" scenarios="1"/>
  <mergeCells count="143">
    <mergeCell ref="O102:Q102"/>
    <mergeCell ref="O103:Q103"/>
    <mergeCell ref="O104:Q104"/>
    <mergeCell ref="O105:Q105"/>
    <mergeCell ref="D126:H126"/>
    <mergeCell ref="D124:H124"/>
    <mergeCell ref="B117:C117"/>
    <mergeCell ref="B118:C118"/>
    <mergeCell ref="Y93:AB93"/>
    <mergeCell ref="B97:C97"/>
    <mergeCell ref="X4:AB4"/>
    <mergeCell ref="X5:AB7"/>
    <mergeCell ref="B9:S9"/>
    <mergeCell ref="T9:AB9"/>
    <mergeCell ref="Y54:AB54"/>
    <mergeCell ref="Y66:AB66"/>
    <mergeCell ref="Y68:AB68"/>
    <mergeCell ref="Y64:AB64"/>
    <mergeCell ref="M66:P66"/>
    <mergeCell ref="M68:P68"/>
    <mergeCell ref="N10:R10"/>
    <mergeCell ref="B11:F12"/>
    <mergeCell ref="H11:H12"/>
    <mergeCell ref="I11:I12"/>
    <mergeCell ref="J11:J12"/>
    <mergeCell ref="K11:K12"/>
    <mergeCell ref="L11:L12"/>
    <mergeCell ref="M11:M12"/>
    <mergeCell ref="B3:D4"/>
    <mergeCell ref="B6:D7"/>
    <mergeCell ref="Y11:Y12"/>
    <mergeCell ref="Z11:Z12"/>
    <mergeCell ref="AA11:AA12"/>
    <mergeCell ref="AB11:AB12"/>
    <mergeCell ref="Y43:AB43"/>
    <mergeCell ref="Y44:AB44"/>
    <mergeCell ref="Y45:AB45"/>
    <mergeCell ref="T19:W19"/>
    <mergeCell ref="T20:W20"/>
    <mergeCell ref="Y27:AB27"/>
    <mergeCell ref="Y32:AB32"/>
    <mergeCell ref="Y35:AB35"/>
    <mergeCell ref="T11:T12"/>
    <mergeCell ref="U11:U12"/>
    <mergeCell ref="V11:V12"/>
    <mergeCell ref="W11:W12"/>
    <mergeCell ref="X11:X12"/>
    <mergeCell ref="Y38:AB38"/>
    <mergeCell ref="Y39:AB39"/>
    <mergeCell ref="Y40:AB40"/>
    <mergeCell ref="Y37:AB37"/>
    <mergeCell ref="T23:W23"/>
    <mergeCell ref="T24:W24"/>
    <mergeCell ref="Q23:R23"/>
    <mergeCell ref="Z20:AB20"/>
    <mergeCell ref="Y21:AB21"/>
    <mergeCell ref="Y22:AB22"/>
    <mergeCell ref="Y23:AB23"/>
    <mergeCell ref="J41:M41"/>
    <mergeCell ref="J43:M43"/>
    <mergeCell ref="J44:M44"/>
    <mergeCell ref="J45:M45"/>
    <mergeCell ref="Q28:R28"/>
    <mergeCell ref="X32:X33"/>
    <mergeCell ref="Y28:AB28"/>
    <mergeCell ref="Y29:AB29"/>
    <mergeCell ref="Y30:AB30"/>
    <mergeCell ref="Y31:AB31"/>
    <mergeCell ref="Y33:AB33"/>
    <mergeCell ref="V29:W29"/>
    <mergeCell ref="Q24:R24"/>
    <mergeCell ref="Q26:R26"/>
    <mergeCell ref="Y24:AB24"/>
    <mergeCell ref="Y25:AB25"/>
    <mergeCell ref="Y26:AB26"/>
    <mergeCell ref="Y41:AB41"/>
    <mergeCell ref="Y42:AB42"/>
    <mergeCell ref="J46:M46"/>
    <mergeCell ref="J35:M35"/>
    <mergeCell ref="J36:M36"/>
    <mergeCell ref="J37:M37"/>
    <mergeCell ref="J38:M38"/>
    <mergeCell ref="J39:M39"/>
    <mergeCell ref="N46:O46"/>
    <mergeCell ref="N47:O47"/>
    <mergeCell ref="N48:O48"/>
    <mergeCell ref="J48:M48"/>
    <mergeCell ref="Y47:AB47"/>
    <mergeCell ref="Y48:AB48"/>
    <mergeCell ref="Y49:AB49"/>
    <mergeCell ref="Y81:AB81"/>
    <mergeCell ref="Y51:AB51"/>
    <mergeCell ref="Y52:AB52"/>
    <mergeCell ref="J51:M51"/>
    <mergeCell ref="J52:M52"/>
    <mergeCell ref="Y53:AB53"/>
    <mergeCell ref="N50:O50"/>
    <mergeCell ref="N51:O51"/>
    <mergeCell ref="N52:O52"/>
    <mergeCell ref="P50:W50"/>
    <mergeCell ref="P51:W51"/>
    <mergeCell ref="P52:W52"/>
    <mergeCell ref="J50:M50"/>
    <mergeCell ref="Y50:AB50"/>
    <mergeCell ref="Y71:AB71"/>
    <mergeCell ref="Y73:AB73"/>
    <mergeCell ref="Y75:AB75"/>
    <mergeCell ref="Y77:AB77"/>
    <mergeCell ref="Y79:AB79"/>
    <mergeCell ref="M73:P73"/>
    <mergeCell ref="Y92:AB92"/>
    <mergeCell ref="Y94:AB94"/>
    <mergeCell ref="O98:Q98"/>
    <mergeCell ref="O99:Q99"/>
    <mergeCell ref="O100:Q100"/>
    <mergeCell ref="T84:W84"/>
    <mergeCell ref="T86:W86"/>
    <mergeCell ref="T88:W88"/>
    <mergeCell ref="T90:W90"/>
    <mergeCell ref="B62:C62"/>
    <mergeCell ref="B34:C34"/>
    <mergeCell ref="B18:C18"/>
    <mergeCell ref="O106:Q106"/>
    <mergeCell ref="O107:Q107"/>
    <mergeCell ref="O108:Q108"/>
    <mergeCell ref="O109:Q109"/>
    <mergeCell ref="O111:Q111"/>
    <mergeCell ref="P47:W47"/>
    <mergeCell ref="P48:W48"/>
    <mergeCell ref="P49:W49"/>
    <mergeCell ref="N35:O35"/>
    <mergeCell ref="N36:O36"/>
    <mergeCell ref="N37:O37"/>
    <mergeCell ref="N38:O38"/>
    <mergeCell ref="N39:O39"/>
    <mergeCell ref="N40:O40"/>
    <mergeCell ref="N41:O41"/>
    <mergeCell ref="N42:O42"/>
    <mergeCell ref="N43:O43"/>
    <mergeCell ref="N44:O44"/>
    <mergeCell ref="N45:O45"/>
    <mergeCell ref="N49:O49"/>
    <mergeCell ref="J47:M47"/>
  </mergeCells>
  <conditionalFormatting sqref="B9:C9 T9:AA9">
    <cfRule type="expression" dxfId="903" priority="201">
      <formula>IF(NoColor,1,0)</formula>
    </cfRule>
  </conditionalFormatting>
  <conditionalFormatting sqref="B11:C11 G11:G12 N11:S12">
    <cfRule type="expression" dxfId="902" priority="200">
      <formula>IF(NoColor,1,0)</formula>
    </cfRule>
  </conditionalFormatting>
  <conditionalFormatting sqref="AA15:AA16">
    <cfRule type="expression" dxfId="901" priority="191">
      <formula>IF(NoColor,1,0)</formula>
    </cfRule>
  </conditionalFormatting>
  <conditionalFormatting sqref="AA14">
    <cfRule type="expression" dxfId="900" priority="190">
      <formula>IF(NoColor,1,0)</formula>
    </cfRule>
  </conditionalFormatting>
  <conditionalFormatting sqref="I11">
    <cfRule type="expression" dxfId="899" priority="153">
      <formula>IF(NoColor,1,0)</formula>
    </cfRule>
  </conditionalFormatting>
  <conditionalFormatting sqref="J11">
    <cfRule type="expression" dxfId="898" priority="152">
      <formula>IF(NoColor,1,0)</formula>
    </cfRule>
  </conditionalFormatting>
  <conditionalFormatting sqref="K11">
    <cfRule type="expression" dxfId="897" priority="151">
      <formula>IF(NoColor,1,0)</formula>
    </cfRule>
  </conditionalFormatting>
  <conditionalFormatting sqref="L11">
    <cfRule type="expression" dxfId="896" priority="150">
      <formula>IF(NoColor,1,0)</formula>
    </cfRule>
  </conditionalFormatting>
  <conditionalFormatting sqref="T11">
    <cfRule type="expression" dxfId="895" priority="147">
      <formula>IF(NoColor,1,0)</formula>
    </cfRule>
  </conditionalFormatting>
  <conditionalFormatting sqref="W11">
    <cfRule type="expression" dxfId="894" priority="144">
      <formula>IF(NoColor,1,0)</formula>
    </cfRule>
  </conditionalFormatting>
  <conditionalFormatting sqref="Y11">
    <cfRule type="expression" dxfId="893" priority="142">
      <formula>IF(NoColor,1,0)</formula>
    </cfRule>
  </conditionalFormatting>
  <conditionalFormatting sqref="Z11">
    <cfRule type="expression" dxfId="892" priority="141">
      <formula>IF(NoColor,1,0)</formula>
    </cfRule>
  </conditionalFormatting>
  <conditionalFormatting sqref="X11">
    <cfRule type="expression" dxfId="891" priority="143">
      <formula>IF(NoColor,1,0)</formula>
    </cfRule>
  </conditionalFormatting>
  <conditionalFormatting sqref="M11">
    <cfRule type="expression" dxfId="890" priority="149">
      <formula>IF(NoColor,1,0)</formula>
    </cfRule>
  </conditionalFormatting>
  <conditionalFormatting sqref="H11">
    <cfRule type="expression" dxfId="889" priority="148">
      <formula>IF(NoColor,1,0)</formula>
    </cfRule>
  </conditionalFormatting>
  <conditionalFormatting sqref="U11:V11">
    <cfRule type="expression" dxfId="888" priority="138">
      <formula>IF(NoColor,1,0)</formula>
    </cfRule>
  </conditionalFormatting>
  <conditionalFormatting sqref="AA11">
    <cfRule type="expression" dxfId="887" priority="140">
      <formula>IF(NoColor,1,0)</formula>
    </cfRule>
  </conditionalFormatting>
  <conditionalFormatting sqref="AB11">
    <cfRule type="expression" dxfId="886" priority="139">
      <formula>IF(NoColor,1,0)</formula>
    </cfRule>
  </conditionalFormatting>
  <conditionalFormatting sqref="T19">
    <cfRule type="expression" dxfId="885" priority="137">
      <formula>IF(NoColor,1,0)</formula>
    </cfRule>
  </conditionalFormatting>
  <conditionalFormatting sqref="Y29:Z29">
    <cfRule type="expression" dxfId="884" priority="96">
      <formula>IF(NoColor,1,0)</formula>
    </cfRule>
  </conditionalFormatting>
  <conditionalFormatting sqref="X14">
    <cfRule type="expression" dxfId="883" priority="135">
      <formula>IF(NoColor,1,0)</formula>
    </cfRule>
  </conditionalFormatting>
  <conditionalFormatting sqref="T20">
    <cfRule type="expression" dxfId="882" priority="136">
      <formula>IF(NoColor,1,0)</formula>
    </cfRule>
  </conditionalFormatting>
  <conditionalFormatting sqref="X16">
    <cfRule type="expression" dxfId="881" priority="133">
      <formula>IF(NoColor,1,0)</formula>
    </cfRule>
  </conditionalFormatting>
  <conditionalFormatting sqref="X15">
    <cfRule type="expression" dxfId="880" priority="134">
      <formula>IF(NoColor,1,0)</formula>
    </cfRule>
  </conditionalFormatting>
  <conditionalFormatting sqref="Y22:Z22">
    <cfRule type="expression" dxfId="879" priority="102">
      <formula>IF(NoColor,1,0)</formula>
    </cfRule>
  </conditionalFormatting>
  <conditionalFormatting sqref="Y33:Z33">
    <cfRule type="expression" dxfId="878" priority="93">
      <formula>IF(NoColor,1,0)</formula>
    </cfRule>
  </conditionalFormatting>
  <conditionalFormatting sqref="Y28:Z28">
    <cfRule type="expression" dxfId="877" priority="97">
      <formula>IF(NoColor,1,0)</formula>
    </cfRule>
  </conditionalFormatting>
  <conditionalFormatting sqref="Y30:Z30">
    <cfRule type="expression" dxfId="876" priority="95">
      <formula>IF(NoColor,1,0)</formula>
    </cfRule>
  </conditionalFormatting>
  <conditionalFormatting sqref="Q23">
    <cfRule type="expression" dxfId="875" priority="89">
      <formula>IF(NoColor,1,0)</formula>
    </cfRule>
  </conditionalFormatting>
  <conditionalFormatting sqref="J50:K50">
    <cfRule type="expression" dxfId="874" priority="62">
      <formula>IF(NoColor,1,0)</formula>
    </cfRule>
  </conditionalFormatting>
  <conditionalFormatting sqref="Q24">
    <cfRule type="expression" dxfId="873" priority="88">
      <formula>IF(NoColor,1,0)</formula>
    </cfRule>
  </conditionalFormatting>
  <conditionalFormatting sqref="Y38:Z38">
    <cfRule type="expression" dxfId="872" priority="60">
      <formula>IF(NoColor,1,0)</formula>
    </cfRule>
  </conditionalFormatting>
  <conditionalFormatting sqref="J38:K38">
    <cfRule type="expression" dxfId="871" priority="76">
      <formula>IF(NoColor,1,0)</formula>
    </cfRule>
  </conditionalFormatting>
  <conditionalFormatting sqref="J36:K36">
    <cfRule type="expression" dxfId="870" priority="78">
      <formula>IF(NoColor,1,0)</formula>
    </cfRule>
  </conditionalFormatting>
  <conditionalFormatting sqref="J47:K47">
    <cfRule type="expression" dxfId="869" priority="69">
      <formula>IF(NoColor,1,0)</formula>
    </cfRule>
  </conditionalFormatting>
  <conditionalFormatting sqref="J44:K44">
    <cfRule type="expression" dxfId="868" priority="72">
      <formula>IF(NoColor,1,0)</formula>
    </cfRule>
  </conditionalFormatting>
  <conditionalFormatting sqref="J41:K41">
    <cfRule type="expression" dxfId="867" priority="74">
      <formula>IF(NoColor,1,0)</formula>
    </cfRule>
  </conditionalFormatting>
  <conditionalFormatting sqref="Y40:Z40">
    <cfRule type="expression" dxfId="866" priority="58">
      <formula>IF(NoColor,1,0)</formula>
    </cfRule>
  </conditionalFormatting>
  <conditionalFormatting sqref="Y31:Z31">
    <cfRule type="expression" dxfId="865" priority="94">
      <formula>IF(NoColor,1,0)</formula>
    </cfRule>
  </conditionalFormatting>
  <conditionalFormatting sqref="J46:K46">
    <cfRule type="expression" dxfId="864" priority="70">
      <formula>IF(NoColor,1,0)</formula>
    </cfRule>
  </conditionalFormatting>
  <conditionalFormatting sqref="J48:K48">
    <cfRule type="expression" dxfId="863" priority="66">
      <formula>IF(NoColor,1,0)</formula>
    </cfRule>
  </conditionalFormatting>
  <conditionalFormatting sqref="Y21:Z21">
    <cfRule type="expression" dxfId="862" priority="90">
      <formula>IF(NoColor,1,0)</formula>
    </cfRule>
  </conditionalFormatting>
  <conditionalFormatting sqref="Q26">
    <cfRule type="expression" dxfId="861" priority="86">
      <formula>IF(NoColor,1,0)</formula>
    </cfRule>
  </conditionalFormatting>
  <conditionalFormatting sqref="Q28">
    <cfRule type="expression" dxfId="860" priority="84">
      <formula>IF(NoColor,1,0)</formula>
    </cfRule>
  </conditionalFormatting>
  <conditionalFormatting sqref="Y23:Z26">
    <cfRule type="expression" dxfId="859" priority="87">
      <formula>IF(NoColor,1,0)</formula>
    </cfRule>
  </conditionalFormatting>
  <conditionalFormatting sqref="Y35:Z35">
    <cfRule type="expression" dxfId="858" priority="83">
      <formula>IF(NoColor,1,0)</formula>
    </cfRule>
  </conditionalFormatting>
  <conditionalFormatting sqref="J39:K39">
    <cfRule type="expression" dxfId="857" priority="75">
      <formula>IF(NoColor,1,0)</formula>
    </cfRule>
  </conditionalFormatting>
  <conditionalFormatting sqref="J37:K37">
    <cfRule type="expression" dxfId="856" priority="77">
      <formula>IF(NoColor,1,0)</formula>
    </cfRule>
  </conditionalFormatting>
  <conditionalFormatting sqref="J43:K43">
    <cfRule type="expression" dxfId="855" priority="73">
      <formula>IF(NoColor,1,0)</formula>
    </cfRule>
  </conditionalFormatting>
  <conditionalFormatting sqref="J45:K45">
    <cfRule type="expression" dxfId="854" priority="71">
      <formula>IF(NoColor,1,0)</formula>
    </cfRule>
  </conditionalFormatting>
  <conditionalFormatting sqref="Y50:Z50">
    <cfRule type="expression" dxfId="853" priority="48">
      <formula>IF(NoColor,1,0)</formula>
    </cfRule>
  </conditionalFormatting>
  <conditionalFormatting sqref="Y42:Z42">
    <cfRule type="expression" dxfId="852" priority="56">
      <formula>IF(NoColor,1,0)</formula>
    </cfRule>
  </conditionalFormatting>
  <conditionalFormatting sqref="J51:K51">
    <cfRule type="expression" dxfId="851" priority="45">
      <formula>IF(NoColor,1,0)</formula>
    </cfRule>
  </conditionalFormatting>
  <conditionalFormatting sqref="Y37:Z37">
    <cfRule type="expression" dxfId="850" priority="61">
      <formula>IF(NoColor,1,0)</formula>
    </cfRule>
  </conditionalFormatting>
  <conditionalFormatting sqref="Y39:Z39">
    <cfRule type="expression" dxfId="849" priority="59">
      <formula>IF(NoColor,1,0)</formula>
    </cfRule>
  </conditionalFormatting>
  <conditionalFormatting sqref="Y44:Z44">
    <cfRule type="expression" dxfId="848" priority="54">
      <formula>IF(NoColor,1,0)</formula>
    </cfRule>
  </conditionalFormatting>
  <conditionalFormatting sqref="Y41:Z41">
    <cfRule type="expression" dxfId="847" priority="57">
      <formula>IF(NoColor,1,0)</formula>
    </cfRule>
  </conditionalFormatting>
  <conditionalFormatting sqref="Y43:Z43">
    <cfRule type="expression" dxfId="846" priority="55">
      <formula>IF(NoColor,1,0)</formula>
    </cfRule>
  </conditionalFormatting>
  <conditionalFormatting sqref="Z46">
    <cfRule type="expression" dxfId="845" priority="52">
      <formula>IF(NoColor,1,0)</formula>
    </cfRule>
  </conditionalFormatting>
  <conditionalFormatting sqref="Y45:Z45">
    <cfRule type="expression" dxfId="844" priority="53">
      <formula>IF(NoColor,1,0)</formula>
    </cfRule>
  </conditionalFormatting>
  <conditionalFormatting sqref="Y47:Z47">
    <cfRule type="expression" dxfId="843" priority="51">
      <formula>IF(NoColor,1,0)</formula>
    </cfRule>
  </conditionalFormatting>
  <conditionalFormatting sqref="Y48:Z48">
    <cfRule type="expression" dxfId="842" priority="50">
      <formula>IF(NoColor,1,0)</formula>
    </cfRule>
  </conditionalFormatting>
  <conditionalFormatting sqref="Y49:Z49">
    <cfRule type="expression" dxfId="841" priority="49">
      <formula>IF(NoColor,1,0)</formula>
    </cfRule>
  </conditionalFormatting>
  <conditionalFormatting sqref="Y52:Z52">
    <cfRule type="expression" dxfId="840" priority="46">
      <formula>IF(NoColor,1,0)</formula>
    </cfRule>
  </conditionalFormatting>
  <conditionalFormatting sqref="Y51:Z51">
    <cfRule type="expression" dxfId="839" priority="47">
      <formula>IF(NoColor,1,0)</formula>
    </cfRule>
  </conditionalFormatting>
  <conditionalFormatting sqref="J52:K52">
    <cfRule type="expression" dxfId="838" priority="44">
      <formula>IF(NoColor,1,0)</formula>
    </cfRule>
  </conditionalFormatting>
  <conditionalFormatting sqref="X56">
    <cfRule type="expression" dxfId="837" priority="41">
      <formula>IF(NoColor,1,0)</formula>
    </cfRule>
  </conditionalFormatting>
  <conditionalFormatting sqref="AA56">
    <cfRule type="expression" dxfId="836" priority="40">
      <formula>IF(NoColor,1,0)</formula>
    </cfRule>
  </conditionalFormatting>
  <conditionalFormatting sqref="Y66:Z66">
    <cfRule type="expression" dxfId="835" priority="34">
      <formula>IF(NoColor,1,0)</formula>
    </cfRule>
  </conditionalFormatting>
  <conditionalFormatting sqref="Y53:Z53">
    <cfRule type="expression" dxfId="834" priority="37">
      <formula>IF(NoColor,1,0)</formula>
    </cfRule>
  </conditionalFormatting>
  <conditionalFormatting sqref="Y68:Z68">
    <cfRule type="expression" dxfId="833" priority="32">
      <formula>IF(NoColor,1,0)</formula>
    </cfRule>
  </conditionalFormatting>
  <conditionalFormatting sqref="M68:N68">
    <cfRule type="expression" dxfId="832" priority="30">
      <formula>IF(NoColor,1,0)</formula>
    </cfRule>
  </conditionalFormatting>
  <conditionalFormatting sqref="Y64:Z64">
    <cfRule type="expression" dxfId="831" priority="29">
      <formula>IF(NoColor,1,0)</formula>
    </cfRule>
  </conditionalFormatting>
  <conditionalFormatting sqref="Y71:Z71">
    <cfRule type="expression" dxfId="830" priority="28">
      <formula>IF(NoColor,1,0)</formula>
    </cfRule>
  </conditionalFormatting>
  <conditionalFormatting sqref="Y73:Z73">
    <cfRule type="expression" dxfId="829" priority="26">
      <formula>IF(NoColor,1,0)</formula>
    </cfRule>
  </conditionalFormatting>
  <conditionalFormatting sqref="M66:N66">
    <cfRule type="expression" dxfId="828" priority="31">
      <formula>IF(NoColor,1,0)</formula>
    </cfRule>
  </conditionalFormatting>
  <conditionalFormatting sqref="M73:N73">
    <cfRule type="expression" dxfId="827" priority="25">
      <formula>IF(NoColor,1,0)</formula>
    </cfRule>
  </conditionalFormatting>
  <conditionalFormatting sqref="Y79:Z79">
    <cfRule type="expression" dxfId="826" priority="22">
      <formula>IF(NoColor,1,0)</formula>
    </cfRule>
  </conditionalFormatting>
  <conditionalFormatting sqref="Y77:Z77">
    <cfRule type="expression" dxfId="825" priority="23">
      <formula>IF(NoColor,1,0)</formula>
    </cfRule>
  </conditionalFormatting>
  <conditionalFormatting sqref="Y75:Z75">
    <cfRule type="expression" dxfId="824" priority="24">
      <formula>IF(NoColor,1,0)</formula>
    </cfRule>
  </conditionalFormatting>
  <conditionalFormatting sqref="Y81:Z81">
    <cfRule type="expression" dxfId="823" priority="20">
      <formula>IF(NoColor,1,0)</formula>
    </cfRule>
  </conditionalFormatting>
  <conditionalFormatting sqref="T84:U84">
    <cfRule type="expression" dxfId="822" priority="17">
      <formula>IF(NoColor,1,0)</formula>
    </cfRule>
  </conditionalFormatting>
  <conditionalFormatting sqref="T86:U86">
    <cfRule type="expression" dxfId="821" priority="16">
      <formula>IF(NoColor,1,0)</formula>
    </cfRule>
  </conditionalFormatting>
  <conditionalFormatting sqref="T90:U90">
    <cfRule type="expression" dxfId="820" priority="14">
      <formula>IF(NoColor,1,0)</formula>
    </cfRule>
  </conditionalFormatting>
  <conditionalFormatting sqref="Y94:Z94">
    <cfRule type="expression" dxfId="819" priority="11">
      <formula>IF(NoColor,1,0)</formula>
    </cfRule>
  </conditionalFormatting>
  <conditionalFormatting sqref="T88:U88">
    <cfRule type="expression" dxfId="818" priority="10">
      <formula>IF(NoColor,1,0)</formula>
    </cfRule>
  </conditionalFormatting>
  <conditionalFormatting sqref="Y92:Z92">
    <cfRule type="expression" dxfId="817" priority="9">
      <formula>IF(NoColor,1,0)</formula>
    </cfRule>
  </conditionalFormatting>
  <conditionalFormatting sqref="P47:W52">
    <cfRule type="expression" dxfId="816" priority="8">
      <formula>IF(NoColor,1,0)</formula>
    </cfRule>
  </conditionalFormatting>
  <conditionalFormatting sqref="K29">
    <cfRule type="expression" dxfId="815" priority="7">
      <formula>IF(NoColor,1,0)</formula>
    </cfRule>
  </conditionalFormatting>
  <conditionalFormatting sqref="AA17">
    <cfRule type="expression" dxfId="814" priority="6">
      <formula>IF(NoColor,1,0)</formula>
    </cfRule>
  </conditionalFormatting>
  <conditionalFormatting sqref="X17">
    <cfRule type="expression" dxfId="813" priority="5">
      <formula>IF(NoColor,1,0)</formula>
    </cfRule>
  </conditionalFormatting>
  <conditionalFormatting sqref="Z36">
    <cfRule type="expression" dxfId="812" priority="4">
      <formula>IF(NoColor,1,0)</formula>
    </cfRule>
  </conditionalFormatting>
  <conditionalFormatting sqref="C58">
    <cfRule type="expression" dxfId="811" priority="3">
      <formula>IF(NoColor,1,0)</formula>
    </cfRule>
  </conditionalFormatting>
  <conditionalFormatting sqref="I58">
    <cfRule type="expression" dxfId="810" priority="2">
      <formula>IF(NoColor,1,0)</formula>
    </cfRule>
  </conditionalFormatting>
  <conditionalFormatting sqref="Y54:Z54">
    <cfRule type="expression" dxfId="809" priority="1">
      <formula>IF(NoColor,1,0)</formula>
    </cfRule>
  </conditionalFormatting>
  <hyperlinks>
    <hyperlink ref="D124:H124" r:id="rId1" display="Download Form 1040 Schedule F"/>
    <hyperlink ref="D126:H126" r:id="rId2" display="Download Form 1040 Schedule F Instructions"/>
  </hyperlinks>
  <printOptions horizontalCentered="1"/>
  <pageMargins left="0.25" right="0.2" top="0.25" bottom="0.27" header="0" footer="0"/>
  <pageSetup scale="97" fitToHeight="0" orientation="portrait" horizontalDpi="4294967293" verticalDpi="4294967293" r:id="rId3"/>
  <headerFooter alignWithMargins="0"/>
  <rowBreaks count="1" manualBreakCount="1">
    <brk id="60" min="1" max="27"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H134"/>
  <sheetViews>
    <sheetView zoomScaleNormal="100" workbookViewId="0">
      <selection activeCell="C42" sqref="C42"/>
    </sheetView>
  </sheetViews>
  <sheetFormatPr defaultRowHeight="12.75"/>
  <cols>
    <col min="1" max="1" width="2.140625" customWidth="1"/>
    <col min="2" max="2" width="1.85546875" customWidth="1"/>
    <col min="3" max="4" width="3.140625" customWidth="1"/>
    <col min="5" max="5" width="10.140625" customWidth="1"/>
    <col min="6" max="6" width="5.28515625" customWidth="1"/>
    <col min="7" max="7" width="6.28515625" customWidth="1"/>
    <col min="8" max="8" width="5.42578125" customWidth="1"/>
    <col min="9" max="9" width="5" customWidth="1"/>
    <col min="10" max="10" width="4.140625" customWidth="1"/>
    <col min="11" max="11" width="3.28515625" customWidth="1"/>
    <col min="12" max="12" width="4.85546875" customWidth="1"/>
    <col min="13" max="13" width="3.7109375" customWidth="1"/>
    <col min="14" max="14" width="4.140625" customWidth="1"/>
    <col min="15" max="15" width="2.28515625" customWidth="1"/>
    <col min="16" max="16" width="5.140625" customWidth="1"/>
    <col min="17" max="17" width="8.140625" customWidth="1"/>
    <col min="18" max="18" width="4.28515625" customWidth="1"/>
    <col min="19" max="19" width="8.7109375" customWidth="1"/>
    <col min="20" max="20" width="2.5703125" customWidth="1"/>
    <col min="21" max="21" width="3.140625" customWidth="1"/>
    <col min="22" max="22" width="14.42578125" customWidth="1"/>
    <col min="23" max="23" width="3.85546875" customWidth="1"/>
    <col min="24" max="24" width="1.5703125" customWidth="1"/>
    <col min="25" max="25" width="2" customWidth="1"/>
    <col min="26" max="26" width="16.42578125" customWidth="1"/>
    <col min="27" max="27" width="4.28515625" customWidth="1"/>
    <col min="28" max="28" width="3.85546875" customWidth="1"/>
    <col min="29" max="30" width="10.5703125" customWidth="1"/>
    <col min="31" max="34" width="8.7109375" customWidth="1"/>
  </cols>
  <sheetData>
    <row r="1" spans="1:26">
      <c r="A1" s="2117"/>
      <c r="B1" s="2117"/>
      <c r="C1" s="2117"/>
      <c r="D1" s="2117"/>
      <c r="E1" s="2117"/>
      <c r="F1" s="2117"/>
      <c r="G1" s="2117"/>
      <c r="H1" s="2117"/>
      <c r="I1" s="2117"/>
      <c r="J1" s="2117"/>
      <c r="K1" s="2117"/>
      <c r="L1" s="2117"/>
      <c r="M1" s="2117"/>
      <c r="N1" s="2117"/>
      <c r="O1" s="2117"/>
      <c r="P1" s="2117"/>
      <c r="Q1" s="2117"/>
      <c r="R1" s="2117"/>
      <c r="S1" s="2117"/>
      <c r="T1" s="2117"/>
      <c r="U1" s="2117"/>
      <c r="V1" s="2117"/>
      <c r="W1" s="2117"/>
      <c r="X1" s="2117"/>
      <c r="Y1" s="2117"/>
      <c r="Z1" s="2117"/>
    </row>
    <row r="2" spans="1:26">
      <c r="A2" s="2117"/>
      <c r="B2" s="2117"/>
      <c r="C2" s="2609" t="s">
        <v>1558</v>
      </c>
      <c r="D2" s="2117"/>
      <c r="E2" s="2117"/>
      <c r="F2" s="2117"/>
      <c r="G2" s="2117"/>
      <c r="H2" s="2117"/>
      <c r="I2" s="2117"/>
      <c r="J2" s="2117"/>
      <c r="K2" s="2117"/>
      <c r="L2" s="2117"/>
      <c r="M2" s="2117"/>
      <c r="N2" s="2117"/>
      <c r="O2" s="2117"/>
      <c r="P2" s="2117"/>
      <c r="Q2" s="2117"/>
      <c r="R2" s="2117"/>
      <c r="S2" s="2117"/>
      <c r="T2" s="2117"/>
      <c r="U2" s="2117"/>
      <c r="V2" s="2117"/>
      <c r="W2" s="2117"/>
      <c r="X2" s="2117"/>
      <c r="Y2" s="2117"/>
      <c r="Z2" s="2117"/>
    </row>
    <row r="3" spans="1:26">
      <c r="A3" s="2117"/>
      <c r="B3" s="2117"/>
      <c r="C3" s="2609" t="s">
        <v>3375</v>
      </c>
      <c r="D3" s="2117"/>
      <c r="E3" s="2117"/>
      <c r="F3" s="2117"/>
      <c r="G3" s="2117"/>
      <c r="H3" s="2117"/>
      <c r="I3" s="2117"/>
      <c r="J3" s="2117"/>
      <c r="K3" s="2117"/>
      <c r="L3" s="2117"/>
      <c r="M3" s="2117"/>
      <c r="N3" s="2117"/>
      <c r="O3" s="2117"/>
      <c r="P3" s="2117"/>
      <c r="Q3" s="2117"/>
      <c r="R3" s="2117"/>
      <c r="S3" s="2117"/>
      <c r="T3" s="2117"/>
      <c r="U3" s="2117"/>
      <c r="V3" s="2117"/>
      <c r="W3" s="2117"/>
      <c r="X3" s="2117"/>
      <c r="Y3" s="2117"/>
      <c r="Z3" s="2117"/>
    </row>
    <row r="4" spans="1:26" ht="13.5" thickBot="1">
      <c r="A4" s="2117"/>
      <c r="B4" s="2117"/>
      <c r="C4" s="2117"/>
      <c r="D4" s="2117"/>
      <c r="E4" s="2117"/>
      <c r="F4" s="2117"/>
      <c r="G4" s="2117"/>
      <c r="H4" s="2117"/>
      <c r="I4" s="2117"/>
      <c r="J4" s="2117"/>
      <c r="K4" s="2117"/>
      <c r="L4" s="2117"/>
      <c r="M4" s="2117"/>
      <c r="N4" s="2117"/>
      <c r="O4" s="2117"/>
      <c r="P4" s="2117"/>
      <c r="Q4" s="2117"/>
      <c r="R4" s="2117"/>
      <c r="S4" s="2117"/>
      <c r="T4" s="2117"/>
      <c r="U4" s="2117"/>
      <c r="V4" s="2117"/>
      <c r="W4" s="2117"/>
      <c r="X4" s="2117"/>
      <c r="Y4" s="2117"/>
      <c r="Z4" s="2117"/>
    </row>
    <row r="5" spans="1:26" ht="13.5" thickBot="1">
      <c r="A5" s="2117"/>
      <c r="B5" s="2610">
        <f>IF(D5&lt;&gt;"",1,0)</f>
        <v>0</v>
      </c>
      <c r="C5" s="2117"/>
      <c r="D5" s="2614"/>
      <c r="E5" s="2611" t="s">
        <v>1559</v>
      </c>
      <c r="F5" s="2117"/>
      <c r="G5" s="2117"/>
      <c r="H5" s="2117"/>
      <c r="I5" s="2117"/>
      <c r="J5" s="2117"/>
      <c r="K5" s="2117"/>
      <c r="L5" s="2117"/>
      <c r="M5" s="2117"/>
      <c r="N5" s="2117"/>
      <c r="O5" s="2117"/>
      <c r="P5" s="2117"/>
      <c r="Q5" s="2117"/>
      <c r="R5" s="2117"/>
      <c r="S5" s="2117"/>
      <c r="T5" s="2117"/>
      <c r="U5" s="2117"/>
      <c r="V5" s="2117"/>
      <c r="W5" s="2117"/>
      <c r="X5" s="2117"/>
      <c r="Y5" s="2117"/>
      <c r="Z5" s="2117"/>
    </row>
    <row r="6" spans="1:26" ht="13.5" thickBot="1">
      <c r="A6" s="2117"/>
      <c r="B6" s="2610"/>
      <c r="C6" s="2117"/>
      <c r="D6" s="2117"/>
      <c r="E6" s="2609"/>
      <c r="F6" s="2117"/>
      <c r="G6" s="2117"/>
      <c r="H6" s="2117"/>
      <c r="I6" s="2117"/>
      <c r="J6" s="2117"/>
      <c r="K6" s="2117"/>
      <c r="L6" s="2117"/>
      <c r="M6" s="2117"/>
      <c r="N6" s="2117"/>
      <c r="O6" s="2117"/>
      <c r="P6" s="2117"/>
      <c r="Q6" s="2117"/>
      <c r="R6" s="2117"/>
      <c r="S6" s="2117"/>
      <c r="T6" s="2117"/>
      <c r="U6" s="2117"/>
      <c r="V6" s="2117"/>
      <c r="W6" s="2117"/>
      <c r="X6" s="2117"/>
      <c r="Y6" s="2117"/>
      <c r="Z6" s="2117"/>
    </row>
    <row r="7" spans="1:26" ht="13.5" thickBot="1">
      <c r="A7" s="2117"/>
      <c r="B7" s="2610">
        <f>IF(D7&lt;&gt;"",1,0)</f>
        <v>0</v>
      </c>
      <c r="C7" s="2117"/>
      <c r="D7" s="2614"/>
      <c r="E7" s="2611" t="s">
        <v>1560</v>
      </c>
      <c r="F7" s="2117"/>
      <c r="G7" s="2117"/>
      <c r="H7" s="2117"/>
      <c r="I7" s="2117"/>
      <c r="J7" s="2117"/>
      <c r="K7" s="2117"/>
      <c r="L7" s="2117"/>
      <c r="M7" s="2117"/>
      <c r="N7" s="2117"/>
      <c r="O7" s="2117"/>
      <c r="P7" s="2117"/>
      <c r="Q7" s="2117"/>
      <c r="R7" s="2117"/>
      <c r="S7" s="2117"/>
      <c r="T7" s="2117"/>
      <c r="U7" s="2117"/>
      <c r="V7" s="2117"/>
      <c r="W7" s="2117"/>
      <c r="X7" s="2117"/>
      <c r="Y7" s="2117"/>
      <c r="Z7" s="2117"/>
    </row>
    <row r="8" spans="1:26" ht="15.75" customHeight="1">
      <c r="A8" s="2117"/>
      <c r="B8" s="2117"/>
      <c r="C8" s="2117"/>
      <c r="D8" s="2117"/>
      <c r="E8" s="2117"/>
      <c r="F8" s="2117"/>
      <c r="G8" s="2117"/>
      <c r="H8" s="2117"/>
      <c r="I8" s="2117"/>
      <c r="J8" s="2117"/>
      <c r="K8" s="2117"/>
      <c r="L8" s="2117"/>
      <c r="M8" s="2117"/>
      <c r="N8" s="2117"/>
      <c r="O8" s="2117"/>
      <c r="P8" s="2117"/>
      <c r="Q8" s="2117"/>
      <c r="R8" s="2117"/>
      <c r="S8" s="2117"/>
      <c r="T8" s="2117"/>
      <c r="U8" s="2117"/>
      <c r="V8" s="2117"/>
      <c r="W8" s="2117"/>
      <c r="X8" s="2117"/>
      <c r="Y8" s="2117"/>
      <c r="Z8" s="2117"/>
    </row>
    <row r="9" spans="1:26" ht="9" customHeight="1">
      <c r="A9" s="857"/>
      <c r="B9" s="857"/>
      <c r="C9" s="857"/>
      <c r="D9" s="857"/>
      <c r="E9" s="857"/>
      <c r="F9" s="857"/>
      <c r="G9" s="857"/>
      <c r="H9" s="857"/>
      <c r="I9" s="857"/>
      <c r="J9" s="857"/>
      <c r="K9" s="857"/>
      <c r="L9" s="857"/>
      <c r="M9" s="857"/>
      <c r="N9" s="857"/>
      <c r="O9" s="857"/>
      <c r="P9" s="857"/>
      <c r="Q9" s="857"/>
      <c r="R9" s="857"/>
      <c r="S9" s="857"/>
      <c r="T9" s="857"/>
      <c r="U9" s="857"/>
      <c r="V9" s="857"/>
      <c r="W9" s="857"/>
      <c r="X9" s="857"/>
      <c r="Y9" s="857"/>
      <c r="Z9" s="614"/>
    </row>
    <row r="10" spans="1:26" ht="21.75" customHeight="1">
      <c r="A10" s="857"/>
      <c r="B10" s="419"/>
      <c r="C10" s="419" t="s">
        <v>274</v>
      </c>
      <c r="D10" s="419"/>
      <c r="E10" s="419"/>
      <c r="F10" s="135"/>
      <c r="G10" s="35"/>
      <c r="H10" s="35"/>
      <c r="I10" s="589"/>
      <c r="J10" s="589"/>
      <c r="K10" s="589"/>
      <c r="L10" s="44"/>
      <c r="M10" s="590"/>
      <c r="N10" s="44"/>
      <c r="O10" s="589"/>
      <c r="P10" s="589"/>
      <c r="Q10" s="589"/>
      <c r="R10" s="35"/>
      <c r="S10" s="35"/>
      <c r="T10" s="135"/>
      <c r="U10" s="5617" t="s">
        <v>249</v>
      </c>
      <c r="V10" s="5618"/>
      <c r="W10" s="5618"/>
      <c r="X10" s="5618"/>
      <c r="Y10" s="112"/>
      <c r="Z10" s="614"/>
    </row>
    <row r="11" spans="1:26" ht="27.75" customHeight="1">
      <c r="A11" s="857"/>
      <c r="B11" s="466"/>
      <c r="C11" s="735" t="s">
        <v>292</v>
      </c>
      <c r="D11" s="466"/>
      <c r="E11" s="466"/>
      <c r="F11" s="135"/>
      <c r="G11" s="5678" t="s">
        <v>275</v>
      </c>
      <c r="H11" s="5679"/>
      <c r="I11" s="5679"/>
      <c r="J11" s="5679"/>
      <c r="K11" s="5679"/>
      <c r="L11" s="5679"/>
      <c r="M11" s="5679"/>
      <c r="N11" s="5679"/>
      <c r="O11" s="5679"/>
      <c r="P11" s="5679"/>
      <c r="Q11" s="5679"/>
      <c r="R11" s="5679"/>
      <c r="S11" s="5679"/>
      <c r="T11" s="5680"/>
      <c r="U11" s="5624">
        <f>TaxYear</f>
        <v>2016</v>
      </c>
      <c r="V11" s="5140"/>
      <c r="W11" s="5140"/>
      <c r="X11" s="5140"/>
      <c r="Y11" s="112"/>
      <c r="Z11" s="614"/>
    </row>
    <row r="12" spans="1:26" ht="13.5" customHeight="1">
      <c r="A12" s="857"/>
      <c r="B12" s="49"/>
      <c r="C12" s="49" t="s">
        <v>293</v>
      </c>
      <c r="D12" s="49"/>
      <c r="E12" s="49"/>
      <c r="F12" s="135"/>
      <c r="G12" s="5681" t="s">
        <v>3186</v>
      </c>
      <c r="H12" s="5682"/>
      <c r="I12" s="5682"/>
      <c r="J12" s="5682"/>
      <c r="K12" s="5682"/>
      <c r="L12" s="5682"/>
      <c r="M12" s="5682"/>
      <c r="N12" s="5682"/>
      <c r="O12" s="5682"/>
      <c r="P12" s="5682"/>
      <c r="Q12" s="5682"/>
      <c r="R12" s="5682"/>
      <c r="S12" s="5682"/>
      <c r="T12" s="5683"/>
      <c r="U12" s="44"/>
      <c r="V12" s="499" t="s">
        <v>294</v>
      </c>
      <c r="W12" s="35"/>
      <c r="X12" s="35"/>
      <c r="Y12" s="112"/>
      <c r="Z12" s="614"/>
    </row>
    <row r="13" spans="1:26" ht="12.75" customHeight="1" thickBot="1">
      <c r="A13" s="857"/>
      <c r="B13" s="591"/>
      <c r="C13" s="592" t="str">
        <f>"Internal Revenue Service  (99)"</f>
        <v>Internal Revenue Service  (99)</v>
      </c>
      <c r="D13" s="592"/>
      <c r="E13" s="592"/>
      <c r="F13" s="136"/>
      <c r="G13" s="5677" t="s">
        <v>3185</v>
      </c>
      <c r="H13" s="5371"/>
      <c r="I13" s="5371"/>
      <c r="J13" s="5371"/>
      <c r="K13" s="5371"/>
      <c r="L13" s="5371"/>
      <c r="M13" s="5371"/>
      <c r="N13" s="5371"/>
      <c r="O13" s="5371"/>
      <c r="P13" s="5371"/>
      <c r="Q13" s="5371"/>
      <c r="R13" s="5371"/>
      <c r="S13" s="5371"/>
      <c r="T13" s="5372"/>
      <c r="U13" s="52"/>
      <c r="V13" s="402" t="s">
        <v>337</v>
      </c>
      <c r="W13" s="52"/>
      <c r="X13" s="52"/>
      <c r="Y13" s="112"/>
      <c r="Z13" s="614"/>
    </row>
    <row r="14" spans="1:26" ht="12" customHeight="1">
      <c r="A14" s="857"/>
      <c r="B14" s="643" t="s">
        <v>746</v>
      </c>
      <c r="C14" s="643"/>
      <c r="D14" s="643"/>
      <c r="E14" s="643"/>
      <c r="F14" s="180"/>
      <c r="G14" s="180"/>
      <c r="H14" s="180"/>
      <c r="I14" s="180"/>
      <c r="J14" s="180"/>
      <c r="K14" s="180"/>
      <c r="L14" s="403"/>
      <c r="M14" s="403"/>
      <c r="N14" s="403"/>
      <c r="O14" s="2570"/>
      <c r="P14" s="5692" t="s">
        <v>1143</v>
      </c>
      <c r="Q14" s="5693"/>
      <c r="R14" s="5693"/>
      <c r="S14" s="5693"/>
      <c r="T14" s="5694"/>
      <c r="U14" s="5619" t="str">
        <f>IF(AND(D5&lt;&gt;"",D7&lt;&gt;""),SS_Yours,IF(D5&lt;&gt;"",SS_Yours,IF(D7&lt;&gt;"",SS_Spouse,"")))</f>
        <v/>
      </c>
      <c r="V14" s="5620"/>
      <c r="W14" s="5620"/>
      <c r="X14" s="5620"/>
      <c r="Y14" s="961"/>
      <c r="Z14" s="624"/>
    </row>
    <row r="15" spans="1:26" ht="16.5" customHeight="1">
      <c r="A15" s="857"/>
      <c r="B15" s="5702" t="str">
        <f>IF(AND(D5&lt;&gt;"",D7&lt;&gt;""),NameYours&amp;" and "&amp;NameSpouse,IF(D5&lt;&gt;"",NameYours,IF(D7&lt;&gt;"",NameSpouse,"")))</f>
        <v/>
      </c>
      <c r="C15" s="5703"/>
      <c r="D15" s="5703"/>
      <c r="E15" s="5703"/>
      <c r="F15" s="5703"/>
      <c r="G15" s="5703"/>
      <c r="H15" s="5703"/>
      <c r="I15" s="5703"/>
      <c r="J15" s="5703"/>
      <c r="K15" s="5703"/>
      <c r="L15" s="5703"/>
      <c r="M15" s="5703"/>
      <c r="N15" s="5703"/>
      <c r="O15" s="5704"/>
      <c r="P15" s="5695"/>
      <c r="Q15" s="5696"/>
      <c r="R15" s="5696"/>
      <c r="S15" s="5696"/>
      <c r="T15" s="5697"/>
      <c r="U15" s="5621"/>
      <c r="V15" s="5622"/>
      <c r="W15" s="5622"/>
      <c r="X15" s="5622"/>
      <c r="Y15" s="112"/>
      <c r="Z15" s="614"/>
    </row>
    <row r="16" spans="1:26" ht="20.25" customHeight="1">
      <c r="A16" s="857"/>
      <c r="B16" s="2750" t="s">
        <v>1661</v>
      </c>
      <c r="C16" s="1503"/>
      <c r="D16" s="1503"/>
      <c r="E16" s="1503"/>
      <c r="F16" s="5708" t="s">
        <v>1662</v>
      </c>
      <c r="G16" s="5709"/>
      <c r="H16" s="5709"/>
      <c r="I16" s="5709"/>
      <c r="J16" s="5709"/>
      <c r="K16" s="5709"/>
      <c r="L16" s="5709"/>
      <c r="M16" s="5709"/>
      <c r="N16" s="5709"/>
      <c r="O16" s="5709"/>
      <c r="P16" s="5709"/>
      <c r="Q16" s="5709"/>
      <c r="R16" s="1503"/>
      <c r="S16" s="1503"/>
      <c r="T16" s="1503"/>
      <c r="U16" s="1503"/>
      <c r="V16" s="1503"/>
      <c r="W16" s="1503"/>
      <c r="X16" s="1503"/>
      <c r="Y16" s="112"/>
      <c r="Z16" s="614"/>
    </row>
    <row r="17" spans="1:26" ht="19.5" customHeight="1">
      <c r="A17" s="857"/>
      <c r="B17" s="594" t="s">
        <v>633</v>
      </c>
      <c r="C17" s="596"/>
      <c r="D17" s="596"/>
      <c r="E17" s="596"/>
      <c r="F17" s="35"/>
      <c r="G17" s="35"/>
      <c r="H17" s="35"/>
      <c r="I17" s="35"/>
      <c r="J17" s="35"/>
      <c r="K17" s="35"/>
      <c r="L17" s="44"/>
      <c r="M17" s="44"/>
      <c r="N17" s="44"/>
      <c r="O17" s="35"/>
      <c r="P17" s="35"/>
      <c r="Q17" s="35"/>
      <c r="R17" s="35"/>
      <c r="S17" s="35"/>
      <c r="T17" s="35"/>
      <c r="U17" s="35"/>
      <c r="V17" s="35"/>
      <c r="W17" s="35"/>
      <c r="X17" s="35"/>
      <c r="Y17" s="112"/>
      <c r="Z17" s="614"/>
    </row>
    <row r="18" spans="1:26" s="854" customFormat="1" ht="19.5" customHeight="1">
      <c r="A18" s="946"/>
      <c r="B18" s="2571" t="s">
        <v>1544</v>
      </c>
      <c r="C18" s="1201"/>
      <c r="D18" s="1201"/>
      <c r="E18" s="1201"/>
      <c r="F18" s="579"/>
      <c r="G18" s="579"/>
      <c r="H18" s="579"/>
      <c r="I18" s="579"/>
      <c r="J18" s="579"/>
      <c r="K18" s="579"/>
      <c r="L18" s="139"/>
      <c r="M18" s="139"/>
      <c r="N18" s="139"/>
      <c r="O18" s="579"/>
      <c r="P18" s="579"/>
      <c r="Q18" s="579"/>
      <c r="R18" s="579"/>
      <c r="S18" s="579"/>
      <c r="T18" s="579"/>
      <c r="U18" s="579"/>
      <c r="V18" s="579"/>
      <c r="W18" s="579"/>
      <c r="X18" s="579"/>
      <c r="Y18" s="965"/>
      <c r="Z18" s="786"/>
    </row>
    <row r="19" spans="1:26">
      <c r="A19" s="857"/>
      <c r="B19" s="35"/>
      <c r="C19" s="35"/>
      <c r="D19" s="35"/>
      <c r="E19" s="35"/>
      <c r="F19" s="35"/>
      <c r="G19" s="35"/>
      <c r="H19" s="35"/>
      <c r="I19" s="35"/>
      <c r="J19" s="35"/>
      <c r="K19" s="35"/>
      <c r="L19" s="44"/>
      <c r="M19" s="1249" t="str">
        <f>IF(AND(C42="",P42=""),"In Row 42, indicate which Schedule SE Form you are using.","")</f>
        <v>In Row 42, indicate which Schedule SE Form you are using.</v>
      </c>
      <c r="N19" s="44"/>
      <c r="O19" s="35"/>
      <c r="P19" s="35"/>
      <c r="Q19" s="35"/>
      <c r="R19" s="35"/>
      <c r="S19" s="35"/>
      <c r="T19" s="35"/>
      <c r="U19" s="35"/>
      <c r="V19" s="35"/>
      <c r="W19" s="35"/>
      <c r="X19" s="35"/>
      <c r="Y19" s="112"/>
      <c r="Z19" s="614"/>
    </row>
    <row r="20" spans="1:26" ht="18.75" customHeight="1">
      <c r="A20" s="857"/>
      <c r="B20" s="35"/>
      <c r="C20" s="35"/>
      <c r="D20" s="35"/>
      <c r="E20" s="35"/>
      <c r="F20" s="44"/>
      <c r="G20" s="5698" t="str">
        <f>"Did you receive wages or tips in "&amp;TaxYear&amp;"?"</f>
        <v>Did you receive wages or tips in 2016?</v>
      </c>
      <c r="H20" s="5699"/>
      <c r="I20" s="5699"/>
      <c r="J20" s="5699"/>
      <c r="K20" s="5699"/>
      <c r="L20" s="5699"/>
      <c r="M20" s="5699"/>
      <c r="N20" s="5699"/>
      <c r="O20" s="5699"/>
      <c r="P20" s="5699"/>
      <c r="Q20" s="5699"/>
      <c r="R20" s="5700"/>
      <c r="S20" s="35"/>
      <c r="T20" s="35"/>
      <c r="U20" s="35"/>
      <c r="V20" s="35"/>
      <c r="W20" s="35"/>
      <c r="X20" s="35"/>
      <c r="Y20" s="112"/>
      <c r="Z20" s="614"/>
    </row>
    <row r="21" spans="1:26">
      <c r="A21" s="857"/>
      <c r="B21" s="35"/>
      <c r="C21" s="35"/>
      <c r="D21" s="35"/>
      <c r="E21" s="35"/>
      <c r="F21" s="55"/>
      <c r="G21" s="35"/>
      <c r="H21" s="35"/>
      <c r="I21" s="35"/>
      <c r="J21" s="35"/>
      <c r="K21" s="35"/>
      <c r="L21" s="44"/>
      <c r="M21" s="44"/>
      <c r="N21" s="44"/>
      <c r="O21" s="35"/>
      <c r="P21" s="35"/>
      <c r="Q21" s="35"/>
      <c r="R21" s="35"/>
      <c r="S21" s="44"/>
      <c r="T21" s="35"/>
      <c r="U21" s="35"/>
      <c r="V21" s="35"/>
      <c r="W21" s="35"/>
      <c r="X21" s="35"/>
      <c r="Y21" s="112"/>
      <c r="Z21" s="624"/>
    </row>
    <row r="22" spans="1:26" ht="13.5" customHeight="1">
      <c r="A22" s="857"/>
      <c r="B22" s="35"/>
      <c r="C22" s="35"/>
      <c r="D22" s="35"/>
      <c r="E22" s="35"/>
      <c r="F22" s="644" t="s">
        <v>437</v>
      </c>
      <c r="G22" s="35"/>
      <c r="H22" s="35"/>
      <c r="I22" s="63"/>
      <c r="J22" s="44"/>
      <c r="K22" s="44"/>
      <c r="L22" s="44"/>
      <c r="M22" s="44"/>
      <c r="N22" s="44"/>
      <c r="O22" s="35"/>
      <c r="P22" s="35"/>
      <c r="Q22" s="35"/>
      <c r="R22" s="35"/>
      <c r="S22" s="63"/>
      <c r="T22" s="597" t="s">
        <v>251</v>
      </c>
      <c r="U22" s="35"/>
      <c r="V22" s="35"/>
      <c r="W22" s="35"/>
      <c r="X22" s="35"/>
      <c r="Y22" s="112"/>
      <c r="Z22" s="625"/>
    </row>
    <row r="23" spans="1:26" ht="14.25" customHeight="1">
      <c r="A23" s="857"/>
      <c r="B23" s="598"/>
      <c r="C23" s="599" t="s">
        <v>471</v>
      </c>
      <c r="D23" s="599"/>
      <c r="E23" s="599"/>
      <c r="F23" s="483"/>
      <c r="G23" s="483"/>
      <c r="H23" s="483"/>
      <c r="I23" s="483"/>
      <c r="J23" s="483"/>
      <c r="K23" s="600"/>
      <c r="L23" s="94"/>
      <c r="M23" s="94"/>
      <c r="N23" s="94"/>
      <c r="O23" s="598"/>
      <c r="P23" s="599" t="s">
        <v>238</v>
      </c>
      <c r="Q23" s="599"/>
      <c r="R23" s="599"/>
      <c r="S23" s="483"/>
      <c r="T23" s="483"/>
      <c r="U23" s="483"/>
      <c r="V23" s="600"/>
      <c r="W23" s="180"/>
      <c r="X23" s="180"/>
      <c r="Y23" s="961"/>
      <c r="Z23" s="625"/>
    </row>
    <row r="24" spans="1:26" ht="11.25" customHeight="1">
      <c r="A24" s="857"/>
      <c r="B24" s="581"/>
      <c r="C24" s="369" t="s">
        <v>619</v>
      </c>
      <c r="D24" s="369"/>
      <c r="E24" s="369"/>
      <c r="F24" s="368"/>
      <c r="G24" s="368"/>
      <c r="H24" s="368"/>
      <c r="I24" s="368"/>
      <c r="J24" s="368"/>
      <c r="K24" s="582"/>
      <c r="L24" s="601" t="s">
        <v>436</v>
      </c>
      <c r="M24" s="368"/>
      <c r="N24" s="368"/>
      <c r="O24" s="581"/>
      <c r="P24" s="369" t="s">
        <v>686</v>
      </c>
      <c r="Q24" s="369"/>
      <c r="R24" s="369"/>
      <c r="S24" s="368"/>
      <c r="T24" s="368"/>
      <c r="U24" s="368"/>
      <c r="V24" s="582"/>
      <c r="W24" s="601" t="s">
        <v>436</v>
      </c>
      <c r="X24" s="601"/>
      <c r="Y24" s="962"/>
      <c r="Z24" s="625"/>
    </row>
    <row r="25" spans="1:26" ht="11.25" customHeight="1">
      <c r="A25" s="857"/>
      <c r="B25" s="581"/>
      <c r="C25" s="369" t="s">
        <v>522</v>
      </c>
      <c r="D25" s="369"/>
      <c r="E25" s="369"/>
      <c r="F25" s="368"/>
      <c r="G25" s="368"/>
      <c r="H25" s="368"/>
      <c r="I25" s="368"/>
      <c r="J25" s="368"/>
      <c r="K25" s="582"/>
      <c r="L25" s="368"/>
      <c r="M25" s="368"/>
      <c r="N25" s="368"/>
      <c r="O25" s="581"/>
      <c r="P25" s="369" t="str">
        <f>"self-employment more than "&amp;TEXT(S61,"$0,000")&amp;"?"</f>
        <v>self-employment more than $118,500?</v>
      </c>
      <c r="Q25" s="369"/>
      <c r="R25" s="369"/>
      <c r="S25" s="368"/>
      <c r="T25" s="368"/>
      <c r="U25" s="368"/>
      <c r="V25" s="582"/>
      <c r="W25" s="368"/>
      <c r="X25" s="368"/>
      <c r="Y25" s="962"/>
      <c r="Z25" s="614"/>
    </row>
    <row r="26" spans="1:26" ht="11.25" customHeight="1">
      <c r="A26" s="857"/>
      <c r="B26" s="602"/>
      <c r="C26" s="603" t="s">
        <v>472</v>
      </c>
      <c r="D26" s="603"/>
      <c r="E26" s="603"/>
      <c r="F26" s="604"/>
      <c r="G26" s="604"/>
      <c r="H26" s="604"/>
      <c r="I26" s="604"/>
      <c r="J26" s="604"/>
      <c r="K26" s="605"/>
      <c r="L26" s="368"/>
      <c r="M26" s="368"/>
      <c r="N26" s="368"/>
      <c r="O26" s="602"/>
      <c r="P26" s="604"/>
      <c r="Q26" s="604"/>
      <c r="R26" s="603"/>
      <c r="S26" s="604"/>
      <c r="T26" s="604"/>
      <c r="U26" s="604"/>
      <c r="V26" s="605"/>
      <c r="W26" s="368"/>
      <c r="X26" s="368"/>
      <c r="Y26" s="962"/>
      <c r="Z26" s="614"/>
    </row>
    <row r="27" spans="1:26" ht="6.75" customHeight="1">
      <c r="A27" s="857"/>
      <c r="B27" s="35"/>
      <c r="C27" s="35"/>
      <c r="D27" s="35"/>
      <c r="E27" s="35"/>
      <c r="F27" s="83"/>
      <c r="G27" s="35"/>
      <c r="H27" s="35"/>
      <c r="I27" s="35"/>
      <c r="J27" s="35"/>
      <c r="K27" s="35"/>
      <c r="L27" s="44"/>
      <c r="M27" s="44"/>
      <c r="N27" s="44"/>
      <c r="O27" s="35"/>
      <c r="P27" s="35"/>
      <c r="Q27" s="35"/>
      <c r="R27" s="35"/>
      <c r="S27" s="83"/>
      <c r="T27" s="83"/>
      <c r="U27" s="35"/>
      <c r="V27" s="35"/>
      <c r="W27" s="44"/>
      <c r="X27" s="44"/>
      <c r="Y27" s="112"/>
      <c r="Z27" s="614"/>
    </row>
    <row r="28" spans="1:26">
      <c r="A28" s="857"/>
      <c r="B28" s="35"/>
      <c r="C28" s="35"/>
      <c r="D28" s="35"/>
      <c r="E28" s="35"/>
      <c r="F28" s="644" t="s">
        <v>437</v>
      </c>
      <c r="G28" s="35"/>
      <c r="H28" s="35"/>
      <c r="I28" s="35"/>
      <c r="J28" s="35"/>
      <c r="K28" s="35"/>
      <c r="L28" s="44"/>
      <c r="M28" s="44"/>
      <c r="N28" s="44"/>
      <c r="O28" s="35"/>
      <c r="P28" s="35"/>
      <c r="Q28" s="35"/>
      <c r="R28" s="35"/>
      <c r="S28" s="44"/>
      <c r="T28" s="47" t="s">
        <v>252</v>
      </c>
      <c r="U28" s="35"/>
      <c r="V28" s="35"/>
      <c r="W28" s="44"/>
      <c r="X28" s="44"/>
      <c r="Y28" s="112"/>
      <c r="Z28" s="614"/>
    </row>
    <row r="29" spans="1:26" ht="6" customHeight="1">
      <c r="A29" s="857"/>
      <c r="B29" s="598"/>
      <c r="C29" s="599"/>
      <c r="D29" s="599"/>
      <c r="E29" s="599"/>
      <c r="F29" s="483"/>
      <c r="G29" s="483"/>
      <c r="H29" s="483"/>
      <c r="I29" s="483"/>
      <c r="J29" s="483"/>
      <c r="K29" s="600"/>
      <c r="L29" s="44"/>
      <c r="M29" s="44"/>
      <c r="N29" s="44"/>
      <c r="O29" s="606"/>
      <c r="P29" s="83"/>
      <c r="Q29" s="83"/>
      <c r="R29" s="83"/>
      <c r="S29" s="83"/>
      <c r="T29" s="83"/>
      <c r="U29" s="83"/>
      <c r="V29" s="81"/>
      <c r="W29" s="44"/>
      <c r="X29" s="44"/>
      <c r="Y29" s="112"/>
      <c r="Z29" s="614"/>
    </row>
    <row r="30" spans="1:26">
      <c r="A30" s="857"/>
      <c r="B30" s="581"/>
      <c r="C30" s="369" t="s">
        <v>322</v>
      </c>
      <c r="D30" s="369"/>
      <c r="E30" s="369"/>
      <c r="F30" s="368"/>
      <c r="G30" s="368"/>
      <c r="H30" s="368"/>
      <c r="I30" s="368"/>
      <c r="J30" s="368"/>
      <c r="K30" s="582"/>
      <c r="L30" s="601" t="s">
        <v>436</v>
      </c>
      <c r="M30" s="44"/>
      <c r="N30" s="44"/>
      <c r="O30" s="532"/>
      <c r="P30" s="858" t="s">
        <v>752</v>
      </c>
      <c r="Q30" s="44"/>
      <c r="R30" s="44"/>
      <c r="S30" s="44"/>
      <c r="T30" s="44"/>
      <c r="U30" s="44"/>
      <c r="V30" s="607"/>
      <c r="W30" s="645" t="s">
        <v>436</v>
      </c>
      <c r="X30" s="44"/>
      <c r="Y30" s="112"/>
      <c r="Z30" s="614"/>
    </row>
    <row r="31" spans="1:26">
      <c r="A31" s="857"/>
      <c r="B31" s="581"/>
      <c r="C31" s="369" t="s">
        <v>1123</v>
      </c>
      <c r="D31" s="369"/>
      <c r="E31" s="369"/>
      <c r="F31" s="368"/>
      <c r="G31" s="368"/>
      <c r="H31" s="368"/>
      <c r="I31" s="368"/>
      <c r="J31" s="368"/>
      <c r="K31" s="582"/>
      <c r="L31" s="44"/>
      <c r="M31" s="44"/>
      <c r="N31" s="44"/>
      <c r="O31" s="532"/>
      <c r="P31" s="369" t="s">
        <v>523</v>
      </c>
      <c r="Q31" s="44"/>
      <c r="R31" s="44"/>
      <c r="S31" s="44"/>
      <c r="T31" s="44"/>
      <c r="U31" s="44"/>
      <c r="V31" s="607"/>
      <c r="W31" s="44"/>
      <c r="X31" s="44"/>
      <c r="Y31" s="112"/>
      <c r="Z31" s="614"/>
    </row>
    <row r="32" spans="1:26" ht="7.5" customHeight="1">
      <c r="A32" s="857"/>
      <c r="B32" s="602"/>
      <c r="C32" s="603"/>
      <c r="D32" s="603"/>
      <c r="E32" s="603"/>
      <c r="F32" s="604"/>
      <c r="G32" s="604"/>
      <c r="H32" s="604"/>
      <c r="I32" s="604"/>
      <c r="J32" s="604"/>
      <c r="K32" s="605"/>
      <c r="L32" s="44"/>
      <c r="M32" s="44"/>
      <c r="N32" s="44"/>
      <c r="O32" s="66"/>
      <c r="P32" s="63"/>
      <c r="Q32" s="63"/>
      <c r="R32" s="63"/>
      <c r="S32" s="63"/>
      <c r="T32" s="63"/>
      <c r="U32" s="63"/>
      <c r="V32" s="70"/>
      <c r="W32" s="44"/>
      <c r="X32" s="44"/>
      <c r="Y32" s="112"/>
      <c r="Z32" s="614"/>
    </row>
    <row r="33" spans="1:26" ht="6.75" customHeight="1">
      <c r="A33" s="857"/>
      <c r="B33" s="35"/>
      <c r="C33" s="35"/>
      <c r="D33" s="35"/>
      <c r="E33" s="35"/>
      <c r="F33" s="83"/>
      <c r="G33" s="35"/>
      <c r="H33" s="35"/>
      <c r="I33" s="35"/>
      <c r="J33" s="35"/>
      <c r="K33" s="35"/>
      <c r="L33" s="44"/>
      <c r="M33" s="44"/>
      <c r="N33" s="44"/>
      <c r="O33" s="35"/>
      <c r="P33" s="35"/>
      <c r="Q33" s="35"/>
      <c r="R33" s="35"/>
      <c r="S33" s="44"/>
      <c r="T33" s="44"/>
      <c r="U33" s="35"/>
      <c r="V33" s="35"/>
      <c r="W33" s="44"/>
      <c r="X33" s="44"/>
      <c r="Y33" s="112"/>
      <c r="Z33" s="614"/>
    </row>
    <row r="34" spans="1:26">
      <c r="A34" s="857"/>
      <c r="B34" s="35"/>
      <c r="C34" s="35"/>
      <c r="D34" s="35"/>
      <c r="E34" s="1496">
        <v>108.28</v>
      </c>
      <c r="F34" s="644" t="s">
        <v>437</v>
      </c>
      <c r="G34" s="35"/>
      <c r="H34" s="35"/>
      <c r="I34" s="35"/>
      <c r="J34" s="35"/>
      <c r="K34" s="35"/>
      <c r="L34" s="44"/>
      <c r="M34" s="44"/>
      <c r="N34" s="44"/>
      <c r="O34" s="35"/>
      <c r="P34" s="35"/>
      <c r="Q34" s="35"/>
      <c r="R34" s="35"/>
      <c r="S34" s="63"/>
      <c r="T34" s="47" t="s">
        <v>252</v>
      </c>
      <c r="U34" s="35"/>
      <c r="V34" s="35"/>
      <c r="W34" s="44"/>
      <c r="X34" s="44"/>
      <c r="Y34" s="112"/>
      <c r="Z34" s="614"/>
    </row>
    <row r="35" spans="1:26" ht="6" customHeight="1">
      <c r="A35" s="857"/>
      <c r="B35" s="598"/>
      <c r="C35" s="599"/>
      <c r="D35" s="599"/>
      <c r="E35" s="599"/>
      <c r="F35" s="483"/>
      <c r="G35" s="483"/>
      <c r="H35" s="483"/>
      <c r="I35" s="483"/>
      <c r="J35" s="483"/>
      <c r="K35" s="600"/>
      <c r="L35" s="44"/>
      <c r="M35" s="44"/>
      <c r="N35" s="44"/>
      <c r="O35" s="598"/>
      <c r="P35" s="483"/>
      <c r="Q35" s="483"/>
      <c r="R35" s="599"/>
      <c r="S35" s="483"/>
      <c r="T35" s="483"/>
      <c r="U35" s="483"/>
      <c r="V35" s="600"/>
      <c r="W35" s="44"/>
      <c r="X35" s="44"/>
      <c r="Y35" s="112"/>
      <c r="Z35" s="614"/>
    </row>
    <row r="36" spans="1:26">
      <c r="A36" s="857"/>
      <c r="B36" s="581"/>
      <c r="C36" s="369" t="s">
        <v>250</v>
      </c>
      <c r="D36" s="369"/>
      <c r="E36" s="369"/>
      <c r="F36" s="368"/>
      <c r="G36" s="368"/>
      <c r="H36" s="368"/>
      <c r="I36" s="368"/>
      <c r="J36" s="368"/>
      <c r="K36" s="582"/>
      <c r="L36" s="601" t="s">
        <v>436</v>
      </c>
      <c r="M36" s="44"/>
      <c r="N36" s="73" t="s">
        <v>437</v>
      </c>
      <c r="O36" s="581"/>
      <c r="P36" s="369" t="s">
        <v>376</v>
      </c>
      <c r="Q36" s="369"/>
      <c r="R36" s="369"/>
      <c r="S36" s="368"/>
      <c r="T36" s="368"/>
      <c r="U36" s="368"/>
      <c r="V36" s="582"/>
      <c r="W36" s="645" t="s">
        <v>436</v>
      </c>
      <c r="X36" s="601"/>
      <c r="Y36" s="112"/>
      <c r="Z36" s="614"/>
    </row>
    <row r="37" spans="1:26">
      <c r="A37" s="857"/>
      <c r="B37" s="581"/>
      <c r="C37" s="369" t="str">
        <f>"W-2 of "&amp;TEXT(E34,"$0.00")&amp;" or more?"</f>
        <v>W-2 of $108.28 or more?</v>
      </c>
      <c r="D37" s="369"/>
      <c r="E37" s="369"/>
      <c r="F37" s="368"/>
      <c r="G37" s="368"/>
      <c r="H37" s="368"/>
      <c r="I37" s="368"/>
      <c r="J37" s="368"/>
      <c r="K37" s="582"/>
      <c r="L37" s="44"/>
      <c r="M37" s="44"/>
      <c r="N37" s="44"/>
      <c r="O37" s="581"/>
      <c r="P37" s="369" t="s">
        <v>377</v>
      </c>
      <c r="Q37" s="369"/>
      <c r="R37" s="369"/>
      <c r="S37" s="368"/>
      <c r="T37" s="368"/>
      <c r="U37" s="368"/>
      <c r="V37" s="582"/>
      <c r="W37" s="44"/>
      <c r="X37" s="44"/>
      <c r="Y37" s="112"/>
      <c r="Z37" s="614"/>
    </row>
    <row r="38" spans="1:26" ht="6.75" customHeight="1">
      <c r="A38" s="857"/>
      <c r="B38" s="602"/>
      <c r="C38" s="603"/>
      <c r="D38" s="603"/>
      <c r="E38" s="603"/>
      <c r="F38" s="604"/>
      <c r="G38" s="604"/>
      <c r="H38" s="604"/>
      <c r="I38" s="604"/>
      <c r="J38" s="604"/>
      <c r="K38" s="605"/>
      <c r="L38" s="44"/>
      <c r="M38" s="44"/>
      <c r="N38" s="44"/>
      <c r="O38" s="602"/>
      <c r="P38" s="604"/>
      <c r="Q38" s="604"/>
      <c r="R38" s="603"/>
      <c r="S38" s="604"/>
      <c r="T38" s="604"/>
      <c r="U38" s="604"/>
      <c r="V38" s="605"/>
      <c r="W38" s="44"/>
      <c r="X38" s="44"/>
      <c r="Y38" s="112"/>
      <c r="Z38" s="614"/>
    </row>
    <row r="39" spans="1:26" ht="6.75" customHeight="1">
      <c r="A39" s="857"/>
      <c r="B39" s="35"/>
      <c r="C39" s="35"/>
      <c r="D39" s="35"/>
      <c r="E39" s="35"/>
      <c r="F39" s="83"/>
      <c r="G39" s="35"/>
      <c r="H39" s="35"/>
      <c r="I39" s="35"/>
      <c r="J39" s="35"/>
      <c r="K39" s="35"/>
      <c r="L39" s="44"/>
      <c r="M39" s="44"/>
      <c r="N39" s="44"/>
      <c r="O39" s="35"/>
      <c r="P39" s="35"/>
      <c r="Q39" s="35"/>
      <c r="R39" s="35"/>
      <c r="S39" s="35"/>
      <c r="T39" s="83"/>
      <c r="U39" s="35"/>
      <c r="V39" s="35"/>
      <c r="W39" s="44"/>
      <c r="X39" s="44"/>
      <c r="Y39" s="112"/>
      <c r="Z39" s="614"/>
    </row>
    <row r="40" spans="1:26">
      <c r="A40" s="857"/>
      <c r="B40" s="35"/>
      <c r="C40" s="35"/>
      <c r="D40" s="35"/>
      <c r="E40" s="35"/>
      <c r="F40" s="644" t="s">
        <v>437</v>
      </c>
      <c r="G40" s="35"/>
      <c r="H40" s="35"/>
      <c r="I40" s="35"/>
      <c r="J40" s="35"/>
      <c r="K40" s="35"/>
      <c r="L40" s="44"/>
      <c r="M40" s="44"/>
      <c r="N40" s="44"/>
      <c r="O40" s="35"/>
      <c r="P40" s="35"/>
      <c r="Q40" s="35"/>
      <c r="R40" s="35"/>
      <c r="S40" s="35"/>
      <c r="T40" s="63"/>
      <c r="U40" s="35"/>
      <c r="V40" s="35"/>
      <c r="W40" s="63"/>
      <c r="X40" s="44"/>
      <c r="Y40" s="112"/>
      <c r="Z40" s="614"/>
    </row>
    <row r="41" spans="1:26" ht="6" customHeight="1" thickBot="1">
      <c r="A41" s="857"/>
      <c r="B41" s="598"/>
      <c r="C41" s="599"/>
      <c r="D41" s="599"/>
      <c r="E41" s="599"/>
      <c r="F41" s="483"/>
      <c r="G41" s="483"/>
      <c r="H41" s="483"/>
      <c r="I41" s="483"/>
      <c r="J41" s="483"/>
      <c r="K41" s="600"/>
      <c r="L41" s="44"/>
      <c r="M41" s="44"/>
      <c r="N41" s="44"/>
      <c r="O41" s="598"/>
      <c r="P41" s="483"/>
      <c r="Q41" s="483"/>
      <c r="R41" s="599"/>
      <c r="S41" s="483"/>
      <c r="T41" s="483"/>
      <c r="U41" s="483"/>
      <c r="V41" s="483"/>
      <c r="W41" s="44"/>
      <c r="X41" s="81"/>
      <c r="Y41" s="112"/>
      <c r="Z41" s="614"/>
    </row>
    <row r="42" spans="1:26" ht="13.5" customHeight="1" thickBot="1">
      <c r="A42" s="857"/>
      <c r="B42" s="581"/>
      <c r="C42" s="2121"/>
      <c r="D42" s="609"/>
      <c r="E42" s="609"/>
      <c r="F42" s="1695" t="s">
        <v>1145</v>
      </c>
      <c r="G42" s="368"/>
      <c r="H42" s="368"/>
      <c r="I42" s="368"/>
      <c r="J42" s="368"/>
      <c r="K42" s="582"/>
      <c r="L42" s="44"/>
      <c r="M42" s="44"/>
      <c r="N42" s="607"/>
      <c r="O42" s="581"/>
      <c r="P42" s="2121"/>
      <c r="Q42" s="1696" t="s">
        <v>1146</v>
      </c>
      <c r="R42" s="609"/>
      <c r="S42" s="610"/>
      <c r="T42" s="610"/>
      <c r="U42" s="368"/>
      <c r="V42" s="368"/>
      <c r="W42" s="44"/>
      <c r="X42" s="607"/>
      <c r="Y42" s="112"/>
      <c r="Z42" s="629" t="str">
        <f>IF(AND(C42="",P42=""),"&lt;–  Check one.",IF(AND(C42&lt;&gt;"",P42&lt;&gt;""),"Check only one.",""))</f>
        <v>&lt;–  Check one.</v>
      </c>
    </row>
    <row r="43" spans="1:26" ht="6" customHeight="1">
      <c r="A43" s="857"/>
      <c r="B43" s="602"/>
      <c r="C43" s="603"/>
      <c r="D43" s="603"/>
      <c r="E43" s="603"/>
      <c r="F43" s="604"/>
      <c r="G43" s="604"/>
      <c r="H43" s="604"/>
      <c r="I43" s="604"/>
      <c r="J43" s="604"/>
      <c r="K43" s="605"/>
      <c r="L43" s="44"/>
      <c r="M43" s="44"/>
      <c r="N43" s="44"/>
      <c r="O43" s="602"/>
      <c r="P43" s="604"/>
      <c r="Q43" s="604"/>
      <c r="R43" s="603"/>
      <c r="S43" s="604"/>
      <c r="T43" s="604"/>
      <c r="U43" s="604"/>
      <c r="V43" s="604"/>
      <c r="W43" s="63"/>
      <c r="X43" s="70"/>
      <c r="Y43" s="112"/>
      <c r="Z43" s="614"/>
    </row>
    <row r="44" spans="1:26">
      <c r="A44" s="857"/>
      <c r="B44" s="63"/>
      <c r="C44" s="63"/>
      <c r="D44" s="63"/>
      <c r="E44" s="4527" t="b">
        <f>IF(AND(C42&lt;&gt;"",P42=""),TRUE,FALSE)</f>
        <v>0</v>
      </c>
      <c r="F44" s="63"/>
      <c r="G44" s="63"/>
      <c r="H44" s="63"/>
      <c r="I44" s="1253"/>
      <c r="J44" s="1253"/>
      <c r="K44" s="1253"/>
      <c r="L44" s="1250"/>
      <c r="M44" s="1252" t="str">
        <f>IF(AND($C$42="",$P$42=""),"Check one.  Hint: Try each to see which results in smallest tax consequence!",IF(AND($C$42&lt;&gt;"",$P$42&lt;&gt;""),"Check only one.",""))</f>
        <v>Check one.  Hint: Try each to see which results in smallest tax consequence!</v>
      </c>
      <c r="N44" s="1250"/>
      <c r="O44" s="63"/>
      <c r="P44" s="63"/>
      <c r="Q44" s="63"/>
      <c r="R44" s="63"/>
      <c r="S44" s="63"/>
      <c r="T44" s="63"/>
      <c r="U44" s="63"/>
      <c r="V44" s="4527" t="b">
        <f>IF(AND(P42&lt;&gt;"",C42=""),TRUE,FALSE)</f>
        <v>0</v>
      </c>
      <c r="W44" s="63"/>
      <c r="X44" s="63"/>
      <c r="Y44" s="112"/>
      <c r="Z44" s="614"/>
    </row>
    <row r="45" spans="1:26" ht="5.25" customHeight="1">
      <c r="A45" s="857"/>
      <c r="B45" s="35"/>
      <c r="C45" s="35"/>
      <c r="D45" s="35"/>
      <c r="E45" s="35"/>
      <c r="F45" s="35"/>
      <c r="G45" s="35"/>
      <c r="H45" s="35"/>
      <c r="I45" s="35"/>
      <c r="J45" s="35"/>
      <c r="K45" s="35"/>
      <c r="L45" s="44"/>
      <c r="M45" s="44"/>
      <c r="N45" s="44"/>
      <c r="O45" s="35"/>
      <c r="P45" s="35"/>
      <c r="Q45" s="35"/>
      <c r="R45" s="35"/>
      <c r="S45" s="35"/>
      <c r="T45" s="35"/>
      <c r="U45" s="35"/>
      <c r="V45" s="35"/>
      <c r="W45" s="35"/>
      <c r="X45" s="35"/>
      <c r="Y45" s="112"/>
      <c r="Z45" s="5676" t="s">
        <v>3343</v>
      </c>
    </row>
    <row r="46" spans="1:26" ht="15" customHeight="1">
      <c r="A46" s="857"/>
      <c r="B46" s="611" t="s">
        <v>273</v>
      </c>
      <c r="C46" s="164"/>
      <c r="D46" s="164"/>
      <c r="E46" s="164"/>
      <c r="F46" s="164"/>
      <c r="G46" s="164"/>
      <c r="H46" s="164"/>
      <c r="I46" s="164"/>
      <c r="J46" s="164"/>
      <c r="K46" s="164"/>
      <c r="L46" s="368"/>
      <c r="M46" s="368"/>
      <c r="N46" s="368"/>
      <c r="O46" s="164"/>
      <c r="P46" s="164"/>
      <c r="Q46" s="164"/>
      <c r="R46" s="164"/>
      <c r="S46" s="164"/>
      <c r="T46" s="164"/>
      <c r="U46" s="164"/>
      <c r="V46" s="164"/>
      <c r="W46" s="164"/>
      <c r="X46" s="164"/>
      <c r="Y46" s="962"/>
      <c r="Z46" s="4724"/>
    </row>
    <row r="47" spans="1:26" ht="6.75" customHeight="1">
      <c r="A47" s="857"/>
      <c r="B47" s="63"/>
      <c r="C47" s="63"/>
      <c r="D47" s="63"/>
      <c r="E47" s="63"/>
      <c r="F47" s="63"/>
      <c r="G47" s="63"/>
      <c r="H47" s="63"/>
      <c r="I47" s="63"/>
      <c r="J47" s="63"/>
      <c r="K47" s="63"/>
      <c r="L47" s="63"/>
      <c r="M47" s="63"/>
      <c r="N47" s="63"/>
      <c r="O47" s="63"/>
      <c r="P47" s="63"/>
      <c r="Q47" s="63"/>
      <c r="R47" s="63"/>
      <c r="S47" s="63"/>
      <c r="T47" s="63"/>
      <c r="U47" s="63"/>
      <c r="V47" s="63"/>
      <c r="W47" s="63"/>
      <c r="X47" s="63"/>
      <c r="Y47" s="112"/>
      <c r="Z47" s="4724"/>
    </row>
    <row r="48" spans="1:26" ht="12.75" customHeight="1" thickBot="1">
      <c r="A48" s="857"/>
      <c r="B48" s="35"/>
      <c r="C48" s="452" t="s">
        <v>18</v>
      </c>
      <c r="D48" s="1464" t="s">
        <v>1124</v>
      </c>
      <c r="E48" s="35"/>
      <c r="F48" s="35"/>
      <c r="G48" s="35"/>
      <c r="H48" s="35"/>
      <c r="I48" s="35"/>
      <c r="J48" s="35"/>
      <c r="K48" s="35"/>
      <c r="L48" s="44"/>
      <c r="M48" s="44"/>
      <c r="N48" s="44"/>
      <c r="O48" s="35"/>
      <c r="P48" s="35"/>
      <c r="Q48" s="35"/>
      <c r="R48" s="35"/>
      <c r="S48" s="35"/>
      <c r="T48" s="35"/>
      <c r="U48" s="606"/>
      <c r="V48" s="5623"/>
      <c r="W48" s="4968"/>
      <c r="X48" s="4968"/>
      <c r="Y48" s="112"/>
      <c r="Z48" s="614"/>
    </row>
    <row r="49" spans="1:29" ht="14.25" customHeight="1" thickBot="1">
      <c r="A49" s="857"/>
      <c r="B49" s="164"/>
      <c r="C49" s="576"/>
      <c r="D49" s="164" t="s">
        <v>620</v>
      </c>
      <c r="E49" s="164"/>
      <c r="F49" s="164"/>
      <c r="G49" s="164"/>
      <c r="H49" s="164"/>
      <c r="I49" s="164"/>
      <c r="J49" s="164"/>
      <c r="K49" s="164"/>
      <c r="L49" s="368"/>
      <c r="M49" s="368"/>
      <c r="N49" s="368"/>
      <c r="O49" s="164"/>
      <c r="P49" s="164"/>
      <c r="Q49" s="164"/>
      <c r="R49" s="164"/>
      <c r="S49" s="164"/>
      <c r="T49" s="778" t="s">
        <v>689</v>
      </c>
      <c r="U49" s="613" t="s">
        <v>18</v>
      </c>
      <c r="V49" s="5601" t="str">
        <f>IF(Z49&lt;&gt;"",ROUND(Z49,0),IF(OR(C42="",P42&lt;&gt;""),"",FarmProfitNet))</f>
        <v/>
      </c>
      <c r="W49" s="5602"/>
      <c r="X49" s="5602"/>
      <c r="Y49" s="962"/>
      <c r="Z49" s="566"/>
    </row>
    <row r="50" spans="1:29" ht="12.75" customHeight="1">
      <c r="A50" s="857"/>
      <c r="B50" s="35"/>
      <c r="C50" s="452" t="s">
        <v>21</v>
      </c>
      <c r="D50" s="360" t="s">
        <v>736</v>
      </c>
      <c r="E50" s="35"/>
      <c r="F50" s="35"/>
      <c r="G50" s="35"/>
      <c r="H50" s="35"/>
      <c r="I50" s="35"/>
      <c r="J50" s="35"/>
      <c r="K50" s="35"/>
      <c r="L50" s="44"/>
      <c r="M50" s="44"/>
      <c r="N50" s="44"/>
      <c r="O50" s="35"/>
      <c r="P50" s="35"/>
      <c r="Q50" s="35"/>
      <c r="R50" s="35"/>
      <c r="S50" s="35"/>
      <c r="T50" s="35"/>
      <c r="U50" s="606"/>
      <c r="V50" s="5623"/>
      <c r="W50" s="4968"/>
      <c r="X50" s="4968"/>
      <c r="Y50" s="112"/>
      <c r="Z50" s="614"/>
    </row>
    <row r="51" spans="1:29" ht="14.25" customHeight="1">
      <c r="A51" s="857"/>
      <c r="B51" s="164"/>
      <c r="C51" s="576"/>
      <c r="D51" s="688" t="s">
        <v>1663</v>
      </c>
      <c r="E51" s="164"/>
      <c r="F51" s="164"/>
      <c r="G51" s="164"/>
      <c r="H51" s="164"/>
      <c r="I51" s="164"/>
      <c r="J51" s="164"/>
      <c r="K51" s="164"/>
      <c r="L51" s="368"/>
      <c r="M51" s="368"/>
      <c r="N51" s="368"/>
      <c r="O51" s="164"/>
      <c r="P51" s="164"/>
      <c r="Q51" s="164"/>
      <c r="R51" s="164"/>
      <c r="S51" s="164"/>
      <c r="T51" s="778" t="s">
        <v>647</v>
      </c>
      <c r="U51" s="613" t="s">
        <v>21</v>
      </c>
      <c r="V51" s="5612"/>
      <c r="W51" s="5613"/>
      <c r="X51" s="5613"/>
      <c r="Y51" s="962"/>
      <c r="Z51" s="4526" t="str">
        <f>IF(AND($E$44,SchC_StatutoryEmp&lt;&gt;""),"See instructions:","")</f>
        <v/>
      </c>
    </row>
    <row r="52" spans="1:29">
      <c r="A52" s="857"/>
      <c r="B52" s="35"/>
      <c r="C52" s="452">
        <v>2</v>
      </c>
      <c r="D52" s="35" t="s">
        <v>205</v>
      </c>
      <c r="E52" s="35"/>
      <c r="F52" s="35"/>
      <c r="G52" s="35"/>
      <c r="H52" s="35"/>
      <c r="I52" s="35"/>
      <c r="J52" s="35"/>
      <c r="K52" s="35"/>
      <c r="L52" s="44"/>
      <c r="M52" s="44"/>
      <c r="N52" s="44"/>
      <c r="O52" s="35"/>
      <c r="P52" s="35"/>
      <c r="Q52" s="35"/>
      <c r="R52" s="35"/>
      <c r="S52" s="35"/>
      <c r="T52" s="35"/>
      <c r="U52" s="82"/>
      <c r="V52" s="5599" t="s">
        <v>648</v>
      </c>
      <c r="W52" s="5600"/>
      <c r="X52" s="5600"/>
      <c r="Y52" s="112"/>
      <c r="Z52" s="4525" t="str">
        <f>IF(AND($E$44,SchC_StatutoryEmp&lt;&gt;""),"Statutory employee","")</f>
        <v/>
      </c>
    </row>
    <row r="53" spans="1:29">
      <c r="A53" s="857"/>
      <c r="B53" s="35"/>
      <c r="C53" s="452"/>
      <c r="D53" s="35" t="s">
        <v>687</v>
      </c>
      <c r="E53" s="35"/>
      <c r="F53" s="35"/>
      <c r="G53" s="35"/>
      <c r="H53" s="35"/>
      <c r="I53" s="35"/>
      <c r="J53" s="35"/>
      <c r="K53" s="35"/>
      <c r="L53" s="44"/>
      <c r="M53" s="44"/>
      <c r="N53" s="44"/>
      <c r="O53" s="35"/>
      <c r="P53" s="35"/>
      <c r="Q53" s="35"/>
      <c r="R53" s="35"/>
      <c r="S53" s="35"/>
      <c r="T53" s="35"/>
      <c r="U53" s="612"/>
      <c r="V53" s="5611" t="s">
        <v>649</v>
      </c>
      <c r="W53" s="4772"/>
      <c r="X53" s="4772"/>
      <c r="Y53" s="112"/>
      <c r="Z53" s="4525" t="str">
        <f>IF(AND($E$44,SchC_StatutoryEmp&lt;&gt;""),"profit is not to be","")</f>
        <v/>
      </c>
    </row>
    <row r="54" spans="1:29" ht="12.75" customHeight="1" thickBot="1">
      <c r="A54" s="857"/>
      <c r="B54" s="35"/>
      <c r="C54" s="452"/>
      <c r="D54" s="1464" t="s">
        <v>1125</v>
      </c>
      <c r="E54" s="35"/>
      <c r="F54" s="35"/>
      <c r="G54" s="35"/>
      <c r="H54" s="35"/>
      <c r="I54" s="35"/>
      <c r="J54" s="35"/>
      <c r="K54" s="35"/>
      <c r="L54" s="44"/>
      <c r="M54" s="44"/>
      <c r="N54" s="44"/>
      <c r="O54" s="35"/>
      <c r="P54" s="35"/>
      <c r="Q54" s="35"/>
      <c r="R54" s="35"/>
      <c r="S54" s="35"/>
      <c r="T54" s="35"/>
      <c r="U54" s="612"/>
      <c r="V54" s="5611" t="s">
        <v>650</v>
      </c>
      <c r="W54" s="4772"/>
      <c r="X54" s="4772"/>
      <c r="Y54" s="112"/>
      <c r="Z54" s="4525" t="str">
        <f>IF(AND($E$44,SchC_StatutoryEmp&lt;&gt;""),"included on Line 2.","")</f>
        <v/>
      </c>
    </row>
    <row r="55" spans="1:29" ht="16.5" customHeight="1" thickBot="1">
      <c r="A55" s="857"/>
      <c r="B55" s="35"/>
      <c r="C55" s="452"/>
      <c r="D55" s="1505" t="s">
        <v>1126</v>
      </c>
      <c r="E55" s="35"/>
      <c r="F55" s="35"/>
      <c r="G55" s="35"/>
      <c r="H55" s="35"/>
      <c r="I55" s="35"/>
      <c r="J55" s="35"/>
      <c r="K55" s="35"/>
      <c r="L55" s="44"/>
      <c r="M55" s="44"/>
      <c r="N55" s="44"/>
      <c r="O55" s="35"/>
      <c r="P55" s="35"/>
      <c r="Q55" s="35"/>
      <c r="R55" s="35"/>
      <c r="S55" s="35"/>
      <c r="T55" s="778" t="s">
        <v>924</v>
      </c>
      <c r="U55" s="608">
        <v>2</v>
      </c>
      <c r="V55" s="5601" t="str">
        <f>IF(OR(C42="",P42&lt;&gt;""),"",IF(Z55&lt;&gt;"",ROUND(Z55,0),IF(SchC_StatutoryEmp&lt;&gt;"",0,Business_Profit)))</f>
        <v/>
      </c>
      <c r="W55" s="5602"/>
      <c r="X55" s="5602"/>
      <c r="Y55" s="112"/>
      <c r="Z55" s="566"/>
    </row>
    <row r="56" spans="1:29" ht="13.5" customHeight="1" thickBot="1">
      <c r="A56" s="857"/>
      <c r="B56" s="164"/>
      <c r="C56" s="576">
        <v>3</v>
      </c>
      <c r="D56" s="1497" t="s">
        <v>1127</v>
      </c>
      <c r="E56" s="164"/>
      <c r="F56" s="164"/>
      <c r="G56" s="164"/>
      <c r="H56" s="164"/>
      <c r="I56" s="164"/>
      <c r="J56" s="164"/>
      <c r="K56" s="164"/>
      <c r="L56" s="164"/>
      <c r="M56" s="164"/>
      <c r="N56" s="164"/>
      <c r="O56" s="164"/>
      <c r="P56" s="164"/>
      <c r="Q56" s="164"/>
      <c r="R56" s="164"/>
      <c r="S56" s="164"/>
      <c r="T56" s="778" t="s">
        <v>278</v>
      </c>
      <c r="U56" s="613">
        <v>3</v>
      </c>
      <c r="V56" s="5627" t="str">
        <f>IF(Z56&lt;&gt;"",Z56,IF(P42&lt;&gt;"","",IF(OR(AND(C42="",P42=""),AND(C42&lt;&gt;"",P42&lt;&gt;"")),"",IF(C42&lt;&gt;"",SUM(V49,V51,V55),""))))</f>
        <v/>
      </c>
      <c r="W56" s="5628"/>
      <c r="X56" s="5628"/>
      <c r="Y56" s="962"/>
      <c r="Z56" s="566"/>
    </row>
    <row r="57" spans="1:29" ht="13.5" thickBot="1">
      <c r="A57" s="857"/>
      <c r="B57" s="35"/>
      <c r="C57" s="452">
        <v>4</v>
      </c>
      <c r="D57" s="35" t="str">
        <f>"Multiply line 3 by "&amp;TEXT(V59,"0.00%")&amp;" ("&amp;TEXT(V59,"0.0000")&amp;")."</f>
        <v>Multiply line 3 by 92.35% (0.9235).</v>
      </c>
      <c r="E57" s="414"/>
      <c r="F57" s="35"/>
      <c r="G57" s="35"/>
      <c r="H57" s="35"/>
      <c r="I57" s="1464" t="str">
        <f>"If less than "&amp;TEXT(V57,"$0")&amp;", you do not owe self-employment tax;"</f>
        <v>If less than $400, you do not owe self-employment tax;</v>
      </c>
      <c r="J57" s="35"/>
      <c r="K57" s="35"/>
      <c r="L57" s="44"/>
      <c r="M57" s="44"/>
      <c r="N57" s="44"/>
      <c r="O57" s="35"/>
      <c r="P57" s="1464"/>
      <c r="Q57" s="35"/>
      <c r="R57" s="35"/>
      <c r="S57" s="35"/>
      <c r="T57" s="35"/>
      <c r="U57" s="82"/>
      <c r="V57" s="5713">
        <v>400</v>
      </c>
      <c r="W57" s="5714"/>
      <c r="X57" s="5714"/>
      <c r="Y57" s="112"/>
      <c r="Z57" s="1147"/>
      <c r="AC57" s="1148"/>
    </row>
    <row r="58" spans="1:29" ht="13.5" thickBot="1">
      <c r="A58" s="857"/>
      <c r="B58" s="35"/>
      <c r="C58" s="452"/>
      <c r="D58" s="1464" t="s">
        <v>1129</v>
      </c>
      <c r="E58" s="414"/>
      <c r="F58" s="35"/>
      <c r="G58" s="35"/>
      <c r="H58" s="35"/>
      <c r="I58" s="35"/>
      <c r="J58" s="35"/>
      <c r="K58" s="35"/>
      <c r="L58" s="44"/>
      <c r="M58" s="44"/>
      <c r="N58" s="44"/>
      <c r="O58" s="35"/>
      <c r="P58" s="35"/>
      <c r="Q58" s="35"/>
      <c r="R58" s="35"/>
      <c r="S58" s="778"/>
      <c r="T58" s="778" t="s">
        <v>1132</v>
      </c>
      <c r="U58" s="608">
        <v>4</v>
      </c>
      <c r="V58" s="5601" t="str">
        <f>IF(Z58&lt;&gt;"",Z58,IF(OR(C42="",P42&lt;&gt;""),"",ROUND((V56*V59),0)))</f>
        <v/>
      </c>
      <c r="W58" s="5602"/>
      <c r="X58" s="5602"/>
      <c r="Y58" s="112"/>
      <c r="Z58" s="566"/>
    </row>
    <row r="59" spans="1:29">
      <c r="A59" s="857"/>
      <c r="B59" s="35"/>
      <c r="C59" s="452"/>
      <c r="D59" s="1464" t="s">
        <v>1130</v>
      </c>
      <c r="E59" s="414"/>
      <c r="F59" s="35"/>
      <c r="G59" s="35"/>
      <c r="H59" s="35" t="str">
        <f>TEXT(V57,"$0")&amp;" due to Conservation Reserve Program payments on line 1b,"</f>
        <v>$400 due to Conservation Reserve Program payments on line 1b,</v>
      </c>
      <c r="I59" s="35"/>
      <c r="J59" s="35"/>
      <c r="K59" s="35"/>
      <c r="L59" s="44"/>
      <c r="M59" s="44"/>
      <c r="N59" s="44"/>
      <c r="O59" s="35"/>
      <c r="P59" s="35"/>
      <c r="Q59" s="35"/>
      <c r="R59" s="35"/>
      <c r="S59" s="778"/>
      <c r="T59" s="778"/>
      <c r="U59" s="623"/>
      <c r="V59" s="5629">
        <v>0.92349999999999999</v>
      </c>
      <c r="W59" s="5630"/>
      <c r="X59" s="5630"/>
      <c r="Y59" s="112"/>
      <c r="Z59" s="614"/>
    </row>
    <row r="60" spans="1:29">
      <c r="A60" s="857"/>
      <c r="B60" s="35"/>
      <c r="C60" s="452"/>
      <c r="D60" s="1464" t="s">
        <v>886</v>
      </c>
      <c r="E60" s="414"/>
      <c r="F60" s="35"/>
      <c r="G60" s="35"/>
      <c r="H60" s="35"/>
      <c r="I60" s="35"/>
      <c r="J60" s="35"/>
      <c r="K60" s="35"/>
      <c r="L60" s="44"/>
      <c r="M60" s="44"/>
      <c r="N60" s="44"/>
      <c r="O60" s="35"/>
      <c r="P60" s="35"/>
      <c r="Q60" s="35"/>
      <c r="R60" s="35"/>
      <c r="S60" s="778"/>
      <c r="T60" s="778"/>
      <c r="U60" s="623"/>
      <c r="V60" s="1527"/>
      <c r="W60" s="94"/>
      <c r="X60" s="94"/>
      <c r="Y60" s="112"/>
      <c r="Z60" s="614"/>
    </row>
    <row r="61" spans="1:29">
      <c r="A61" s="857"/>
      <c r="B61" s="35"/>
      <c r="C61" s="452">
        <v>5</v>
      </c>
      <c r="D61" s="414" t="s">
        <v>211</v>
      </c>
      <c r="E61" s="414"/>
      <c r="F61" s="35"/>
      <c r="G61" s="35"/>
      <c r="H61" s="35"/>
      <c r="I61" s="35"/>
      <c r="J61" s="35"/>
      <c r="K61" s="35"/>
      <c r="L61" s="44"/>
      <c r="M61" s="44"/>
      <c r="N61" s="44"/>
      <c r="O61" s="35"/>
      <c r="P61" s="35"/>
      <c r="Q61" s="35"/>
      <c r="R61" s="35"/>
      <c r="S61" s="20">
        <f>MaxSSTaxEarnings</f>
        <v>118500</v>
      </c>
      <c r="T61" s="35"/>
      <c r="U61" s="612"/>
      <c r="V61" s="5625">
        <v>2.9000000000000001E-2</v>
      </c>
      <c r="W61" s="5626"/>
      <c r="X61" s="5626"/>
      <c r="Y61" s="112"/>
      <c r="Z61" s="614"/>
    </row>
    <row r="62" spans="1:29" ht="15" customHeight="1">
      <c r="A62" s="857"/>
      <c r="B62" s="35"/>
      <c r="C62" s="452"/>
      <c r="D62" s="595" t="s">
        <v>198</v>
      </c>
      <c r="E62" s="1464" t="str">
        <f>TEXT(S61,"$0,000")&amp;" or less, multiply line 4 by "&amp;TEXT(V63,"0.0%")&amp;" ("&amp;TEXT(V63,"0.000")&amp;"). Enter the results here and on "</f>
        <v xml:space="preserve">$118,500 or less, multiply line 4 by 15.3% (0.153). Enter the results here and on </v>
      </c>
      <c r="F62" s="35"/>
      <c r="G62" s="35"/>
      <c r="H62" s="35"/>
      <c r="I62" s="35"/>
      <c r="J62" s="35"/>
      <c r="K62" s="35"/>
      <c r="L62" s="44"/>
      <c r="M62" s="85"/>
      <c r="N62" s="44"/>
      <c r="O62" s="35"/>
      <c r="P62" s="35"/>
      <c r="Q62" s="35"/>
      <c r="R62" s="55"/>
      <c r="S62" s="20"/>
      <c r="T62" s="365" t="str">
        <f>"Form 1040, line "&amp;'1040'!$D$94&amp;",   "</f>
        <v xml:space="preserve">Form 1040, line 57,   </v>
      </c>
      <c r="U62" s="623"/>
      <c r="V62" s="5654">
        <v>14694</v>
      </c>
      <c r="W62" s="5655"/>
      <c r="X62" s="5655"/>
      <c r="Y62" s="112"/>
      <c r="Z62" s="614"/>
    </row>
    <row r="63" spans="1:29" ht="15" customHeight="1">
      <c r="A63" s="857"/>
      <c r="B63" s="35"/>
      <c r="C63" s="452"/>
      <c r="D63" s="595"/>
      <c r="E63" s="1464" t="s">
        <v>2459</v>
      </c>
      <c r="F63" s="35"/>
      <c r="G63" s="35"/>
      <c r="H63" s="35"/>
      <c r="I63" s="35"/>
      <c r="J63" s="35"/>
      <c r="K63" s="35"/>
      <c r="L63" s="44"/>
      <c r="M63" s="44"/>
      <c r="N63" s="44"/>
      <c r="O63" s="35"/>
      <c r="P63" s="35"/>
      <c r="Q63" s="35"/>
      <c r="R63" s="55"/>
      <c r="S63" s="20"/>
      <c r="T63" s="35"/>
      <c r="U63" s="623"/>
      <c r="V63" s="5625">
        <v>0.153</v>
      </c>
      <c r="W63" s="5626"/>
      <c r="X63" s="5626"/>
      <c r="Y63" s="112"/>
      <c r="Z63" s="614"/>
    </row>
    <row r="64" spans="1:29" ht="15" thickBot="1">
      <c r="A64" s="857"/>
      <c r="B64" s="35"/>
      <c r="C64" s="452"/>
      <c r="D64" s="595" t="s">
        <v>198</v>
      </c>
      <c r="E64" s="360" t="str">
        <f>"More than "&amp;TEXT(S61,"$0,000")&amp;", multiply line 4 by "&amp;TEXT(V61,"0.0%")&amp;" ("&amp;TEXT(V61,"0.000")&amp;"). Then, add "&amp;TEXT(V62,"$0,000")&amp;" to the result."</f>
        <v>More than $118,500, multiply line 4 by 2.9% (0.029). Then, add $14,694 to the result.</v>
      </c>
      <c r="F64" s="35"/>
      <c r="G64" s="35"/>
      <c r="H64" s="35"/>
      <c r="I64" s="35"/>
      <c r="J64" s="35"/>
      <c r="K64" s="35"/>
      <c r="L64" s="44"/>
      <c r="M64" s="44"/>
      <c r="N64" s="44"/>
      <c r="O64" s="35"/>
      <c r="P64" s="35"/>
      <c r="Q64" s="35"/>
      <c r="R64" s="5710" t="str">
        <f>IF(AND(C42&lt;&gt;"",OR(V51="",V51=0),V58&lt;V57),"Do not file Sch. SE.","")</f>
        <v/>
      </c>
      <c r="S64" s="5711"/>
      <c r="T64" s="5712"/>
      <c r="U64" s="612"/>
      <c r="V64" s="5603" t="str">
        <f>IF(AND(C42&lt;&gt;"",OR(V51="",V51=0),V58&lt;V57),"Stop.","")</f>
        <v/>
      </c>
      <c r="W64" s="5604"/>
      <c r="X64" s="5604"/>
      <c r="Y64" s="112"/>
      <c r="Z64" s="614"/>
    </row>
    <row r="65" spans="1:26" ht="13.5" thickBot="1">
      <c r="A65" s="857"/>
      <c r="B65" s="35"/>
      <c r="C65" s="452"/>
      <c r="D65" s="452"/>
      <c r="E65" s="360" t="s">
        <v>2460</v>
      </c>
      <c r="F65" s="35"/>
      <c r="G65" s="35"/>
      <c r="H65" s="35"/>
      <c r="I65" s="35"/>
      <c r="J65" s="55"/>
      <c r="K65" s="35"/>
      <c r="L65" s="44"/>
      <c r="M65" s="44"/>
      <c r="N65" s="44"/>
      <c r="O65" s="35"/>
      <c r="P65" s="35"/>
      <c r="Q65" s="35"/>
      <c r="R65" s="44"/>
      <c r="S65" s="717"/>
      <c r="T65" s="778" t="s">
        <v>1131</v>
      </c>
      <c r="U65" s="608">
        <v>5</v>
      </c>
      <c r="V65" s="5601" t="str">
        <f>IF(Z65&lt;&gt;"",Z65,IF(OR(C42="",P42&lt;&gt;""),"",IF(AND(C42&lt;&gt;"",OR(V51="",V51=0),V58&lt;V57),"",IF(V58&lt;S61,ROUND((V58*V63),0),ROUND(SUM((V58*V61),V62),0)))))</f>
        <v/>
      </c>
      <c r="W65" s="5602"/>
      <c r="X65" s="5602"/>
      <c r="Y65" s="112"/>
      <c r="Z65" s="566"/>
    </row>
    <row r="66" spans="1:26">
      <c r="A66" s="857"/>
      <c r="B66" s="35"/>
      <c r="C66" s="452">
        <v>6</v>
      </c>
      <c r="D66" s="364" t="s">
        <v>1664</v>
      </c>
      <c r="E66" s="35"/>
      <c r="F66" s="35"/>
      <c r="G66" s="35"/>
      <c r="H66" s="35"/>
      <c r="I66" s="35"/>
      <c r="J66" s="35"/>
      <c r="K66" s="35"/>
      <c r="L66" s="44"/>
      <c r="M66" s="44"/>
      <c r="N66" s="44"/>
      <c r="O66" s="35"/>
      <c r="P66" s="612"/>
      <c r="Q66" s="5671"/>
      <c r="R66" s="4563"/>
      <c r="S66" s="4563"/>
      <c r="T66" s="4564"/>
      <c r="U66" s="5614"/>
      <c r="V66" s="4968"/>
      <c r="W66" s="4968"/>
      <c r="X66" s="4968"/>
      <c r="Y66" s="112"/>
      <c r="Z66" s="614"/>
    </row>
    <row r="67" spans="1:26" ht="13.5" thickBot="1">
      <c r="A67" s="857"/>
      <c r="B67" s="35"/>
      <c r="C67" s="452"/>
      <c r="D67" s="1464" t="str">
        <f>"Multiply line 5 by "&amp;TEXT(Q67,"0%")&amp;" ("&amp;TEXT(Q67,"0.00")&amp;"). Enter the result here and on"</f>
        <v>Multiply line 5 by 50% (0.50). Enter the result here and on</v>
      </c>
      <c r="E67" s="1464"/>
      <c r="F67" s="35"/>
      <c r="G67" s="35"/>
      <c r="H67" s="35"/>
      <c r="I67" s="35"/>
      <c r="J67" s="35"/>
      <c r="K67" s="35"/>
      <c r="L67" s="44"/>
      <c r="M67" s="68" t="s">
        <v>469</v>
      </c>
      <c r="N67" s="44"/>
      <c r="O67" s="35"/>
      <c r="P67" s="612"/>
      <c r="Q67" s="5701">
        <v>0.5</v>
      </c>
      <c r="R67" s="5666"/>
      <c r="S67" s="5666"/>
      <c r="T67" s="5667"/>
      <c r="U67" s="112"/>
      <c r="V67" s="112"/>
      <c r="W67" s="112"/>
      <c r="X67" s="112"/>
      <c r="Y67" s="112"/>
      <c r="Z67" s="614"/>
    </row>
    <row r="68" spans="1:26" ht="13.5" thickBot="1">
      <c r="A68" s="857"/>
      <c r="B68" s="52"/>
      <c r="C68" s="616"/>
      <c r="D68" s="2751" t="s">
        <v>1665</v>
      </c>
      <c r="E68" s="1367"/>
      <c r="F68" s="1367"/>
      <c r="G68" s="52"/>
      <c r="H68" s="52"/>
      <c r="I68" s="52"/>
      <c r="J68" s="52"/>
      <c r="K68" s="52"/>
      <c r="L68" s="52"/>
      <c r="M68" s="52"/>
      <c r="N68" s="52"/>
      <c r="O68" s="2752" t="s">
        <v>1666</v>
      </c>
      <c r="P68" s="1251">
        <v>6</v>
      </c>
      <c r="Q68" s="5705" t="str">
        <f>IF(Z68&lt;&gt;"",Z68,IF(OR(AND(C42="",P42=""),V64="Stop."),"",IF(OR(C42="",AND(C42&lt;&gt;"",P42&lt;&gt;""),V58&lt;V57),0,ROUND(V65*Q67,0))))</f>
        <v/>
      </c>
      <c r="R68" s="5706"/>
      <c r="S68" s="5706"/>
      <c r="T68" s="5707"/>
      <c r="U68" s="5615"/>
      <c r="V68" s="5616"/>
      <c r="W68" s="5616"/>
      <c r="X68" s="5616"/>
      <c r="Y68" s="112"/>
      <c r="Z68" s="566"/>
    </row>
    <row r="69" spans="1:26" s="1374" customFormat="1">
      <c r="A69" s="1368"/>
      <c r="B69" s="1369"/>
      <c r="C69" s="1698" t="s">
        <v>779</v>
      </c>
      <c r="D69" s="1370"/>
      <c r="E69" s="1369"/>
      <c r="F69" s="1369"/>
      <c r="G69" s="1369"/>
      <c r="H69" s="1369"/>
      <c r="I69" s="1369"/>
      <c r="J69" s="1369"/>
      <c r="K69" s="1369"/>
      <c r="L69" s="1369"/>
      <c r="M69" s="1369"/>
      <c r="N69" s="1369"/>
      <c r="O69" s="1369"/>
      <c r="P69" s="1369"/>
      <c r="Q69" s="1697" t="s">
        <v>269</v>
      </c>
      <c r="R69" s="1371"/>
      <c r="S69" s="1369"/>
      <c r="T69" s="1369"/>
      <c r="U69" s="1369"/>
      <c r="V69" s="1369"/>
      <c r="W69" s="1369"/>
      <c r="X69" s="1699" t="str">
        <f>"Schedule SE (Form 1040) "&amp;TaxYear</f>
        <v>Schedule SE (Form 1040) 2016</v>
      </c>
      <c r="Y69" s="1372"/>
      <c r="Z69" s="1373"/>
    </row>
    <row r="70" spans="1:26" ht="16.5" thickBot="1">
      <c r="A70" s="857"/>
      <c r="B70" s="67" t="str">
        <f>"Schedule SE (Form 1040) "&amp;TaxYear</f>
        <v>Schedule SE (Form 1040) 2016</v>
      </c>
      <c r="C70" s="451"/>
      <c r="D70" s="451"/>
      <c r="E70" s="52"/>
      <c r="F70" s="52"/>
      <c r="G70" s="52"/>
      <c r="H70" s="52"/>
      <c r="I70" s="52"/>
      <c r="J70" s="52"/>
      <c r="K70" s="52"/>
      <c r="L70" s="52"/>
      <c r="M70" s="52"/>
      <c r="N70" s="52"/>
      <c r="O70" s="52"/>
      <c r="P70" s="52"/>
      <c r="Q70" s="42" t="s">
        <v>760</v>
      </c>
      <c r="R70" s="618">
        <v>17</v>
      </c>
      <c r="S70" s="52"/>
      <c r="T70" s="52"/>
      <c r="U70" s="52"/>
      <c r="V70" s="52"/>
      <c r="W70" s="52"/>
      <c r="X70" s="619" t="s">
        <v>270</v>
      </c>
      <c r="Y70" s="112"/>
      <c r="Z70" s="614"/>
    </row>
    <row r="71" spans="1:26" ht="12" customHeight="1">
      <c r="A71" s="857"/>
      <c r="B71" s="360" t="s">
        <v>746</v>
      </c>
      <c r="C71" s="360"/>
      <c r="D71" s="360"/>
      <c r="E71" s="360"/>
      <c r="F71" s="35"/>
      <c r="G71" s="35"/>
      <c r="H71" s="35"/>
      <c r="I71" s="35"/>
      <c r="J71" s="35"/>
      <c r="K71" s="35"/>
      <c r="L71" s="403"/>
      <c r="M71" s="403"/>
      <c r="N71" s="403"/>
      <c r="O71" s="593"/>
      <c r="P71" s="5686" t="s">
        <v>1143</v>
      </c>
      <c r="Q71" s="5687"/>
      <c r="R71" s="5687"/>
      <c r="S71" s="5687"/>
      <c r="T71" s="5688"/>
      <c r="U71" s="5650" t="str">
        <f>IF(U14&lt;&gt;"",U14,"")</f>
        <v/>
      </c>
      <c r="V71" s="5651"/>
      <c r="W71" s="5651"/>
      <c r="X71" s="5651"/>
      <c r="Y71" s="112"/>
      <c r="Z71" s="614"/>
    </row>
    <row r="72" spans="1:26" ht="14.25" customHeight="1">
      <c r="A72" s="857"/>
      <c r="B72" s="5647" t="str">
        <f>IF(B15&lt;&gt;"",B15,"")</f>
        <v/>
      </c>
      <c r="C72" s="5648"/>
      <c r="D72" s="5648"/>
      <c r="E72" s="5648"/>
      <c r="F72" s="5648"/>
      <c r="G72" s="5648"/>
      <c r="H72" s="5648"/>
      <c r="I72" s="5648"/>
      <c r="J72" s="5648"/>
      <c r="K72" s="5648"/>
      <c r="L72" s="5648"/>
      <c r="M72" s="5648"/>
      <c r="N72" s="5648"/>
      <c r="O72" s="5649"/>
      <c r="P72" s="5689"/>
      <c r="Q72" s="5690"/>
      <c r="R72" s="5690"/>
      <c r="S72" s="5690"/>
      <c r="T72" s="5691"/>
      <c r="U72" s="5652"/>
      <c r="V72" s="5653"/>
      <c r="W72" s="5653"/>
      <c r="X72" s="5653"/>
      <c r="Y72" s="112"/>
      <c r="Z72" s="614"/>
    </row>
    <row r="73" spans="1:26" ht="17.25" customHeight="1">
      <c r="A73" s="857"/>
      <c r="B73" s="1694" t="s">
        <v>271</v>
      </c>
      <c r="C73" s="620"/>
      <c r="D73" s="620"/>
      <c r="E73" s="620"/>
      <c r="F73" s="620"/>
      <c r="G73" s="620"/>
      <c r="H73" s="620"/>
      <c r="I73" s="620"/>
      <c r="J73" s="620"/>
      <c r="K73" s="620"/>
      <c r="L73" s="621"/>
      <c r="M73" s="621"/>
      <c r="N73" s="621"/>
      <c r="O73" s="620"/>
      <c r="P73" s="620"/>
      <c r="Q73" s="620"/>
      <c r="R73" s="620"/>
      <c r="S73" s="620"/>
      <c r="T73" s="620"/>
      <c r="U73" s="620"/>
      <c r="V73" s="620"/>
      <c r="W73" s="620"/>
      <c r="X73" s="620"/>
      <c r="Y73" s="963"/>
      <c r="Z73" s="626"/>
    </row>
    <row r="74" spans="1:26" ht="16.5" customHeight="1">
      <c r="A74" s="857"/>
      <c r="B74" s="1499"/>
      <c r="C74" s="1500" t="s">
        <v>92</v>
      </c>
      <c r="D74" s="1501"/>
      <c r="E74" s="1502" t="s">
        <v>272</v>
      </c>
      <c r="F74" s="1503"/>
      <c r="G74" s="1503"/>
      <c r="H74" s="1503"/>
      <c r="I74" s="1503"/>
      <c r="J74" s="1503"/>
      <c r="K74" s="1503"/>
      <c r="L74" s="1503"/>
      <c r="M74" s="1503"/>
      <c r="N74" s="1503"/>
      <c r="O74" s="1503"/>
      <c r="P74" s="1503"/>
      <c r="Q74" s="1503"/>
      <c r="R74" s="1503"/>
      <c r="S74" s="1503"/>
      <c r="T74" s="1503"/>
      <c r="U74" s="1503"/>
      <c r="V74" s="1503"/>
      <c r="W74" s="1503"/>
      <c r="X74" s="1503"/>
      <c r="Y74" s="112"/>
      <c r="Z74" s="614"/>
    </row>
    <row r="75" spans="1:26">
      <c r="A75" s="857"/>
      <c r="B75" s="414" t="s">
        <v>1133</v>
      </c>
      <c r="C75" s="414"/>
      <c r="D75" s="414"/>
      <c r="E75" s="35"/>
      <c r="F75" s="35"/>
      <c r="G75" s="35"/>
      <c r="H75" s="35"/>
      <c r="I75" s="35"/>
      <c r="J75" s="35"/>
      <c r="K75" s="35"/>
      <c r="L75" s="44"/>
      <c r="M75" s="44"/>
      <c r="N75" s="44"/>
      <c r="O75" s="35"/>
      <c r="P75" s="35"/>
      <c r="Q75" s="35"/>
      <c r="R75" s="35"/>
      <c r="S75" s="35"/>
      <c r="T75" s="35"/>
      <c r="U75" s="35"/>
      <c r="V75" s="35"/>
      <c r="W75" s="35"/>
      <c r="X75" s="35"/>
      <c r="Y75" s="112"/>
      <c r="Z75" s="614"/>
    </row>
    <row r="76" spans="1:26">
      <c r="A76" s="857"/>
      <c r="B76" s="1464" t="s">
        <v>1134</v>
      </c>
      <c r="C76" s="414"/>
      <c r="D76" s="414"/>
      <c r="E76" s="35"/>
      <c r="F76" s="35"/>
      <c r="G76" s="35"/>
      <c r="H76" s="35"/>
      <c r="I76" s="35"/>
      <c r="J76" s="35"/>
      <c r="K76" s="35"/>
      <c r="L76" s="44"/>
      <c r="M76" s="44"/>
      <c r="N76" s="44"/>
      <c r="O76" s="35"/>
      <c r="P76" s="35"/>
      <c r="Q76" s="35"/>
      <c r="R76" s="35"/>
      <c r="S76" s="35"/>
      <c r="T76" s="35"/>
      <c r="U76" s="35"/>
      <c r="V76" s="35"/>
      <c r="W76" s="35"/>
      <c r="X76" s="35"/>
      <c r="Y76" s="112"/>
      <c r="Z76" s="614"/>
    </row>
    <row r="77" spans="1:26" ht="12" customHeight="1" thickBot="1">
      <c r="A77" s="857"/>
      <c r="B77" s="35"/>
      <c r="C77" s="414" t="s">
        <v>235</v>
      </c>
      <c r="D77" s="575" t="s">
        <v>75</v>
      </c>
      <c r="E77" s="35"/>
      <c r="F77" s="35"/>
      <c r="G77" s="35"/>
      <c r="H77" s="35"/>
      <c r="I77" s="35"/>
      <c r="J77" s="35"/>
      <c r="K77" s="35"/>
      <c r="L77" s="44"/>
      <c r="M77" s="44"/>
      <c r="N77" s="44"/>
      <c r="O77" s="35"/>
      <c r="P77" s="35"/>
      <c r="Q77" s="35"/>
      <c r="R77" s="35"/>
      <c r="S77" s="35"/>
      <c r="T77" s="35"/>
      <c r="U77" s="35"/>
      <c r="V77" s="35"/>
      <c r="W77" s="35"/>
      <c r="X77" s="35"/>
      <c r="Y77" s="112"/>
      <c r="Z77" s="614"/>
    </row>
    <row r="78" spans="1:26" ht="12" customHeight="1" thickBot="1">
      <c r="A78" s="857"/>
      <c r="B78" s="35"/>
      <c r="C78" s="414"/>
      <c r="D78" s="575" t="s">
        <v>758</v>
      </c>
      <c r="E78" s="35"/>
      <c r="F78" s="35"/>
      <c r="G78" s="35"/>
      <c r="H78" s="35"/>
      <c r="I78" s="35"/>
      <c r="J78" s="35"/>
      <c r="K78" s="35"/>
      <c r="L78" s="44"/>
      <c r="M78" s="44"/>
      <c r="N78" s="44"/>
      <c r="O78" s="35"/>
      <c r="P78" s="35"/>
      <c r="Q78" s="35"/>
      <c r="R78" s="35"/>
      <c r="S78" s="35"/>
      <c r="T78" s="35"/>
      <c r="U78" s="35"/>
      <c r="V78" s="778" t="s">
        <v>1135</v>
      </c>
      <c r="W78" s="2134"/>
      <c r="X78" s="35"/>
      <c r="Y78" s="112"/>
      <c r="Z78" s="614"/>
    </row>
    <row r="79" spans="1:26" ht="15.75" customHeight="1" thickBot="1">
      <c r="A79" s="857"/>
      <c r="B79" s="35"/>
      <c r="C79" s="452" t="s">
        <v>18</v>
      </c>
      <c r="D79" s="1464" t="s">
        <v>1136</v>
      </c>
      <c r="E79" s="35"/>
      <c r="F79" s="35"/>
      <c r="G79" s="35"/>
      <c r="H79" s="35"/>
      <c r="I79" s="35"/>
      <c r="J79" s="35"/>
      <c r="K79" s="35"/>
      <c r="L79" s="44"/>
      <c r="M79" s="44"/>
      <c r="N79" s="44"/>
      <c r="O79" s="35"/>
      <c r="P79" s="35"/>
      <c r="Q79" s="35"/>
      <c r="R79" s="35"/>
      <c r="S79" s="35"/>
      <c r="T79" s="35"/>
      <c r="U79" s="35"/>
      <c r="V79" s="35"/>
      <c r="W79" s="35"/>
      <c r="X79" s="35"/>
      <c r="Y79" s="112"/>
      <c r="Z79" s="614"/>
    </row>
    <row r="80" spans="1:26" ht="15.75" customHeight="1" thickBot="1">
      <c r="A80" s="857"/>
      <c r="B80" s="164"/>
      <c r="C80" s="164"/>
      <c r="D80" s="1497" t="s">
        <v>1137</v>
      </c>
      <c r="E80" s="164"/>
      <c r="F80" s="164"/>
      <c r="G80" s="164"/>
      <c r="H80" s="164"/>
      <c r="I80" s="164"/>
      <c r="J80" s="164"/>
      <c r="K80" s="164"/>
      <c r="L80" s="368"/>
      <c r="M80" s="368"/>
      <c r="N80" s="368"/>
      <c r="O80" s="164"/>
      <c r="P80" s="164"/>
      <c r="Q80" s="164"/>
      <c r="R80" s="164"/>
      <c r="S80" s="164"/>
      <c r="T80" s="778" t="s">
        <v>1138</v>
      </c>
      <c r="U80" s="779" t="s">
        <v>18</v>
      </c>
      <c r="V80" s="5607" t="str">
        <f>IF(Z80&lt;&gt;"",ROUND(Z80,0),IF(OR(C42&lt;&gt;"",P42=""),"",FarmProfitNet))</f>
        <v/>
      </c>
      <c r="W80" s="5608"/>
      <c r="X80" s="5608"/>
      <c r="Y80" s="962"/>
      <c r="Z80" s="566"/>
    </row>
    <row r="81" spans="1:30" ht="15.75" customHeight="1">
      <c r="A81" s="857"/>
      <c r="B81" s="164"/>
      <c r="C81" s="452" t="s">
        <v>84</v>
      </c>
      <c r="D81" s="363" t="s">
        <v>736</v>
      </c>
      <c r="E81" s="164"/>
      <c r="F81" s="164"/>
      <c r="G81" s="164"/>
      <c r="H81" s="164"/>
      <c r="I81" s="164"/>
      <c r="J81" s="164"/>
      <c r="K81" s="164"/>
      <c r="L81" s="368"/>
      <c r="M81" s="368"/>
      <c r="N81" s="368"/>
      <c r="O81" s="164"/>
      <c r="P81" s="164"/>
      <c r="Q81" s="164"/>
      <c r="R81" s="164"/>
      <c r="S81" s="164"/>
      <c r="T81" s="778"/>
      <c r="U81" s="1365"/>
      <c r="V81" s="1366"/>
      <c r="W81" s="1364"/>
      <c r="X81" s="1364"/>
      <c r="Y81" s="962"/>
      <c r="Z81" s="625"/>
    </row>
    <row r="82" spans="1:30" ht="13.5" customHeight="1">
      <c r="A82" s="857"/>
      <c r="B82" s="164"/>
      <c r="C82" s="452"/>
      <c r="D82" s="688" t="s">
        <v>1663</v>
      </c>
      <c r="E82" s="164"/>
      <c r="F82" s="164"/>
      <c r="G82" s="164"/>
      <c r="H82" s="164"/>
      <c r="I82" s="164"/>
      <c r="J82" s="164"/>
      <c r="K82" s="164"/>
      <c r="L82" s="368"/>
      <c r="M82" s="368"/>
      <c r="N82" s="368"/>
      <c r="O82" s="164"/>
      <c r="P82" s="164"/>
      <c r="Q82" s="164"/>
      <c r="R82" s="164"/>
      <c r="S82" s="164"/>
      <c r="T82" s="778"/>
      <c r="U82" s="627" t="s">
        <v>21</v>
      </c>
      <c r="V82" s="5612"/>
      <c r="W82" s="5613"/>
      <c r="X82" s="5613"/>
      <c r="Y82" s="962"/>
      <c r="Z82" s="625"/>
    </row>
    <row r="83" spans="1:30" ht="12.75" customHeight="1">
      <c r="A83" s="857"/>
      <c r="B83" s="35"/>
      <c r="C83" s="452">
        <v>2</v>
      </c>
      <c r="D83" s="1700" t="s">
        <v>205</v>
      </c>
      <c r="E83" s="35"/>
      <c r="F83" s="35"/>
      <c r="G83" s="35"/>
      <c r="H83" s="35"/>
      <c r="I83" s="35"/>
      <c r="J83" s="35"/>
      <c r="K83" s="35"/>
      <c r="L83" s="44"/>
      <c r="M83" s="44"/>
      <c r="N83" s="44"/>
      <c r="O83" s="35"/>
      <c r="P83" s="35"/>
      <c r="Q83" s="35"/>
      <c r="R83" s="35"/>
      <c r="S83" s="35"/>
      <c r="T83" s="35"/>
      <c r="U83" s="612"/>
      <c r="V83" s="5599" t="s">
        <v>648</v>
      </c>
      <c r="W83" s="5600"/>
      <c r="X83" s="5600"/>
      <c r="Y83" s="112"/>
      <c r="Z83" s="4526" t="str">
        <f>IF(AND($V$44,SchC_StatutoryEmp&lt;&gt;""),"See instructions:","")</f>
        <v/>
      </c>
    </row>
    <row r="84" spans="1:30" ht="12.75" customHeight="1">
      <c r="A84" s="857"/>
      <c r="B84" s="35"/>
      <c r="C84" s="35"/>
      <c r="D84" s="1700" t="s">
        <v>687</v>
      </c>
      <c r="E84" s="35"/>
      <c r="F84" s="35"/>
      <c r="G84" s="35"/>
      <c r="H84" s="35"/>
      <c r="I84" s="35"/>
      <c r="J84" s="35"/>
      <c r="K84" s="35"/>
      <c r="L84" s="44"/>
      <c r="M84" s="44"/>
      <c r="N84" s="44"/>
      <c r="O84" s="35"/>
      <c r="P84" s="35"/>
      <c r="Q84" s="35"/>
      <c r="R84" s="35"/>
      <c r="S84" s="35"/>
      <c r="T84" s="35"/>
      <c r="U84" s="612"/>
      <c r="V84" s="5611" t="s">
        <v>649</v>
      </c>
      <c r="W84" s="4772"/>
      <c r="X84" s="4772"/>
      <c r="Y84" s="112"/>
      <c r="Z84" s="4525" t="str">
        <f>IF(AND($V$44,SchC_StatutoryEmp&lt;&gt;""),"Statutory employee","")</f>
        <v/>
      </c>
    </row>
    <row r="85" spans="1:30" ht="12.75" customHeight="1">
      <c r="A85" s="857"/>
      <c r="B85" s="35"/>
      <c r="C85" s="35"/>
      <c r="D85" s="1700" t="s">
        <v>1125</v>
      </c>
      <c r="E85" s="35"/>
      <c r="F85" s="35"/>
      <c r="G85" s="35"/>
      <c r="H85" s="35"/>
      <c r="I85" s="35"/>
      <c r="J85" s="35"/>
      <c r="K85" s="35"/>
      <c r="L85" s="44"/>
      <c r="M85" s="44"/>
      <c r="N85" s="44"/>
      <c r="O85" s="35"/>
      <c r="P85" s="35"/>
      <c r="Q85" s="35"/>
      <c r="R85" s="35"/>
      <c r="S85" s="35"/>
      <c r="T85" s="35"/>
      <c r="U85" s="612"/>
      <c r="V85" s="5611" t="s">
        <v>650</v>
      </c>
      <c r="W85" s="4772"/>
      <c r="X85" s="4772"/>
      <c r="Y85" s="112"/>
      <c r="Z85" s="4525" t="str">
        <f>IF(AND($V$44,SchC_StatutoryEmp&lt;&gt;""),"profit is not to be","")</f>
        <v/>
      </c>
    </row>
    <row r="86" spans="1:30" ht="12.75" customHeight="1" thickBot="1">
      <c r="A86" s="857"/>
      <c r="B86" s="35"/>
      <c r="C86" s="35"/>
      <c r="D86" s="1700" t="s">
        <v>1667</v>
      </c>
      <c r="E86" s="35"/>
      <c r="F86" s="35"/>
      <c r="G86" s="35"/>
      <c r="H86" s="35"/>
      <c r="I86" s="35"/>
      <c r="J86" s="35"/>
      <c r="K86" s="35"/>
      <c r="L86" s="44"/>
      <c r="M86" s="44"/>
      <c r="N86" s="44"/>
      <c r="O86" s="35"/>
      <c r="P86" s="35"/>
      <c r="Q86" s="35"/>
      <c r="R86" s="35"/>
      <c r="S86" s="35"/>
      <c r="T86" s="35"/>
      <c r="U86" s="612"/>
      <c r="V86" s="2742"/>
      <c r="W86" s="2741"/>
      <c r="X86" s="2741"/>
      <c r="Y86" s="112"/>
      <c r="Z86" s="4525" t="str">
        <f>IF(AND($V$44,SchC_StatutoryEmp&lt;&gt;""),"included on Line 2.","")</f>
        <v/>
      </c>
    </row>
    <row r="87" spans="1:30" ht="13.5" customHeight="1" thickBot="1">
      <c r="A87" s="857"/>
      <c r="B87" s="35"/>
      <c r="C87" s="35"/>
      <c r="D87" s="1700" t="s">
        <v>1668</v>
      </c>
      <c r="E87" s="35"/>
      <c r="F87" s="35"/>
      <c r="G87" s="35"/>
      <c r="H87" s="35"/>
      <c r="I87" s="35"/>
      <c r="J87" s="35"/>
      <c r="K87" s="35"/>
      <c r="L87" s="44"/>
      <c r="M87" s="44"/>
      <c r="N87" s="44"/>
      <c r="O87" s="35"/>
      <c r="P87" s="35"/>
      <c r="Q87" s="35"/>
      <c r="R87" s="35"/>
      <c r="S87" s="35"/>
      <c r="T87" s="2753" t="s">
        <v>1669</v>
      </c>
      <c r="U87" s="450">
        <v>2</v>
      </c>
      <c r="V87" s="5601" t="str">
        <f>IF(Z87&lt;&gt;"",ROUND(Z87,0),IF(NOT($V$44),"",IF(SchC_StatutoryEmp="",Business_Profit,0)))</f>
        <v/>
      </c>
      <c r="W87" s="5602"/>
      <c r="X87" s="5602"/>
      <c r="Y87" s="112"/>
      <c r="Z87" s="566"/>
    </row>
    <row r="88" spans="1:30" ht="13.5" customHeight="1" thickBot="1">
      <c r="A88" s="857"/>
      <c r="B88" s="35"/>
      <c r="C88" s="452">
        <v>3</v>
      </c>
      <c r="D88" s="1464" t="s">
        <v>1148</v>
      </c>
      <c r="E88" s="35"/>
      <c r="F88" s="35"/>
      <c r="G88" s="35"/>
      <c r="H88" s="180"/>
      <c r="I88" s="180"/>
      <c r="J88" s="180"/>
      <c r="K88" s="180"/>
      <c r="L88" s="180"/>
      <c r="M88" s="180"/>
      <c r="N88" s="180"/>
      <c r="O88" s="180"/>
      <c r="P88" s="180"/>
      <c r="Q88" s="180"/>
      <c r="R88" s="180"/>
      <c r="S88" s="1492"/>
      <c r="T88" s="1492" t="s">
        <v>1149</v>
      </c>
      <c r="U88" s="450">
        <v>3</v>
      </c>
      <c r="V88" s="5607" t="str">
        <f>IF(Z88&lt;&gt;"",Z88,IF(OR(C42&lt;&gt;"",P42=""),"",SUM(V80,V82,V87)))</f>
        <v/>
      </c>
      <c r="W88" s="5608"/>
      <c r="X88" s="5608"/>
      <c r="Y88" s="112"/>
      <c r="Z88" s="566"/>
    </row>
    <row r="89" spans="1:30" ht="13.5" customHeight="1">
      <c r="A89" s="857"/>
      <c r="B89" s="35"/>
      <c r="C89" s="57" t="s">
        <v>190</v>
      </c>
      <c r="D89" s="35" t="str">
        <f>"If line 3 is more than zero, multiply line 3 by "&amp;TEXT(V59,"0.00%")&amp;" ("&amp;TEXT(V59,"0.0000")&amp;"). Otherwise, enter amount from line 3"</f>
        <v>If line 3 is more than zero, multiply line 3 by 92.35% (0.9235). Otherwise, enter amount from line 3</v>
      </c>
      <c r="E89" s="35"/>
      <c r="F89" s="35"/>
      <c r="G89" s="35"/>
      <c r="H89" s="35"/>
      <c r="I89" s="35"/>
      <c r="J89" s="35"/>
      <c r="K89" s="35"/>
      <c r="L89" s="44"/>
      <c r="M89" s="44"/>
      <c r="N89" s="44"/>
      <c r="O89" s="35"/>
      <c r="P89" s="35"/>
      <c r="Q89" s="35"/>
      <c r="R89" s="35"/>
      <c r="S89" s="35"/>
      <c r="T89" s="35"/>
      <c r="U89" s="450" t="s">
        <v>190</v>
      </c>
      <c r="V89" s="5607" t="str">
        <f>IF(OR(C42&lt;&gt;"",P42=""),"",IF(V88&gt;0,ROUND(V88*V59,0),V88))</f>
        <v/>
      </c>
      <c r="W89" s="5608"/>
      <c r="X89" s="5608"/>
      <c r="Y89" s="112"/>
      <c r="Z89" s="820" t="str">
        <f>IF(OR($V$118&gt;$V$116,$V$125&gt;$V$123),"Error!","")</f>
        <v/>
      </c>
    </row>
    <row r="90" spans="1:30">
      <c r="A90" s="857"/>
      <c r="B90" s="35"/>
      <c r="C90" s="57"/>
      <c r="D90" s="360" t="s">
        <v>1139</v>
      </c>
      <c r="E90" s="35"/>
      <c r="F90" s="35"/>
      <c r="G90" s="35"/>
      <c r="H90" s="35"/>
      <c r="I90" s="35"/>
      <c r="J90" s="35"/>
      <c r="K90" s="35"/>
      <c r="L90" s="44"/>
      <c r="M90" s="44"/>
      <c r="N90" s="44"/>
      <c r="O90" s="35"/>
      <c r="P90" s="35"/>
      <c r="Q90" s="35"/>
      <c r="R90" s="35"/>
      <c r="S90" s="35"/>
      <c r="T90" s="35"/>
      <c r="U90" s="1504"/>
      <c r="V90" s="2615"/>
      <c r="W90" s="2616"/>
      <c r="X90" s="2616"/>
      <c r="Y90" s="112"/>
      <c r="Z90" s="820"/>
    </row>
    <row r="91" spans="1:30">
      <c r="A91" s="857"/>
      <c r="B91" s="35"/>
      <c r="C91" s="57" t="s">
        <v>84</v>
      </c>
      <c r="D91" s="35" t="s">
        <v>203</v>
      </c>
      <c r="E91" s="35"/>
      <c r="F91" s="35"/>
      <c r="G91" s="35"/>
      <c r="H91" s="35"/>
      <c r="I91" s="35"/>
      <c r="J91" s="35"/>
      <c r="K91" s="35"/>
      <c r="L91" s="44"/>
      <c r="M91" s="44"/>
      <c r="N91" s="44"/>
      <c r="O91" s="35"/>
      <c r="P91" s="35"/>
      <c r="Q91" s="35"/>
      <c r="R91" s="35"/>
      <c r="S91" s="35"/>
      <c r="T91" s="778" t="s">
        <v>862</v>
      </c>
      <c r="U91" s="450" t="s">
        <v>160</v>
      </c>
      <c r="V91" s="5601" t="str">
        <f>IF(OR(C42&lt;&gt;"",P42=""),"",V118+V125)</f>
        <v/>
      </c>
      <c r="W91" s="5602"/>
      <c r="X91" s="5602"/>
      <c r="Y91" s="112"/>
      <c r="Z91" s="820" t="str">
        <f>IF(OR($V$118&gt;$V$116,$V$125&gt;$V$123),"See Part II.","")</f>
        <v/>
      </c>
    </row>
    <row r="92" spans="1:30">
      <c r="A92" s="857"/>
      <c r="B92" s="35"/>
      <c r="C92" s="57" t="s">
        <v>85</v>
      </c>
      <c r="D92" s="35" t="str">
        <f>"Combine lines 4a and 4b.  If less than "&amp;TEXT(V57,"$0")&amp; ","</f>
        <v>Combine lines 4a and 4b.  If less than $400,</v>
      </c>
      <c r="E92" s="35"/>
      <c r="F92" s="35"/>
      <c r="G92" s="35"/>
      <c r="H92" s="35"/>
      <c r="I92" s="35"/>
      <c r="J92" s="35"/>
      <c r="K92" s="414" t="s">
        <v>902</v>
      </c>
      <c r="L92" s="44"/>
      <c r="M92" s="44"/>
      <c r="N92" s="44"/>
      <c r="O92" s="35"/>
      <c r="P92" s="35"/>
      <c r="Q92" s="35"/>
      <c r="R92" s="35"/>
      <c r="S92" s="35"/>
      <c r="T92" s="35"/>
      <c r="U92" s="612"/>
      <c r="V92" s="5609" t="str">
        <f>IF(OR(C42&lt;&gt;"",P42=""),"",SUM(V89:V91))</f>
        <v/>
      </c>
      <c r="W92" s="5610"/>
      <c r="X92" s="5610"/>
      <c r="Y92" s="112"/>
      <c r="Z92" s="614"/>
    </row>
    <row r="93" spans="1:30" ht="15" thickBot="1">
      <c r="A93" s="857"/>
      <c r="B93" s="35"/>
      <c r="C93" s="35"/>
      <c r="D93" s="1464" t="s">
        <v>903</v>
      </c>
      <c r="E93" s="35"/>
      <c r="F93" s="35"/>
      <c r="G93" s="35"/>
      <c r="H93" s="35"/>
      <c r="I93" s="35"/>
      <c r="J93" s="35"/>
      <c r="K93" s="35"/>
      <c r="L93" s="44"/>
      <c r="M93" s="44"/>
      <c r="N93" s="44"/>
      <c r="O93" s="35"/>
      <c r="P93" s="35"/>
      <c r="Q93" s="35"/>
      <c r="R93" s="35"/>
      <c r="S93" s="35"/>
      <c r="T93" s="622"/>
      <c r="U93" s="450" t="s">
        <v>159</v>
      </c>
      <c r="V93" s="5601" t="str">
        <f>IF(OR(C42&lt;&gt;"",P42=""),"",IF(Y94&lt;&gt;"",0,SUM(V89:V91)))</f>
        <v/>
      </c>
      <c r="W93" s="5602"/>
      <c r="X93" s="5602"/>
      <c r="Y93" s="964" t="str">
        <f>IF(V93&lt;400,"            Stop","")</f>
        <v/>
      </c>
      <c r="Z93" s="4170" t="str">
        <f>IF(OR($P$42="",V93=0),"",IF(AND(Y94="",V92&lt;V57),"Stop","Continue"))</f>
        <v/>
      </c>
    </row>
    <row r="94" spans="1:30" ht="13.5" thickBot="1">
      <c r="A94" s="857"/>
      <c r="B94" s="35"/>
      <c r="C94" s="452" t="s">
        <v>591</v>
      </c>
      <c r="D94" s="1464" t="s">
        <v>904</v>
      </c>
      <c r="E94" s="35"/>
      <c r="F94" s="35"/>
      <c r="G94" s="35"/>
      <c r="H94" s="35"/>
      <c r="I94" s="35"/>
      <c r="J94" s="35"/>
      <c r="K94" s="35"/>
      <c r="L94" s="44"/>
      <c r="M94" s="44"/>
      <c r="N94" s="44"/>
      <c r="O94" s="35"/>
      <c r="P94" s="35"/>
      <c r="Q94" s="35"/>
      <c r="R94" s="35"/>
      <c r="S94" s="35"/>
      <c r="T94" s="35"/>
      <c r="U94" s="615"/>
      <c r="V94" s="5605"/>
      <c r="W94" s="5606"/>
      <c r="X94" s="5606"/>
      <c r="Y94" s="1418"/>
      <c r="Z94" s="1419" t="str">
        <f>IF(OR(C42&lt;&gt;"",P42="",$V$92=0,$V$92&gt;=$V$57),"","&lt; Check here if")</f>
        <v/>
      </c>
    </row>
    <row r="95" spans="1:30">
      <c r="A95" s="857"/>
      <c r="B95" s="35"/>
      <c r="C95" s="35"/>
      <c r="D95" s="1464" t="s">
        <v>1140</v>
      </c>
      <c r="E95" s="35"/>
      <c r="F95" s="35"/>
      <c r="G95" s="35"/>
      <c r="H95" s="35"/>
      <c r="I95" s="35"/>
      <c r="J95" s="35"/>
      <c r="K95" s="35"/>
      <c r="L95" s="44"/>
      <c r="M95" s="44"/>
      <c r="N95" s="44"/>
      <c r="O95" s="778" t="s">
        <v>1120</v>
      </c>
      <c r="P95" s="608" t="s">
        <v>591</v>
      </c>
      <c r="Q95" s="5612"/>
      <c r="R95" s="5684"/>
      <c r="S95" s="5684"/>
      <c r="T95" s="5685"/>
      <c r="U95" s="615"/>
      <c r="V95" s="5597"/>
      <c r="W95" s="5598"/>
      <c r="X95" s="5598"/>
      <c r="Y95" s="112"/>
      <c r="Z95" s="1419" t="str">
        <f>IF(OR(C42&lt;&gt;"",P42="",$V$92=0,$V$92&gt;=$V$57),"","church employee")</f>
        <v/>
      </c>
      <c r="AC95" s="4171" t="s">
        <v>3376</v>
      </c>
      <c r="AD95" s="4172"/>
    </row>
    <row r="96" spans="1:30">
      <c r="A96" s="857"/>
      <c r="B96" s="35"/>
      <c r="C96" s="57" t="s">
        <v>84</v>
      </c>
      <c r="D96" s="35" t="str">
        <f>"Multiply line 5a by "&amp;TEXT(V59,"0.00%")&amp;" ("&amp;TEXT(V59,"0.0000")&amp;"). If less than $100, enter -0-"</f>
        <v>Multiply line 5a by 92.35% (0.9235). If less than $100, enter -0-</v>
      </c>
      <c r="E96" s="35"/>
      <c r="F96" s="35"/>
      <c r="G96" s="35"/>
      <c r="H96" s="35"/>
      <c r="I96" s="35"/>
      <c r="J96" s="35"/>
      <c r="K96" s="35"/>
      <c r="L96" s="44"/>
      <c r="M96" s="44"/>
      <c r="N96" s="44"/>
      <c r="O96" s="35"/>
      <c r="P96" s="35"/>
      <c r="Q96" s="35"/>
      <c r="R96" s="35"/>
      <c r="S96" s="35"/>
      <c r="T96" s="778" t="s">
        <v>442</v>
      </c>
      <c r="U96" s="450" t="s">
        <v>592</v>
      </c>
      <c r="V96" s="5601" t="str">
        <f>IF(OR(C42&lt;&gt;"",P42=""),"",IF(OR(Q95="",Q95&lt;100),0,ROUND(Q95*V59,0)))</f>
        <v/>
      </c>
      <c r="W96" s="5602"/>
      <c r="X96" s="5602"/>
      <c r="Y96" s="112"/>
      <c r="Z96" s="1419" t="str">
        <f>IF(OR(C42&lt;&gt;"",P42="",$V$92=0,$V$92&gt;=$V$57),"","income.")</f>
        <v/>
      </c>
      <c r="AC96" s="2659" t="s">
        <v>3337</v>
      </c>
      <c r="AD96" s="2659" t="s">
        <v>3374</v>
      </c>
    </row>
    <row r="97" spans="1:34" ht="13.5" thickBot="1">
      <c r="A97" s="857"/>
      <c r="B97" s="35"/>
      <c r="C97" s="452">
        <v>6</v>
      </c>
      <c r="D97" s="1464" t="s">
        <v>905</v>
      </c>
      <c r="E97" s="35"/>
      <c r="F97" s="35"/>
      <c r="G97" s="35"/>
      <c r="H97" s="35"/>
      <c r="I97" s="35"/>
      <c r="J97" s="35"/>
      <c r="K97" s="35"/>
      <c r="L97" s="44"/>
      <c r="M97" s="44"/>
      <c r="N97" s="44"/>
      <c r="O97" s="35"/>
      <c r="P97" s="35"/>
      <c r="Q97" s="35"/>
      <c r="R97" s="35"/>
      <c r="S97" s="35"/>
      <c r="T97" s="2753" t="s">
        <v>1878</v>
      </c>
      <c r="U97" s="450">
        <v>6</v>
      </c>
      <c r="V97" s="5607" t="str">
        <f>IF(OR(C42&lt;&gt;"",P42="",Z93="Stop"),"",V93+V96)</f>
        <v/>
      </c>
      <c r="W97" s="5608"/>
      <c r="X97" s="5608"/>
      <c r="Y97" s="112"/>
      <c r="Z97" s="614"/>
      <c r="AC97" s="2617">
        <f>SUM('W-2s'!G5,'W-2s'!G9)</f>
        <v>0</v>
      </c>
      <c r="AD97" s="2617">
        <f>SUM('W-2s'!G30,'W-2s'!G34)</f>
        <v>0</v>
      </c>
    </row>
    <row r="98" spans="1:34" ht="13.5" thickBot="1">
      <c r="A98" s="857"/>
      <c r="B98" s="35"/>
      <c r="C98" s="452">
        <v>7</v>
      </c>
      <c r="D98" s="35" t="s">
        <v>94</v>
      </c>
      <c r="E98" s="35"/>
      <c r="F98" s="35"/>
      <c r="G98" s="35"/>
      <c r="H98" s="35"/>
      <c r="I98" s="35"/>
      <c r="J98" s="35"/>
      <c r="K98" s="35"/>
      <c r="L98" s="44"/>
      <c r="M98" s="44"/>
      <c r="N98" s="44"/>
      <c r="O98" s="35"/>
      <c r="P98" s="35"/>
      <c r="Q98" s="35"/>
      <c r="R98" s="35"/>
      <c r="S98" s="35"/>
      <c r="T98" s="35"/>
      <c r="U98" s="612"/>
      <c r="V98" s="35"/>
      <c r="W98" s="35"/>
      <c r="X98" s="35"/>
      <c r="Y98" s="112"/>
      <c r="Z98" s="566"/>
    </row>
    <row r="99" spans="1:34" s="854" customFormat="1" ht="12.75" customHeight="1">
      <c r="A99" s="946"/>
      <c r="B99" s="579"/>
      <c r="C99" s="579"/>
      <c r="D99" s="579" t="str">
        <f>"tax or the 6.2% portion of the 7.65% railroad retirement (tier 1) tax for "&amp;TaxYear</f>
        <v>tax or the 6.2% portion of the 7.65% railroad retirement (tier 1) tax for 2016</v>
      </c>
      <c r="E99" s="579"/>
      <c r="F99" s="579"/>
      <c r="G99" s="579"/>
      <c r="H99" s="579"/>
      <c r="I99" s="579"/>
      <c r="J99" s="579"/>
      <c r="K99" s="579"/>
      <c r="L99" s="139"/>
      <c r="M99" s="139"/>
      <c r="N99" s="139"/>
      <c r="O99" s="579"/>
      <c r="P99" s="579"/>
      <c r="Q99" s="579"/>
      <c r="R99" s="579"/>
      <c r="S99" s="579"/>
      <c r="T99" s="785" t="s">
        <v>997</v>
      </c>
      <c r="U99" s="967">
        <v>7</v>
      </c>
      <c r="V99" s="5663">
        <f>S61</f>
        <v>118500</v>
      </c>
      <c r="W99" s="5664"/>
      <c r="X99" s="5664"/>
      <c r="Y99" s="965"/>
      <c r="Z99" s="780" t="s">
        <v>554</v>
      </c>
      <c r="AB99" s="2594"/>
      <c r="AC99" s="2595"/>
      <c r="AD99" s="2595"/>
      <c r="AE99" s="2595"/>
      <c r="AF99" s="2595"/>
      <c r="AG99" s="2595"/>
      <c r="AH99" s="2596"/>
    </row>
    <row r="100" spans="1:34" ht="12.75" customHeight="1" thickBot="1">
      <c r="A100" s="857"/>
      <c r="B100" s="35"/>
      <c r="C100" s="452" t="s">
        <v>62</v>
      </c>
      <c r="D100" s="1464" t="s">
        <v>906</v>
      </c>
      <c r="E100" s="35"/>
      <c r="F100" s="35"/>
      <c r="G100" s="35"/>
      <c r="H100" s="35"/>
      <c r="I100" s="35"/>
      <c r="J100" s="35"/>
      <c r="K100" s="35"/>
      <c r="L100" s="44"/>
      <c r="M100" s="44"/>
      <c r="N100" s="44"/>
      <c r="O100" s="35"/>
      <c r="P100" s="35"/>
      <c r="Q100" s="5672"/>
      <c r="R100" s="4563"/>
      <c r="S100" s="4563"/>
      <c r="T100" s="4564"/>
      <c r="U100" s="615"/>
      <c r="V100" s="5623"/>
      <c r="W100" s="5656"/>
      <c r="X100" s="5656"/>
      <c r="Y100" s="112"/>
      <c r="Z100" s="780" t="s">
        <v>555</v>
      </c>
      <c r="AB100" s="2597"/>
      <c r="AC100" s="2757" t="s">
        <v>1672</v>
      </c>
      <c r="AD100" s="2599"/>
      <c r="AE100" s="2599"/>
      <c r="AF100" s="2599"/>
      <c r="AG100" s="2599"/>
      <c r="AH100" s="2600"/>
    </row>
    <row r="101" spans="1:34" ht="12.75" customHeight="1" thickBot="1">
      <c r="A101" s="857"/>
      <c r="B101" s="35"/>
      <c r="C101" s="452"/>
      <c r="D101" s="1505" t="s">
        <v>908</v>
      </c>
      <c r="E101" s="35"/>
      <c r="F101" s="35"/>
      <c r="G101" s="35"/>
      <c r="H101" s="35"/>
      <c r="I101" s="35"/>
      <c r="J101" s="35"/>
      <c r="K101" s="35"/>
      <c r="L101" s="44"/>
      <c r="M101" s="44"/>
      <c r="N101" s="44"/>
      <c r="O101" s="35"/>
      <c r="P101" s="623"/>
      <c r="Q101" s="5671"/>
      <c r="R101" s="5582"/>
      <c r="S101" s="5582"/>
      <c r="T101" s="4564"/>
      <c r="U101" s="615"/>
      <c r="V101" s="5657" t="str">
        <f>IF(OR(C42&lt;&gt;"",P42="",Z93="Stop"),"",IF($Z$104="","Enter RR retirement",""))</f>
        <v/>
      </c>
      <c r="W101" s="5658"/>
      <c r="X101" s="5658"/>
      <c r="Y101" s="112"/>
      <c r="Z101" s="2593"/>
      <c r="AA101" s="2758" t="s">
        <v>1673</v>
      </c>
      <c r="AB101" s="2601"/>
      <c r="AC101" s="2598" t="s">
        <v>1671</v>
      </c>
      <c r="AD101" s="2399"/>
      <c r="AE101" s="2399"/>
      <c r="AF101" s="2399"/>
      <c r="AG101" s="2399"/>
      <c r="AH101" s="2477"/>
    </row>
    <row r="102" spans="1:34" ht="12.75" customHeight="1">
      <c r="A102" s="857"/>
      <c r="B102" s="35"/>
      <c r="C102" s="35"/>
      <c r="D102" s="579" t="str">
        <f>"If "&amp;TEXT(V99,"$00,000")&amp;" or more, skip lines 8b through 10 and go to line 11"</f>
        <v>If $118,500 or more, skip lines 8b through 10 and go to line 11</v>
      </c>
      <c r="E102" s="35"/>
      <c r="F102" s="35"/>
      <c r="G102" s="35"/>
      <c r="H102" s="35"/>
      <c r="I102" s="35"/>
      <c r="J102" s="35"/>
      <c r="K102" s="35"/>
      <c r="L102" s="44"/>
      <c r="M102" s="44"/>
      <c r="N102" s="44"/>
      <c r="O102" s="57" t="s">
        <v>1142</v>
      </c>
      <c r="P102" s="608" t="s">
        <v>62</v>
      </c>
      <c r="Q102" s="5601" t="str">
        <f>IF(Z101&lt;&gt;"",SUM(Z101,Z104),IF(OR(C42&lt;&gt;"",P42="",Z93="Stop"),"",IF(AND(D5&lt;&gt;"",D7&lt;&gt;""),SUM(AC97,AD97),IF(D5&lt;&gt;"",AC97,IF(D7&lt;&gt;"",AD97,"")))))</f>
        <v/>
      </c>
      <c r="R102" s="5668"/>
      <c r="S102" s="5668"/>
      <c r="T102" s="5669"/>
      <c r="U102" s="615"/>
      <c r="V102" s="5659" t="str">
        <f>IF(OR(C42&lt;&gt;"",P42="",Z93="Stop"),"",IF($Z$104="","(tier 1) compensation",""))</f>
        <v/>
      </c>
      <c r="W102" s="5660"/>
      <c r="X102" s="5660"/>
      <c r="Y102" s="112"/>
      <c r="Z102" s="5673" t="s">
        <v>909</v>
      </c>
      <c r="AB102" s="2601"/>
      <c r="AC102" s="2598" t="s">
        <v>1557</v>
      </c>
      <c r="AD102" s="2598"/>
      <c r="AE102" s="2399"/>
      <c r="AF102" s="2399"/>
      <c r="AG102" s="2399"/>
      <c r="AH102" s="2477"/>
    </row>
    <row r="103" spans="1:34" ht="13.5" customHeight="1" thickBot="1">
      <c r="A103" s="857"/>
      <c r="B103" s="35"/>
      <c r="C103" s="452" t="s">
        <v>84</v>
      </c>
      <c r="D103" s="360" t="s">
        <v>606</v>
      </c>
      <c r="E103" s="35"/>
      <c r="F103" s="35"/>
      <c r="G103" s="35"/>
      <c r="H103" s="35"/>
      <c r="I103" s="35"/>
      <c r="J103" s="35"/>
      <c r="K103" s="35"/>
      <c r="L103" s="44"/>
      <c r="M103" s="44"/>
      <c r="N103" s="44"/>
      <c r="O103" s="35"/>
      <c r="P103" s="608" t="s">
        <v>64</v>
      </c>
      <c r="Q103" s="5670"/>
      <c r="R103" s="4600"/>
      <c r="S103" s="4600"/>
      <c r="T103" s="4662"/>
      <c r="U103" s="615"/>
      <c r="V103" s="5661" t="str">
        <f>IF(OR(C42&lt;&gt;"",P42="",Z93="Stop"),"",IF($Z$104="","amounts here.",""))</f>
        <v/>
      </c>
      <c r="W103" s="5662"/>
      <c r="X103" s="5662"/>
      <c r="Y103" s="112"/>
      <c r="Z103" s="5417"/>
      <c r="AB103" s="2602"/>
      <c r="AC103" s="2603"/>
      <c r="AD103" s="2603"/>
      <c r="AE103" s="2603"/>
      <c r="AF103" s="2603"/>
      <c r="AG103" s="2603"/>
      <c r="AH103" s="2604"/>
    </row>
    <row r="104" spans="1:34" ht="12.75" customHeight="1" thickBot="1">
      <c r="A104" s="857"/>
      <c r="B104" s="35"/>
      <c r="C104" s="452" t="s">
        <v>85</v>
      </c>
      <c r="D104" s="35" t="s">
        <v>607</v>
      </c>
      <c r="E104" s="35"/>
      <c r="F104" s="35"/>
      <c r="G104" s="35"/>
      <c r="H104" s="35"/>
      <c r="I104" s="35"/>
      <c r="J104" s="35"/>
      <c r="K104" s="35"/>
      <c r="L104" s="44"/>
      <c r="M104" s="44"/>
      <c r="N104" s="44"/>
      <c r="O104" s="35"/>
      <c r="P104" s="608" t="s">
        <v>158</v>
      </c>
      <c r="Q104" s="5670"/>
      <c r="R104" s="4600"/>
      <c r="S104" s="4600"/>
      <c r="T104" s="4662"/>
      <c r="U104" s="615"/>
      <c r="V104" s="5661" t="str">
        <f>IF(OR(C42&lt;&gt;"",P42="",Z93="Stop"),"",IF($Z$104="","(Enter '0' if none.) --&gt;",""))</f>
        <v/>
      </c>
      <c r="W104" s="5662"/>
      <c r="X104" s="5662"/>
      <c r="Y104" s="112"/>
      <c r="Z104" s="781">
        <v>0</v>
      </c>
    </row>
    <row r="105" spans="1:34" ht="15.75" customHeight="1" thickBot="1">
      <c r="A105" s="857"/>
      <c r="B105" s="35"/>
      <c r="C105" s="452" t="s">
        <v>151</v>
      </c>
      <c r="D105" s="35" t="s">
        <v>604</v>
      </c>
      <c r="E105" s="35"/>
      <c r="F105" s="35"/>
      <c r="G105" s="35"/>
      <c r="H105" s="35"/>
      <c r="I105" s="35"/>
      <c r="J105" s="35"/>
      <c r="K105" s="35"/>
      <c r="L105" s="44"/>
      <c r="M105" s="44"/>
      <c r="N105" s="44"/>
      <c r="O105" s="35"/>
      <c r="P105" s="35"/>
      <c r="Q105" s="35"/>
      <c r="R105" s="35"/>
      <c r="S105" s="35"/>
      <c r="T105" s="57" t="s">
        <v>689</v>
      </c>
      <c r="U105" s="450" t="s">
        <v>605</v>
      </c>
      <c r="V105" s="5674" t="str">
        <f>IF(Z105&lt;&gt;"",Z105,IF(OR(C42&lt;&gt;"",P42="",Z93="Stop"),"",IF(Q102&gt;=V99,"",SUM(Q102,Q103,Q104))))</f>
        <v/>
      </c>
      <c r="W105" s="5675"/>
      <c r="X105" s="5675"/>
      <c r="Y105" s="112"/>
      <c r="Z105" s="566"/>
    </row>
    <row r="106" spans="1:34" ht="14.25">
      <c r="A106" s="857"/>
      <c r="B106" s="35"/>
      <c r="C106" s="452">
        <v>9</v>
      </c>
      <c r="D106" s="35" t="s">
        <v>608</v>
      </c>
      <c r="E106" s="35"/>
      <c r="F106" s="35"/>
      <c r="G106" s="35"/>
      <c r="H106" s="35"/>
      <c r="I106" s="35"/>
      <c r="J106" s="35"/>
      <c r="K106" s="35"/>
      <c r="L106" s="44"/>
      <c r="M106" s="44"/>
      <c r="N106" s="44"/>
      <c r="O106" s="35"/>
      <c r="P106" s="35"/>
      <c r="Q106" s="35"/>
      <c r="R106" s="35"/>
      <c r="S106" s="35"/>
      <c r="T106" s="622"/>
      <c r="U106" s="450">
        <v>9</v>
      </c>
      <c r="V106" s="5607" t="str">
        <f>IF(OR(C42&lt;&gt;"",P42="",Z93="Stop"),"",IF(Q102&gt;=V99,"",IF(SUM(V99,-V105)&lt;0,0,SUM(V99,-V105))))</f>
        <v/>
      </c>
      <c r="W106" s="5608"/>
      <c r="X106" s="5608"/>
      <c r="Y106" s="112"/>
      <c r="Z106" s="614"/>
    </row>
    <row r="107" spans="1:34">
      <c r="A107" s="857"/>
      <c r="B107" s="35"/>
      <c r="C107" s="452">
        <v>10</v>
      </c>
      <c r="D107" s="1464" t="s">
        <v>1141</v>
      </c>
      <c r="E107" s="35"/>
      <c r="F107" s="35"/>
      <c r="G107" s="35"/>
      <c r="H107" s="35"/>
      <c r="I107" s="35"/>
      <c r="J107" s="35" t="str">
        <f>TEXT(AC107,"0.0%")&amp;" ("&amp;TEXT(AC107,"0.000")&amp;")"</f>
        <v>12.4% (0.124)</v>
      </c>
      <c r="K107" s="35"/>
      <c r="L107" s="44"/>
      <c r="M107" s="44"/>
      <c r="N107" s="44"/>
      <c r="O107" s="35"/>
      <c r="P107" s="35"/>
      <c r="Q107" s="35"/>
      <c r="R107" s="35"/>
      <c r="S107" s="628"/>
      <c r="T107" s="57" t="s">
        <v>925</v>
      </c>
      <c r="U107" s="450">
        <v>10</v>
      </c>
      <c r="V107" s="5607" t="str">
        <f>IF(OR(C42&lt;&gt;"",P42="",Z93="Stop"),"",IF(OR(V106&lt;=0,Q102&gt;=V99),"",ROUND(AC107*MIN(V97,V106),0)))</f>
        <v/>
      </c>
      <c r="W107" s="5608"/>
      <c r="X107" s="5608"/>
      <c r="Y107" s="112"/>
      <c r="Z107" s="614"/>
      <c r="AC107" s="1148">
        <v>0.124</v>
      </c>
    </row>
    <row r="108" spans="1:34" ht="13.5" thickBot="1">
      <c r="A108" s="857"/>
      <c r="B108" s="35"/>
      <c r="C108" s="452">
        <v>11</v>
      </c>
      <c r="D108" s="35" t="str">
        <f>"Multiply line 6 by "&amp;TEXT(AC108,"0.0%")&amp;" ("&amp;TEXT(AC108,"0.000")&amp;")"</f>
        <v>Multiply line 6 by 2.9% (0.029)</v>
      </c>
      <c r="E108" s="35"/>
      <c r="F108" s="35"/>
      <c r="G108" s="35"/>
      <c r="H108" s="35"/>
      <c r="I108" s="35"/>
      <c r="J108" s="35"/>
      <c r="K108" s="35"/>
      <c r="L108" s="44"/>
      <c r="M108" s="44"/>
      <c r="N108" s="44"/>
      <c r="O108" s="35"/>
      <c r="P108" s="35"/>
      <c r="Q108" s="35"/>
      <c r="R108" s="35"/>
      <c r="S108" s="35"/>
      <c r="T108" s="57" t="s">
        <v>483</v>
      </c>
      <c r="U108" s="450">
        <v>11</v>
      </c>
      <c r="V108" s="5607" t="str">
        <f>IF(OR(C42&lt;&gt;"",P42="",Z93="Stop"),"",ROUND(V97*AC108,0))</f>
        <v/>
      </c>
      <c r="W108" s="5608"/>
      <c r="X108" s="5608"/>
      <c r="Y108" s="112"/>
      <c r="Z108" s="614"/>
      <c r="AC108" s="1148">
        <v>2.9000000000000001E-2</v>
      </c>
    </row>
    <row r="109" spans="1:34" ht="14.25" customHeight="1" thickBot="1">
      <c r="A109" s="857"/>
      <c r="B109" s="35"/>
      <c r="C109" s="452">
        <v>12</v>
      </c>
      <c r="D109" s="643" t="s">
        <v>2457</v>
      </c>
      <c r="E109" s="180"/>
      <c r="F109" s="180"/>
      <c r="G109" s="180"/>
      <c r="H109" s="180"/>
      <c r="I109" s="180"/>
      <c r="J109" s="180"/>
      <c r="K109" s="180"/>
      <c r="L109" s="94"/>
      <c r="M109" s="94"/>
      <c r="N109" s="94"/>
      <c r="O109" s="180"/>
      <c r="P109" s="180"/>
      <c r="Q109" s="180"/>
      <c r="R109" s="180"/>
      <c r="S109" s="180"/>
      <c r="T109" s="57" t="s">
        <v>1150</v>
      </c>
      <c r="U109" s="627">
        <v>12</v>
      </c>
      <c r="V109" s="5607" t="str">
        <f>IF(Z109&lt;&gt;"",Z109,IF(OR(C42&lt;&gt;"",P42="",Z93="Stop"),"",SUM(V107,V108)))</f>
        <v/>
      </c>
      <c r="W109" s="5608"/>
      <c r="X109" s="5608"/>
      <c r="Y109" s="112"/>
      <c r="Z109" s="566"/>
    </row>
    <row r="110" spans="1:34">
      <c r="A110" s="857"/>
      <c r="B110" s="35"/>
      <c r="C110" s="452">
        <v>13</v>
      </c>
      <c r="D110" s="1692" t="s">
        <v>1664</v>
      </c>
      <c r="E110" s="164"/>
      <c r="F110" s="164"/>
      <c r="G110" s="164"/>
      <c r="H110" s="164"/>
      <c r="I110" s="164"/>
      <c r="J110" s="164"/>
      <c r="K110" s="164"/>
      <c r="L110" s="368"/>
      <c r="M110" s="368"/>
      <c r="N110" s="368"/>
      <c r="O110" s="164"/>
      <c r="P110" s="164"/>
      <c r="Q110" s="1507"/>
      <c r="R110" s="35"/>
      <c r="S110" s="1506"/>
      <c r="T110" s="35"/>
      <c r="U110" s="615"/>
      <c r="V110" s="614"/>
      <c r="W110" s="614"/>
      <c r="X110" s="614"/>
      <c r="Y110" s="112"/>
      <c r="Z110" s="614"/>
    </row>
    <row r="111" spans="1:34" ht="13.5" thickBot="1">
      <c r="A111" s="857"/>
      <c r="B111" s="35"/>
      <c r="C111" s="452"/>
      <c r="D111" s="1464" t="str">
        <f>"Multiply line 12 by "&amp;TEXT(Q111,"0%")&amp;" ("&amp;TEXT(Q111,"0.00")&amp;"). Enter the result here and on"</f>
        <v>Multiply line 12 by 50% (0.50). Enter the result here and on</v>
      </c>
      <c r="E111" s="1464"/>
      <c r="F111" s="35"/>
      <c r="G111" s="35"/>
      <c r="H111" s="35"/>
      <c r="I111" s="35"/>
      <c r="J111" s="35"/>
      <c r="K111" s="35"/>
      <c r="L111" s="44"/>
      <c r="M111" s="44"/>
      <c r="N111" s="44"/>
      <c r="O111" s="35"/>
      <c r="P111" s="44"/>
      <c r="Q111" s="5665">
        <v>0.5</v>
      </c>
      <c r="R111" s="5666"/>
      <c r="S111" s="5666"/>
      <c r="T111" s="5667"/>
      <c r="U111" s="615"/>
      <c r="V111" s="1493"/>
      <c r="W111" s="624"/>
      <c r="X111" s="624"/>
      <c r="Y111" s="112"/>
      <c r="Z111" s="614"/>
    </row>
    <row r="112" spans="1:34" ht="12.75" customHeight="1" thickBot="1">
      <c r="A112" s="857"/>
      <c r="B112" s="35"/>
      <c r="C112" s="35"/>
      <c r="D112" s="2754" t="s">
        <v>1670</v>
      </c>
      <c r="E112" s="35"/>
      <c r="F112" s="180"/>
      <c r="G112" s="35"/>
      <c r="H112" s="35"/>
      <c r="I112" s="35"/>
      <c r="J112" s="35"/>
      <c r="K112" s="35"/>
      <c r="L112" s="44"/>
      <c r="M112" s="44"/>
      <c r="N112" s="44"/>
      <c r="O112" s="35"/>
      <c r="P112" s="623">
        <v>13</v>
      </c>
      <c r="Q112" s="5601" t="str">
        <f>IF(Z112&lt;&gt;"",Z112,IF(OR(C42&lt;&gt;"",P42="",Z93="Stop"),"",ROUND(V109*Q111,0)))</f>
        <v/>
      </c>
      <c r="R112" s="5668"/>
      <c r="S112" s="5668"/>
      <c r="T112" s="5669"/>
      <c r="U112" s="615"/>
      <c r="V112" s="614"/>
      <c r="W112" s="614"/>
      <c r="X112" s="614"/>
      <c r="Y112" s="112"/>
      <c r="Z112" s="566"/>
    </row>
    <row r="113" spans="1:26" ht="16.5" customHeight="1">
      <c r="A113" s="857"/>
      <c r="B113" s="1499"/>
      <c r="C113" s="1500" t="s">
        <v>194</v>
      </c>
      <c r="D113" s="1501"/>
      <c r="E113" s="3819" t="s">
        <v>3187</v>
      </c>
      <c r="F113" s="1503"/>
      <c r="G113" s="1503"/>
      <c r="H113" s="1503"/>
      <c r="I113" s="1503"/>
      <c r="J113" s="1503"/>
      <c r="K113" s="1503"/>
      <c r="L113" s="1503"/>
      <c r="M113" s="1503"/>
      <c r="N113" s="1503"/>
      <c r="O113" s="1503"/>
      <c r="P113" s="1503"/>
      <c r="Q113" s="1503"/>
      <c r="R113" s="1503"/>
      <c r="S113" s="1503"/>
      <c r="T113" s="1503"/>
      <c r="U113" s="1503"/>
      <c r="V113" s="1503"/>
      <c r="W113" s="1503"/>
      <c r="X113" s="1503"/>
      <c r="Y113" s="112"/>
      <c r="Z113" s="614"/>
    </row>
    <row r="114" spans="1:26" ht="14.25">
      <c r="A114" s="857"/>
      <c r="B114" s="414" t="s">
        <v>282</v>
      </c>
      <c r="C114" s="35"/>
      <c r="D114" s="35"/>
      <c r="E114" s="35"/>
      <c r="F114" s="35"/>
      <c r="G114" s="35"/>
      <c r="H114" s="35"/>
      <c r="I114" s="35"/>
      <c r="J114" s="35"/>
      <c r="K114" s="35"/>
      <c r="L114" s="44"/>
      <c r="M114" s="44"/>
      <c r="N114" s="44"/>
      <c r="O114" s="35"/>
      <c r="P114" s="35"/>
      <c r="Q114" s="35"/>
      <c r="R114" s="35"/>
      <c r="S114" s="35"/>
      <c r="T114" s="35"/>
      <c r="U114" s="612"/>
      <c r="V114" s="2112">
        <v>7560</v>
      </c>
      <c r="W114" s="35"/>
      <c r="X114" s="35"/>
      <c r="Y114" s="112"/>
      <c r="Z114" s="614"/>
    </row>
    <row r="115" spans="1:26">
      <c r="A115" s="857"/>
      <c r="B115" s="1464" t="str">
        <f>"than "&amp;TEXT(V114,"$0,000")&amp;" or (b) your net farm profits were less than "&amp;TEXT(V115,"$0,000")&amp;"."</f>
        <v>than $7,560 or (b) your net farm profits were less than $5,457.</v>
      </c>
      <c r="C115" s="35"/>
      <c r="D115" s="35"/>
      <c r="E115" s="35"/>
      <c r="F115" s="35"/>
      <c r="G115" s="35"/>
      <c r="H115" s="35"/>
      <c r="I115" s="35"/>
      <c r="J115" s="35"/>
      <c r="K115" s="35"/>
      <c r="L115" s="44"/>
      <c r="M115" s="44"/>
      <c r="N115" s="44"/>
      <c r="O115" s="35"/>
      <c r="P115" s="35"/>
      <c r="Q115" s="35"/>
      <c r="R115" s="35"/>
      <c r="S115" s="35"/>
      <c r="T115" s="35"/>
      <c r="U115" s="612"/>
      <c r="V115" s="2112">
        <v>5457</v>
      </c>
      <c r="W115" s="35"/>
      <c r="X115" s="35"/>
      <c r="Y115" s="112"/>
      <c r="Z115" s="614"/>
    </row>
    <row r="116" spans="1:26" ht="15.75">
      <c r="A116" s="857"/>
      <c r="B116" s="35"/>
      <c r="C116" s="452">
        <v>14</v>
      </c>
      <c r="D116" s="35" t="s">
        <v>765</v>
      </c>
      <c r="E116" s="35"/>
      <c r="F116" s="35"/>
      <c r="G116" s="35"/>
      <c r="H116" s="35"/>
      <c r="I116" s="35"/>
      <c r="J116" s="35"/>
      <c r="K116" s="35"/>
      <c r="L116" s="44"/>
      <c r="M116" s="44"/>
      <c r="N116" s="44"/>
      <c r="O116" s="35"/>
      <c r="P116" s="35"/>
      <c r="Q116" s="35"/>
      <c r="R116" s="35"/>
      <c r="S116" s="35"/>
      <c r="T116" s="57" t="s">
        <v>154</v>
      </c>
      <c r="U116" s="450">
        <v>14</v>
      </c>
      <c r="V116" s="5663">
        <v>5040</v>
      </c>
      <c r="W116" s="5664"/>
      <c r="X116" s="5664"/>
      <c r="Y116" s="112"/>
      <c r="Z116" s="614"/>
    </row>
    <row r="117" spans="1:26" ht="12" customHeight="1">
      <c r="A117" s="857"/>
      <c r="B117" s="35"/>
      <c r="C117" s="452">
        <v>15</v>
      </c>
      <c r="D117" s="1464" t="s">
        <v>1418</v>
      </c>
      <c r="E117" s="35"/>
      <c r="F117" s="35"/>
      <c r="G117" s="35"/>
      <c r="H117" s="35"/>
      <c r="I117" s="35"/>
      <c r="J117" s="35"/>
      <c r="K117" s="35"/>
      <c r="L117" s="44"/>
      <c r="M117" s="44"/>
      <c r="N117" s="44"/>
      <c r="O117" s="35"/>
      <c r="P117" s="35"/>
      <c r="Q117" s="35"/>
      <c r="R117" s="1693" t="str">
        <f>TEXT(V116,"$0,000")&amp;"."</f>
        <v>$5,040.</v>
      </c>
      <c r="S117" s="1464" t="s">
        <v>1147</v>
      </c>
      <c r="T117" s="1693"/>
      <c r="U117" s="612"/>
      <c r="V117" s="35"/>
      <c r="W117" s="35"/>
      <c r="X117" s="35"/>
      <c r="Y117" s="112"/>
      <c r="Z117" s="820" t="str">
        <f>IF($V$118&gt;$V$116,"Line 15 cannot","")</f>
        <v/>
      </c>
    </row>
    <row r="118" spans="1:26" ht="15" customHeight="1">
      <c r="A118" s="857"/>
      <c r="B118" s="63"/>
      <c r="C118" s="63"/>
      <c r="D118" s="604" t="s">
        <v>766</v>
      </c>
      <c r="E118" s="63"/>
      <c r="F118" s="63"/>
      <c r="G118" s="63"/>
      <c r="H118" s="63"/>
      <c r="I118" s="63"/>
      <c r="J118" s="63"/>
      <c r="K118" s="63"/>
      <c r="L118" s="63"/>
      <c r="M118" s="63"/>
      <c r="N118" s="63"/>
      <c r="O118" s="63"/>
      <c r="P118" s="63"/>
      <c r="Q118" s="63"/>
      <c r="R118" s="63"/>
      <c r="S118" s="63"/>
      <c r="T118" s="782" t="s">
        <v>688</v>
      </c>
      <c r="U118" s="450">
        <v>15</v>
      </c>
      <c r="V118" s="5612"/>
      <c r="W118" s="5613"/>
      <c r="X118" s="5613"/>
      <c r="Y118" s="112"/>
      <c r="Z118" s="820" t="str">
        <f>IF($V$118&gt;$V$116,"be more than","")</f>
        <v/>
      </c>
    </row>
    <row r="119" spans="1:26" ht="12" customHeight="1">
      <c r="A119" s="857"/>
      <c r="B119" s="36" t="s">
        <v>3171</v>
      </c>
      <c r="C119" s="35"/>
      <c r="D119" s="35"/>
      <c r="E119" s="35"/>
      <c r="F119" s="35"/>
      <c r="G119" s="35"/>
      <c r="H119" s="35"/>
      <c r="I119" s="35"/>
      <c r="J119" s="35"/>
      <c r="K119" s="35"/>
      <c r="L119" s="44"/>
      <c r="M119" s="44"/>
      <c r="N119" s="44"/>
      <c r="O119" s="35"/>
      <c r="P119" s="35"/>
      <c r="Q119" s="35"/>
      <c r="R119" s="35"/>
      <c r="S119" s="35"/>
      <c r="T119" s="35"/>
      <c r="U119" s="612"/>
      <c r="V119" s="2112">
        <v>0.72189000000000003</v>
      </c>
      <c r="W119" s="35"/>
      <c r="X119" s="35"/>
      <c r="Y119" s="112"/>
      <c r="Z119" s="820" t="str">
        <f>IF($V$118&gt;$V$116,"Line 14.","")</f>
        <v/>
      </c>
    </row>
    <row r="120" spans="1:26" ht="12" customHeight="1">
      <c r="A120" s="857"/>
      <c r="B120" s="1464" t="str">
        <f>"than "&amp;TEXT(V115,"$0,000")&amp;" and also less than "&amp;TEXT(V119,"0.000%")&amp;" of your"</f>
        <v>than $5,457 and also less than 72.189% of your</v>
      </c>
      <c r="C120" s="35"/>
      <c r="D120" s="35"/>
      <c r="E120" s="35"/>
      <c r="F120" s="35"/>
      <c r="G120" s="35"/>
      <c r="H120" s="35"/>
      <c r="I120" s="35"/>
      <c r="J120" s="1464" t="s">
        <v>3188</v>
      </c>
      <c r="K120" s="35"/>
      <c r="L120" s="44"/>
      <c r="M120" s="44"/>
      <c r="N120" s="44"/>
      <c r="O120" s="35"/>
      <c r="P120" s="35"/>
      <c r="Q120" s="35"/>
      <c r="R120" s="35"/>
      <c r="S120" s="35"/>
      <c r="T120" s="35"/>
      <c r="U120" s="612"/>
      <c r="V120" s="2112">
        <v>400</v>
      </c>
      <c r="W120" s="35"/>
      <c r="X120" s="35"/>
      <c r="Y120" s="112"/>
      <c r="Z120" s="614"/>
    </row>
    <row r="121" spans="1:26" ht="12" customHeight="1">
      <c r="A121" s="857"/>
      <c r="B121" s="1464" t="str">
        <f>"self-employment of at least "&amp;TEXT(V120,"$0")&amp;" in 2 of the prior 3 years."</f>
        <v>self-employment of at least $400 in 2 of the prior 3 years.</v>
      </c>
      <c r="C121" s="35"/>
      <c r="D121" s="35"/>
      <c r="E121" s="35"/>
      <c r="F121" s="35"/>
      <c r="G121" s="35"/>
      <c r="H121" s="35"/>
      <c r="I121" s="35"/>
      <c r="J121" s="35"/>
      <c r="K121" s="35"/>
      <c r="L121" s="44"/>
      <c r="M121" s="1464"/>
      <c r="N121" s="44"/>
      <c r="O121" s="35"/>
      <c r="P121" s="35"/>
      <c r="Q121" s="35"/>
      <c r="R121" s="35"/>
      <c r="S121" s="35"/>
      <c r="T121" s="35"/>
      <c r="U121" s="612"/>
      <c r="V121" s="35"/>
      <c r="W121" s="35"/>
      <c r="X121" s="35"/>
      <c r="Y121" s="112"/>
      <c r="Z121" s="614"/>
    </row>
    <row r="122" spans="1:26" ht="12" customHeight="1">
      <c r="A122" s="857"/>
      <c r="B122" s="1464" t="s">
        <v>2458</v>
      </c>
      <c r="C122" s="35"/>
      <c r="D122" s="35"/>
      <c r="E122" s="35"/>
      <c r="F122" s="35"/>
      <c r="G122" s="35"/>
      <c r="H122" s="35"/>
      <c r="I122" s="35"/>
      <c r="J122" s="35"/>
      <c r="K122" s="35"/>
      <c r="L122" s="44"/>
      <c r="M122" s="44"/>
      <c r="N122" s="44"/>
      <c r="O122" s="35"/>
      <c r="P122" s="35"/>
      <c r="Q122" s="35"/>
      <c r="R122" s="35"/>
      <c r="S122" s="35"/>
      <c r="T122" s="35"/>
      <c r="U122" s="612"/>
      <c r="V122" s="35"/>
      <c r="W122" s="35"/>
      <c r="X122" s="35"/>
      <c r="Y122" s="112"/>
      <c r="Z122" s="614"/>
    </row>
    <row r="123" spans="1:26">
      <c r="A123" s="857"/>
      <c r="B123" s="35"/>
      <c r="C123" s="452">
        <v>16</v>
      </c>
      <c r="D123" s="35" t="s">
        <v>156</v>
      </c>
      <c r="E123" s="35"/>
      <c r="F123" s="35"/>
      <c r="G123" s="35"/>
      <c r="H123" s="35"/>
      <c r="I123" s="35"/>
      <c r="J123" s="35"/>
      <c r="K123" s="35"/>
      <c r="L123" s="44"/>
      <c r="M123" s="44"/>
      <c r="N123" s="44"/>
      <c r="O123" s="35"/>
      <c r="P123" s="35"/>
      <c r="Q123" s="35"/>
      <c r="R123" s="35"/>
      <c r="S123" s="35"/>
      <c r="T123" s="783" t="s">
        <v>278</v>
      </c>
      <c r="U123" s="450">
        <v>16</v>
      </c>
      <c r="V123" s="5601" t="str">
        <f>IF(V118="","",IF(V116-V118&lt;0,0,V116-V118))</f>
        <v/>
      </c>
      <c r="W123" s="5602"/>
      <c r="X123" s="5602"/>
      <c r="Y123" s="112"/>
      <c r="Z123" s="614"/>
    </row>
    <row r="124" spans="1:26" ht="12" customHeight="1">
      <c r="A124" s="857"/>
      <c r="B124" s="35"/>
      <c r="C124" s="452">
        <v>17</v>
      </c>
      <c r="D124" s="35" t="s">
        <v>580</v>
      </c>
      <c r="E124" s="35"/>
      <c r="F124" s="35"/>
      <c r="G124" s="35"/>
      <c r="H124" s="35"/>
      <c r="I124" s="35"/>
      <c r="J124" s="35"/>
      <c r="K124" s="35"/>
      <c r="L124" s="44"/>
      <c r="M124" s="44"/>
      <c r="N124" s="44"/>
      <c r="O124" s="35"/>
      <c r="P124" s="35"/>
      <c r="Q124" s="35"/>
      <c r="R124" s="35"/>
      <c r="S124" s="35"/>
      <c r="T124" s="35"/>
      <c r="U124" s="612"/>
      <c r="V124" s="35"/>
      <c r="W124" s="35"/>
      <c r="X124" s="35"/>
      <c r="Y124" s="112"/>
      <c r="Z124" s="820" t="str">
        <f>IF($V$125&gt;$V$123,"Line 17 cannot","")</f>
        <v/>
      </c>
    </row>
    <row r="125" spans="1:26" ht="15" customHeight="1">
      <c r="A125" s="857"/>
      <c r="B125" s="35"/>
      <c r="C125" s="35"/>
      <c r="D125" s="579" t="s">
        <v>157</v>
      </c>
      <c r="E125" s="35"/>
      <c r="F125" s="35"/>
      <c r="G125" s="35"/>
      <c r="H125" s="35"/>
      <c r="I125" s="35"/>
      <c r="J125" s="35"/>
      <c r="K125" s="35"/>
      <c r="L125" s="44"/>
      <c r="M125" s="44"/>
      <c r="N125" s="44"/>
      <c r="O125" s="35"/>
      <c r="P125" s="35"/>
      <c r="Q125" s="35"/>
      <c r="R125" s="35"/>
      <c r="S125" s="35"/>
      <c r="T125" s="57" t="s">
        <v>596</v>
      </c>
      <c r="U125" s="450">
        <v>17</v>
      </c>
      <c r="V125" s="5612"/>
      <c r="W125" s="5613"/>
      <c r="X125" s="5613"/>
      <c r="Y125" s="112"/>
      <c r="Z125" s="820" t="str">
        <f>IF($V$125&gt;$V$123,"be more than","")</f>
        <v/>
      </c>
    </row>
    <row r="126" spans="1:26" ht="22.5" customHeight="1">
      <c r="A126" s="857"/>
      <c r="B126" s="968">
        <v>1</v>
      </c>
      <c r="C126" s="5637" t="s">
        <v>116</v>
      </c>
      <c r="D126" s="5638"/>
      <c r="E126" s="5638"/>
      <c r="F126" s="5638"/>
      <c r="G126" s="5638"/>
      <c r="H126" s="5638"/>
      <c r="I126" s="5638"/>
      <c r="J126" s="5638"/>
      <c r="K126" s="5639"/>
      <c r="L126" s="968">
        <v>3</v>
      </c>
      <c r="M126" s="5643" t="s">
        <v>3189</v>
      </c>
      <c r="N126" s="5644"/>
      <c r="O126" s="5644"/>
      <c r="P126" s="5644"/>
      <c r="Q126" s="5644"/>
      <c r="R126" s="5644"/>
      <c r="S126" s="5644"/>
      <c r="T126" s="5644"/>
      <c r="U126" s="5644"/>
      <c r="V126" s="5644"/>
      <c r="W126" s="5644"/>
      <c r="X126" s="5644"/>
      <c r="Y126" s="112"/>
      <c r="Z126" s="820" t="str">
        <f>IF($V$125&gt;$V$123,"Line 16.","")</f>
        <v/>
      </c>
    </row>
    <row r="127" spans="1:26" ht="34.5" customHeight="1" thickBot="1">
      <c r="A127" s="857"/>
      <c r="B127" s="969">
        <v>2</v>
      </c>
      <c r="C127" s="5640" t="s">
        <v>1144</v>
      </c>
      <c r="D127" s="5641"/>
      <c r="E127" s="5641"/>
      <c r="F127" s="5641"/>
      <c r="G127" s="5641"/>
      <c r="H127" s="5641"/>
      <c r="I127" s="5641"/>
      <c r="J127" s="5641"/>
      <c r="K127" s="5642"/>
      <c r="L127" s="969">
        <v>4</v>
      </c>
      <c r="M127" s="5635" t="s">
        <v>3190</v>
      </c>
      <c r="N127" s="5636"/>
      <c r="O127" s="5636"/>
      <c r="P127" s="5636"/>
      <c r="Q127" s="5636"/>
      <c r="R127" s="5636"/>
      <c r="S127" s="5636"/>
      <c r="T127" s="5636"/>
      <c r="U127" s="5636"/>
      <c r="V127" s="5636"/>
      <c r="W127" s="5636"/>
      <c r="X127" s="5636"/>
      <c r="Y127" s="112"/>
      <c r="Z127" s="614"/>
    </row>
    <row r="128" spans="1:26" ht="14.25" customHeight="1">
      <c r="A128" s="857"/>
      <c r="B128" s="579"/>
      <c r="C128" s="579"/>
      <c r="D128" s="579"/>
      <c r="E128" s="579"/>
      <c r="F128" s="3702"/>
      <c r="G128" s="3702"/>
      <c r="H128" s="3702"/>
      <c r="I128" s="3703" t="s">
        <v>3145</v>
      </c>
      <c r="J128" s="5645">
        <f>IF(AND($C$42&lt;&gt;"",$V$65=""),0,IF($C$42&lt;&gt;"",$V$65,IF(AND($P$42&lt;&gt;"",$V$109=""),0,IF($P$42&lt;&gt;"",$V$109,0))))</f>
        <v>0</v>
      </c>
      <c r="K128" s="5646"/>
      <c r="L128" s="5646"/>
      <c r="M128" s="3704"/>
      <c r="N128" s="3704"/>
      <c r="O128" s="3702"/>
      <c r="P128" s="3702"/>
      <c r="Q128" s="3703" t="s">
        <v>3144</v>
      </c>
      <c r="R128" s="5645">
        <f>IF(AND($C$42&lt;&gt;"",$V$65=""),0,IF($C$42&lt;&gt;"",$Q$68,IF(AND($P$42&lt;&gt;"",$V$109=""),0,IF($P$42&lt;&gt;"",$Q$112,0))))</f>
        <v>0</v>
      </c>
      <c r="S128" s="5646"/>
      <c r="T128" s="579"/>
      <c r="U128" s="579"/>
      <c r="V128" s="579"/>
      <c r="W128" s="579"/>
      <c r="X128" s="1701" t="str">
        <f>"Schedule SE (Form 1040) "&amp;TaxYear</f>
        <v>Schedule SE (Form 1040) 2016</v>
      </c>
      <c r="Y128" s="965"/>
      <c r="Z128" s="614"/>
    </row>
    <row r="129" spans="1:26">
      <c r="A129" s="857"/>
      <c r="B129" s="112"/>
      <c r="C129" s="112"/>
      <c r="D129" s="112"/>
      <c r="E129" s="112"/>
      <c r="F129" s="112"/>
      <c r="G129" s="112"/>
      <c r="H129" s="112"/>
      <c r="I129" s="112"/>
      <c r="J129" s="112"/>
      <c r="K129" s="112"/>
      <c r="L129" s="130"/>
      <c r="M129" s="130"/>
      <c r="N129" s="130"/>
      <c r="O129" s="112"/>
      <c r="P129" s="112"/>
      <c r="Q129" s="112"/>
      <c r="R129" s="112"/>
      <c r="S129" s="112"/>
      <c r="T129" s="112"/>
      <c r="U129" s="112"/>
      <c r="V129" s="112"/>
      <c r="W129" s="112"/>
      <c r="X129" s="112"/>
      <c r="Y129" s="112"/>
      <c r="Z129" s="786"/>
    </row>
    <row r="130" spans="1:26" ht="13.5" thickBot="1">
      <c r="B130" s="64"/>
      <c r="C130" s="64"/>
      <c r="D130" s="64"/>
      <c r="E130" s="64"/>
      <c r="F130" s="64"/>
      <c r="G130" s="64"/>
      <c r="H130" s="64"/>
      <c r="I130" s="64"/>
      <c r="J130" s="64"/>
      <c r="K130" s="64"/>
      <c r="L130" s="304"/>
      <c r="M130" s="304"/>
      <c r="N130" s="304"/>
      <c r="O130" s="64"/>
      <c r="P130" s="64"/>
      <c r="Q130" s="64"/>
      <c r="R130" s="64"/>
      <c r="S130" s="64"/>
      <c r="T130" s="64"/>
      <c r="U130" s="64"/>
      <c r="V130" s="64"/>
      <c r="W130" s="64"/>
      <c r="X130" s="64"/>
      <c r="Y130" s="64"/>
      <c r="Z130" s="64"/>
    </row>
    <row r="131" spans="1:26" ht="12.75" customHeight="1" thickTop="1" thickBot="1">
      <c r="B131" s="478"/>
      <c r="C131" s="478"/>
      <c r="D131" s="478"/>
      <c r="E131" s="478"/>
      <c r="F131" s="5631" t="s">
        <v>639</v>
      </c>
      <c r="G131" s="5632"/>
      <c r="H131" s="5632"/>
      <c r="I131" s="5632"/>
      <c r="J131" s="5633"/>
      <c r="K131" s="5634"/>
      <c r="L131" s="817"/>
      <c r="M131" s="817"/>
      <c r="N131" s="817"/>
      <c r="O131" s="478"/>
      <c r="P131" s="478"/>
      <c r="Q131" s="478"/>
      <c r="R131" s="478"/>
      <c r="S131" s="478"/>
      <c r="T131" s="478"/>
      <c r="U131" s="478"/>
      <c r="V131" s="478"/>
      <c r="W131" s="478"/>
      <c r="X131" s="478"/>
      <c r="Y131" s="478"/>
      <c r="Z131" s="64"/>
    </row>
    <row r="132" spans="1:26" ht="14.25" thickTop="1" thickBot="1">
      <c r="B132" s="64"/>
      <c r="C132" s="64"/>
      <c r="D132" s="64"/>
      <c r="E132" s="64"/>
      <c r="F132" s="64"/>
      <c r="G132" s="64"/>
      <c r="H132" s="64"/>
      <c r="I132" s="64"/>
      <c r="J132" s="64"/>
      <c r="K132" s="64"/>
      <c r="L132" s="304"/>
      <c r="M132" s="304"/>
      <c r="N132" s="304"/>
      <c r="O132" s="64"/>
      <c r="P132" s="64"/>
      <c r="Q132" s="64"/>
      <c r="R132" s="64"/>
      <c r="S132" s="64"/>
      <c r="T132" s="64"/>
      <c r="U132" s="64"/>
      <c r="V132" s="64"/>
      <c r="W132" s="64"/>
      <c r="X132" s="64"/>
      <c r="Y132" s="64"/>
      <c r="Z132" s="478"/>
    </row>
    <row r="133" spans="1:26" ht="26.25" customHeight="1" thickTop="1" thickBot="1">
      <c r="B133" s="478"/>
      <c r="C133" s="478"/>
      <c r="D133" s="478"/>
      <c r="E133" s="478"/>
      <c r="F133" s="5631" t="s">
        <v>640</v>
      </c>
      <c r="G133" s="5632"/>
      <c r="H133" s="5632"/>
      <c r="I133" s="5632"/>
      <c r="J133" s="5633"/>
      <c r="K133" s="5634"/>
      <c r="L133" s="817"/>
      <c r="M133" s="817"/>
      <c r="N133" s="817"/>
      <c r="O133" s="478"/>
      <c r="P133" s="478"/>
      <c r="Q133" s="478"/>
      <c r="R133" s="478"/>
      <c r="S133" s="478"/>
      <c r="T133" s="478"/>
      <c r="U133" s="478"/>
      <c r="V133" s="478"/>
      <c r="W133" s="478"/>
      <c r="X133" s="478"/>
      <c r="Y133" s="478"/>
      <c r="Z133" s="64"/>
    </row>
    <row r="134" spans="1:26" ht="13.5" thickTop="1">
      <c r="Z134" s="478"/>
    </row>
  </sheetData>
  <sheetProtection password="F07E" sheet="1" objects="1" scenarios="1"/>
  <mergeCells count="84">
    <mergeCell ref="Z45:Z47"/>
    <mergeCell ref="G13:T13"/>
    <mergeCell ref="G11:T11"/>
    <mergeCell ref="G12:T12"/>
    <mergeCell ref="Q95:T95"/>
    <mergeCell ref="P71:T72"/>
    <mergeCell ref="P14:T15"/>
    <mergeCell ref="G20:R20"/>
    <mergeCell ref="Q67:T67"/>
    <mergeCell ref="Q66:T66"/>
    <mergeCell ref="B15:O15"/>
    <mergeCell ref="Q68:T68"/>
    <mergeCell ref="F16:Q16"/>
    <mergeCell ref="R64:T64"/>
    <mergeCell ref="V61:X61"/>
    <mergeCell ref="V57:X57"/>
    <mergeCell ref="Z102:Z103"/>
    <mergeCell ref="V104:X104"/>
    <mergeCell ref="V105:X105"/>
    <mergeCell ref="V106:X106"/>
    <mergeCell ref="V99:X99"/>
    <mergeCell ref="Q112:T112"/>
    <mergeCell ref="Q103:T103"/>
    <mergeCell ref="V96:X96"/>
    <mergeCell ref="V97:X97"/>
    <mergeCell ref="Q104:T104"/>
    <mergeCell ref="Q101:T101"/>
    <mergeCell ref="Q100:T100"/>
    <mergeCell ref="V125:X125"/>
    <mergeCell ref="B72:O72"/>
    <mergeCell ref="U71:X72"/>
    <mergeCell ref="V62:X62"/>
    <mergeCell ref="V100:X100"/>
    <mergeCell ref="V101:X101"/>
    <mergeCell ref="V102:X102"/>
    <mergeCell ref="V103:X103"/>
    <mergeCell ref="V108:X108"/>
    <mergeCell ref="V109:X109"/>
    <mergeCell ref="V118:X118"/>
    <mergeCell ref="V123:X123"/>
    <mergeCell ref="V107:X107"/>
    <mergeCell ref="V116:X116"/>
    <mergeCell ref="Q111:T111"/>
    <mergeCell ref="Q102:T102"/>
    <mergeCell ref="F131:K131"/>
    <mergeCell ref="F133:K133"/>
    <mergeCell ref="M127:X127"/>
    <mergeCell ref="C126:K126"/>
    <mergeCell ref="C127:K127"/>
    <mergeCell ref="M126:X126"/>
    <mergeCell ref="R128:S128"/>
    <mergeCell ref="J128:L128"/>
    <mergeCell ref="V63:X63"/>
    <mergeCell ref="V65:X65"/>
    <mergeCell ref="V52:X52"/>
    <mergeCell ref="V55:X55"/>
    <mergeCell ref="V56:X56"/>
    <mergeCell ref="V58:X58"/>
    <mergeCell ref="V53:X53"/>
    <mergeCell ref="V54:X54"/>
    <mergeCell ref="V59:X59"/>
    <mergeCell ref="U10:X10"/>
    <mergeCell ref="U14:X15"/>
    <mergeCell ref="V48:X48"/>
    <mergeCell ref="V50:X50"/>
    <mergeCell ref="V51:X51"/>
    <mergeCell ref="V49:X49"/>
    <mergeCell ref="U11:X11"/>
    <mergeCell ref="V95:X95"/>
    <mergeCell ref="V83:X83"/>
    <mergeCell ref="V87:X87"/>
    <mergeCell ref="V64:X64"/>
    <mergeCell ref="V93:X93"/>
    <mergeCell ref="V94:X94"/>
    <mergeCell ref="V88:X88"/>
    <mergeCell ref="V89:X89"/>
    <mergeCell ref="V91:X91"/>
    <mergeCell ref="V92:X92"/>
    <mergeCell ref="V85:X85"/>
    <mergeCell ref="V82:X82"/>
    <mergeCell ref="V84:X84"/>
    <mergeCell ref="V80:X80"/>
    <mergeCell ref="U66:X66"/>
    <mergeCell ref="U68:X68"/>
  </mergeCells>
  <phoneticPr fontId="12" type="noConversion"/>
  <conditionalFormatting sqref="Z117:Z119">
    <cfRule type="expression" dxfId="808" priority="66" stopIfTrue="1">
      <formula>IF($V$118&gt;$V$116,0,1)</formula>
    </cfRule>
  </conditionalFormatting>
  <conditionalFormatting sqref="Z124:Z126">
    <cfRule type="expression" dxfId="807" priority="67" stopIfTrue="1">
      <formula>IF($V$125&gt;$V$123,0,1)</formula>
    </cfRule>
  </conditionalFormatting>
  <conditionalFormatting sqref="Z89:Z91">
    <cfRule type="expression" dxfId="806" priority="68" stopIfTrue="1">
      <formula>IF(OR($V$118&gt;$V$116,$V$126&gt;$V$124),0,1)</formula>
    </cfRule>
  </conditionalFormatting>
  <conditionalFormatting sqref="B44:X44">
    <cfRule type="expression" dxfId="805" priority="70" stopIfTrue="1">
      <formula>IF(TaxYear&gt;1996,1,0)</formula>
    </cfRule>
  </conditionalFormatting>
  <conditionalFormatting sqref="V52:X54">
    <cfRule type="expression" dxfId="804" priority="72" stopIfTrue="1">
      <formula>IF($V$51&gt;0,1,0)</formula>
    </cfRule>
    <cfRule type="expression" dxfId="803" priority="73" stopIfTrue="1">
      <formula>IF($V$51&lt;=0,1,0)</formula>
    </cfRule>
  </conditionalFormatting>
  <conditionalFormatting sqref="V83:X86">
    <cfRule type="expression" dxfId="802" priority="74" stopIfTrue="1">
      <formula>IF($V$82&gt;0,1,0)</formula>
    </cfRule>
    <cfRule type="expression" dxfId="801" priority="75" stopIfTrue="1">
      <formula>IF($V$82&lt;=0,1,0)</formula>
    </cfRule>
  </conditionalFormatting>
  <conditionalFormatting sqref="V49:X49 V51:X51 V55:X55">
    <cfRule type="expression" dxfId="800" priority="77" stopIfTrue="1">
      <formula>IF($P$42&lt;&gt;"",1,0)</formula>
    </cfRule>
  </conditionalFormatting>
  <conditionalFormatting sqref="Z94:Z96">
    <cfRule type="expression" dxfId="799" priority="78" stopIfTrue="1">
      <formula>IF(AND($C$42="",$P$42&lt;&gt;"",$V$92&lt;$V$57,$Z$93="Stop"),1,0)</formula>
    </cfRule>
  </conditionalFormatting>
  <conditionalFormatting sqref="V56">
    <cfRule type="expression" dxfId="798" priority="63" stopIfTrue="1">
      <formula>IF(AND($C$42="",$P$42=""),1,0)</formula>
    </cfRule>
  </conditionalFormatting>
  <conditionalFormatting sqref="D58">
    <cfRule type="expression" dxfId="797" priority="59" stopIfTrue="1">
      <formula>IF(AND($C$42&lt;&gt;"",OR($V$51="",$V$51=0),$V$58&lt;$V$57),1,0)</formula>
    </cfRule>
  </conditionalFormatting>
  <conditionalFormatting sqref="I57">
    <cfRule type="expression" dxfId="796" priority="58" stopIfTrue="1">
      <formula>IF(AND($C$42&lt;&gt;"",OR($V$51="",$V$51=0),$V$58&lt;$V$57),1,0)</formula>
    </cfRule>
  </conditionalFormatting>
  <conditionalFormatting sqref="B15:O15">
    <cfRule type="expression" dxfId="795" priority="57">
      <formula>IF(NoColor,1,0)</formula>
    </cfRule>
  </conditionalFormatting>
  <conditionalFormatting sqref="U14:X15">
    <cfRule type="expression" dxfId="794" priority="56">
      <formula>IF(NoColor,1,0)</formula>
    </cfRule>
  </conditionalFormatting>
  <conditionalFormatting sqref="C42">
    <cfRule type="expression" dxfId="793" priority="55">
      <formula>IF(NoColor,1,0)</formula>
    </cfRule>
  </conditionalFormatting>
  <conditionalFormatting sqref="P42">
    <cfRule type="expression" dxfId="792" priority="54">
      <formula>IF(NoColor,1,0)</formula>
    </cfRule>
  </conditionalFormatting>
  <conditionalFormatting sqref="W78">
    <cfRule type="expression" dxfId="791" priority="53">
      <formula>IF(NoColor,1,0)</formula>
    </cfRule>
  </conditionalFormatting>
  <conditionalFormatting sqref="V49:X49">
    <cfRule type="expression" dxfId="790" priority="52">
      <formula>IF(NoColor,1,0)</formula>
    </cfRule>
  </conditionalFormatting>
  <conditionalFormatting sqref="V51:X51">
    <cfRule type="expression" dxfId="789" priority="51">
      <formula>IF(NoColor,1,0)</formula>
    </cfRule>
  </conditionalFormatting>
  <conditionalFormatting sqref="V55:X55">
    <cfRule type="expression" dxfId="788" priority="50">
      <formula>IF(NoColor,1,0)</formula>
    </cfRule>
  </conditionalFormatting>
  <conditionalFormatting sqref="V58:X58">
    <cfRule type="expression" dxfId="787" priority="49" stopIfTrue="1">
      <formula>IF($P$42&lt;&gt;"",1,0)</formula>
    </cfRule>
  </conditionalFormatting>
  <conditionalFormatting sqref="V58:X58">
    <cfRule type="expression" dxfId="786" priority="48">
      <formula>IF(NoColor,1,0)</formula>
    </cfRule>
  </conditionalFormatting>
  <conditionalFormatting sqref="V65:X65">
    <cfRule type="expression" dxfId="785" priority="47" stopIfTrue="1">
      <formula>IF($P$42&lt;&gt;"",1,0)</formula>
    </cfRule>
  </conditionalFormatting>
  <conditionalFormatting sqref="V65:X65">
    <cfRule type="expression" dxfId="784" priority="46">
      <formula>IF(NoColor,1,0)</formula>
    </cfRule>
  </conditionalFormatting>
  <conditionalFormatting sqref="Q68:S68">
    <cfRule type="expression" dxfId="783" priority="44">
      <formula>IF(NoColor,1,0)</formula>
    </cfRule>
  </conditionalFormatting>
  <conditionalFormatting sqref="U71:X72">
    <cfRule type="expression" dxfId="782" priority="43">
      <formula>IF(NoColor,1,0)</formula>
    </cfRule>
  </conditionalFormatting>
  <conditionalFormatting sqref="B72:O72">
    <cfRule type="expression" dxfId="781" priority="42">
      <formula>IF(NoColor,1,0)</formula>
    </cfRule>
  </conditionalFormatting>
  <conditionalFormatting sqref="V56:X56">
    <cfRule type="expression" dxfId="780" priority="41">
      <formula>IF(NoColor,1,0)</formula>
    </cfRule>
  </conditionalFormatting>
  <conditionalFormatting sqref="V82:X82">
    <cfRule type="expression" dxfId="779" priority="40" stopIfTrue="1">
      <formula>IF($P$42&lt;&gt;"",1,0)</formula>
    </cfRule>
  </conditionalFormatting>
  <conditionalFormatting sqref="V82:X82">
    <cfRule type="expression" dxfId="778" priority="39">
      <formula>IF(NoColor,1,0)</formula>
    </cfRule>
  </conditionalFormatting>
  <conditionalFormatting sqref="V87:X87">
    <cfRule type="expression" dxfId="777" priority="37">
      <formula>IF(NoColor,1,0)</formula>
    </cfRule>
  </conditionalFormatting>
  <conditionalFormatting sqref="V91:X91">
    <cfRule type="expression" dxfId="776" priority="35">
      <formula>IF(NoColor,1,0)</formula>
    </cfRule>
  </conditionalFormatting>
  <conditionalFormatting sqref="V105:X105">
    <cfRule type="expression" dxfId="775" priority="33">
      <formula>IF(NoColor,1,0)</formula>
    </cfRule>
  </conditionalFormatting>
  <conditionalFormatting sqref="Q102:T102">
    <cfRule type="expression" dxfId="774" priority="32">
      <formula>IF(NoColor,1,0)</formula>
    </cfRule>
  </conditionalFormatting>
  <conditionalFormatting sqref="Q112:T112">
    <cfRule type="expression" dxfId="773" priority="31">
      <formula>IF(NoColor,1,0)</formula>
    </cfRule>
  </conditionalFormatting>
  <conditionalFormatting sqref="V118:X118">
    <cfRule type="expression" dxfId="772" priority="30" stopIfTrue="1">
      <formula>IF($P$42&lt;&gt;"",1,0)</formula>
    </cfRule>
  </conditionalFormatting>
  <conditionalFormatting sqref="V118:X118">
    <cfRule type="expression" dxfId="771" priority="29">
      <formula>IF(NoColor,1,0)</formula>
    </cfRule>
  </conditionalFormatting>
  <conditionalFormatting sqref="V123:X123">
    <cfRule type="expression" dxfId="770" priority="27">
      <formula>IF(NoColor,1,0)</formula>
    </cfRule>
  </conditionalFormatting>
  <conditionalFormatting sqref="V125:X125">
    <cfRule type="expression" dxfId="769" priority="26" stopIfTrue="1">
      <formula>IF($P$42&lt;&gt;"",1,0)</formula>
    </cfRule>
  </conditionalFormatting>
  <conditionalFormatting sqref="V125:X125">
    <cfRule type="expression" dxfId="768" priority="25">
      <formula>IF(NoColor,1,0)</formula>
    </cfRule>
  </conditionalFormatting>
  <conditionalFormatting sqref="V93:X93">
    <cfRule type="expression" dxfId="767" priority="23">
      <formula>IF(NoColor,1,0)</formula>
    </cfRule>
  </conditionalFormatting>
  <conditionalFormatting sqref="V96:X96">
    <cfRule type="expression" dxfId="766" priority="21">
      <formula>IF(NoColor,1,0)</formula>
    </cfRule>
  </conditionalFormatting>
  <conditionalFormatting sqref="Q95:T95">
    <cfRule type="expression" dxfId="765" priority="20">
      <formula>IF(NoColor,1,0)</formula>
    </cfRule>
  </conditionalFormatting>
  <conditionalFormatting sqref="V80:X80">
    <cfRule type="expression" dxfId="764" priority="19">
      <formula>IF(NoColor,1,0)</formula>
    </cfRule>
  </conditionalFormatting>
  <conditionalFormatting sqref="V88:X89">
    <cfRule type="expression" dxfId="763" priority="18">
      <formula>IF(NoColor,1,0)</formula>
    </cfRule>
  </conditionalFormatting>
  <conditionalFormatting sqref="V97:X97">
    <cfRule type="expression" dxfId="762" priority="17">
      <formula>IF(NoColor,1,0)</formula>
    </cfRule>
  </conditionalFormatting>
  <conditionalFormatting sqref="V106:X109">
    <cfRule type="expression" dxfId="761" priority="16">
      <formula>IF(NoColor,1,0)</formula>
    </cfRule>
  </conditionalFormatting>
  <conditionalFormatting sqref="Q103:T104">
    <cfRule type="expression" dxfId="760" priority="15">
      <formula>IF(NoColor,1,0)</formula>
    </cfRule>
  </conditionalFormatting>
  <conditionalFormatting sqref="Y94">
    <cfRule type="expression" dxfId="759" priority="1242" stopIfTrue="1">
      <formula>IF(AND($C$42="",$P$42&lt;&gt;"",$V$92&lt;$V$57,$Z$93="Stop"),0,1)</formula>
    </cfRule>
  </conditionalFormatting>
  <conditionalFormatting sqref="Z42">
    <cfRule type="expression" dxfId="758" priority="13">
      <formula>IF(OR(AND(C42="",P42=""),AND(C42&lt;&gt;"",P42&lt;&gt;"")),0,1)</formula>
    </cfRule>
  </conditionalFormatting>
  <conditionalFormatting sqref="Z54">
    <cfRule type="expression" dxfId="757" priority="8">
      <formula>IF(AND($E$44,SchC_StatutoryEmp&lt;&gt;""),1,0)</formula>
    </cfRule>
  </conditionalFormatting>
  <conditionalFormatting sqref="Z53">
    <cfRule type="expression" dxfId="756" priority="7">
      <formula>IF(AND($E$44,SchC_StatutoryEmp&lt;&gt;""),1,0)</formula>
    </cfRule>
  </conditionalFormatting>
  <conditionalFormatting sqref="Z52">
    <cfRule type="expression" dxfId="755" priority="6">
      <formula>IF(AND($E$44,SchC_StatutoryEmp&lt;&gt;""),1,0)</formula>
    </cfRule>
  </conditionalFormatting>
  <conditionalFormatting sqref="Z51">
    <cfRule type="expression" dxfId="754" priority="5">
      <formula>IF(AND($E$44,SchC_StatutoryEmp&lt;&gt;""),1,0)</formula>
    </cfRule>
  </conditionalFormatting>
  <conditionalFormatting sqref="Z83">
    <cfRule type="expression" dxfId="753" priority="4">
      <formula>IF(AND($V$44,SchC_StatutoryEmp&lt;&gt;""),1,0)</formula>
    </cfRule>
  </conditionalFormatting>
  <conditionalFormatting sqref="Z84">
    <cfRule type="expression" dxfId="752" priority="3">
      <formula>IF(AND($V$44,SchC_StatutoryEmp&lt;&gt;""),1,0)</formula>
    </cfRule>
  </conditionalFormatting>
  <conditionalFormatting sqref="Z85">
    <cfRule type="expression" dxfId="751" priority="2">
      <formula>IF(AND($V$44,SchC_StatutoryEmp&lt;&gt;""),1,0)</formula>
    </cfRule>
  </conditionalFormatting>
  <conditionalFormatting sqref="Z86">
    <cfRule type="expression" dxfId="750" priority="1">
      <formula>IF(AND($V$44,SchC_StatutoryEmp&lt;&gt;""),1,0)</formula>
    </cfRule>
  </conditionalFormatting>
  <hyperlinks>
    <hyperlink ref="F131:I131" r:id="rId1" display="Download Form 1040 Schedule SE"/>
    <hyperlink ref="F133:I133" r:id="rId2" display="Download Form 1040 Schedule SE Instructions"/>
  </hyperlinks>
  <printOptions horizontalCentered="1"/>
  <pageMargins left="0.51" right="0.46" top="0.3" bottom="0" header="0.42" footer="0.35"/>
  <pageSetup scale="84" fitToHeight="2" orientation="portrait" horizontalDpi="4294967292" r:id="rId3"/>
  <headerFooter alignWithMargins="0"/>
  <rowBreaks count="1" manualBreakCount="1">
    <brk id="69" min="1" max="23" man="1"/>
  </rowBreaks>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90"/>
  <sheetViews>
    <sheetView zoomScale="112" zoomScaleNormal="115" zoomScaleSheetLayoutView="130" workbookViewId="0">
      <pane ySplit="3" topLeftCell="A4" activePane="bottomLeft" state="frozen"/>
      <selection pane="bottomLeft" activeCell="P222" sqref="P222:Q222"/>
    </sheetView>
  </sheetViews>
  <sheetFormatPr defaultRowHeight="12.75"/>
  <cols>
    <col min="1" max="2" width="2.140625" customWidth="1"/>
    <col min="3" max="3" width="4.140625" customWidth="1"/>
    <col min="4" max="4" width="3.140625" customWidth="1"/>
    <col min="5" max="5" width="10.5703125" customWidth="1"/>
    <col min="6" max="6" width="5.28515625" customWidth="1"/>
    <col min="7" max="7" width="8" customWidth="1"/>
    <col min="8" max="8" width="3" customWidth="1"/>
    <col min="9" max="9" width="7.5703125" customWidth="1"/>
    <col min="10" max="10" width="4.140625" customWidth="1"/>
    <col min="11" max="11" width="4.7109375" customWidth="1"/>
    <col min="12" max="13" width="1.28515625" customWidth="1"/>
    <col min="14" max="14" width="4.28515625" customWidth="1"/>
    <col min="15" max="15" width="3.85546875" customWidth="1"/>
    <col min="16" max="16" width="4.42578125" customWidth="1"/>
    <col min="17" max="17" width="8.7109375" customWidth="1"/>
    <col min="18" max="18" width="4" customWidth="1"/>
    <col min="19" max="19" width="9.42578125" customWidth="1"/>
    <col min="20" max="20" width="3.140625" customWidth="1"/>
    <col min="21" max="21" width="9.140625" customWidth="1"/>
    <col min="22" max="22" width="3.42578125" customWidth="1"/>
    <col min="23" max="23" width="8.42578125" customWidth="1"/>
    <col min="24" max="24" width="5.140625" customWidth="1"/>
    <col min="25" max="25" width="2.85546875" style="4" customWidth="1"/>
    <col min="26" max="26" width="12.42578125" customWidth="1"/>
    <col min="27" max="27" width="4.140625" customWidth="1"/>
    <col min="28" max="28" width="3.5703125" customWidth="1"/>
    <col min="29" max="29" width="4.7109375" customWidth="1"/>
    <col min="30" max="30" width="2" customWidth="1"/>
    <col min="31" max="31" width="9.140625" customWidth="1"/>
    <col min="32" max="33" width="4.7109375" customWidth="1"/>
    <col min="34" max="34" width="20.5703125" customWidth="1"/>
    <col min="35" max="35" width="2.7109375" customWidth="1"/>
    <col min="36" max="36" width="10.7109375" customWidth="1"/>
    <col min="37" max="37" width="1.7109375" customWidth="1"/>
    <col min="38" max="38" width="10.7109375" customWidth="1"/>
    <col min="39" max="39" width="1.7109375" customWidth="1"/>
    <col min="40" max="40" width="10.7109375" customWidth="1"/>
    <col min="41" max="41" width="1.7109375" customWidth="1"/>
    <col min="42" max="42" width="10.7109375" customWidth="1"/>
    <col min="43" max="43" width="1.7109375" customWidth="1"/>
    <col min="44" max="44" width="3.42578125" customWidth="1"/>
    <col min="45" max="45" width="2.7109375" customWidth="1"/>
    <col min="46" max="46" width="9.85546875" customWidth="1"/>
    <col min="47" max="48" width="10.5703125" customWidth="1"/>
    <col min="49" max="54" width="10.5703125" hidden="1" customWidth="1"/>
    <col min="55" max="60" width="9.140625" hidden="1" customWidth="1"/>
    <col min="61" max="61" width="9.140625" customWidth="1"/>
  </cols>
  <sheetData>
    <row r="1" spans="1:50">
      <c r="A1" s="2117"/>
      <c r="B1" s="2117"/>
      <c r="C1" s="2117"/>
      <c r="D1" s="2117"/>
      <c r="E1" s="2117"/>
      <c r="F1" s="2117"/>
      <c r="G1" s="2117"/>
      <c r="H1" s="2117"/>
      <c r="I1" s="2117"/>
      <c r="J1" s="2117"/>
      <c r="K1" s="2117"/>
      <c r="L1" s="2117"/>
      <c r="M1" s="2117"/>
      <c r="N1" s="2117"/>
      <c r="O1" s="2117"/>
      <c r="P1" s="2117"/>
      <c r="Q1" s="2117"/>
      <c r="R1" s="2117"/>
      <c r="S1" s="2117"/>
      <c r="T1" s="2117"/>
      <c r="U1" s="2117"/>
      <c r="V1" s="2117"/>
      <c r="W1" s="2117"/>
      <c r="X1" s="2117"/>
      <c r="Y1" s="2400"/>
      <c r="Z1" s="2117"/>
    </row>
    <row r="2" spans="1:50">
      <c r="A2" s="2117"/>
      <c r="B2" s="2117"/>
      <c r="C2" s="4461" t="str">
        <f>IF(AND(U38="",U39=""),"Please complete Lines 2 and 3.",IF($V$42,"Line 4 is less than "&amp;TEXT(W42,"$0,000")&amp;", don't file Form 2210.",IF($U$47,"Line 7 is less than "&amp;TEXT(W42,"$0,000")&amp;", don't file Form 2210.",IF(NOT(AC78),"Complete information in Column AB &amp; AC for "&amp;TaxYear-1&amp;".",IF(AND(NOT($W$47),NOT($B$65)),"Line 9 is not more than Line 6 and Box E does not apply. You don't owe a penalty. Don't file Form 2210.",IF(AND(NOT($W$47),$B$65,NOT(B59),NOT(B61),NOT(B63)),"Box E applies. You must file page 1 of Form 2210, but you aren't required to figure your penalty.",IF(B59,"Box B applies.  You must figure your penalty and waiver amount and file Form 2210.",IF(B57,"Box A applies.  File only page 1 of Form 2210, but you aren't required to figure your penalty.",IF(B61,"Box C applies.  You must figure the penalty using Schedule AI and file Form 2210.",IF(B65,"Box E applies. You must file page 1 of Form 2210, but you aren't required to figure your penalty.",IF(NOT(B66),"You may owe a penalty but don't file Form 2210 unless one or more boxes in Part II apply.",IF($W$73,"You can use Part III, Short Method, to figure the penality.",IF(W80,"You must use Part IV, Regular Method, to figure the penalty.",":")))))))))))))</f>
        <v>Line 4 is less than $1,000, don't file Form 2210.</v>
      </c>
      <c r="D2" s="2117"/>
      <c r="E2" s="2117"/>
      <c r="F2" s="2117"/>
      <c r="G2" s="2117"/>
      <c r="H2" s="2117"/>
      <c r="I2" s="2117"/>
      <c r="J2" s="2117"/>
      <c r="K2" s="2117"/>
      <c r="L2" s="2117"/>
      <c r="M2" s="2117"/>
      <c r="N2" s="2117"/>
      <c r="O2" s="2117"/>
      <c r="P2" s="2117"/>
      <c r="Q2" s="2117"/>
      <c r="R2" s="2117"/>
      <c r="S2" s="2117"/>
      <c r="T2" s="2117"/>
      <c r="U2" s="2117"/>
      <c r="V2" s="2117"/>
      <c r="W2" s="2117"/>
      <c r="X2" s="2117"/>
      <c r="Y2" s="2400"/>
      <c r="Z2" s="2117"/>
    </row>
    <row r="3" spans="1:50" ht="9.75" customHeight="1">
      <c r="A3" s="2117"/>
      <c r="B3" s="2117"/>
      <c r="C3" s="2117"/>
      <c r="D3" s="2117"/>
      <c r="E3" s="2117"/>
      <c r="F3" s="2117"/>
      <c r="G3" s="2117"/>
      <c r="H3" s="2117"/>
      <c r="I3" s="2117"/>
      <c r="J3" s="2117"/>
      <c r="K3" s="2117"/>
      <c r="L3" s="2117"/>
      <c r="M3" s="2117"/>
      <c r="N3" s="2117"/>
      <c r="O3" s="2117"/>
      <c r="P3" s="2117"/>
      <c r="Q3" s="2117"/>
      <c r="R3" s="2117"/>
      <c r="S3" s="2117"/>
      <c r="T3" s="2117"/>
      <c r="U3" s="2117"/>
      <c r="V3" s="2117"/>
      <c r="W3" s="2117"/>
      <c r="X3" s="2117"/>
      <c r="Y3" s="2400"/>
      <c r="Z3" s="2117"/>
    </row>
    <row r="4" spans="1:50" ht="9.75" customHeight="1">
      <c r="A4" s="2117"/>
      <c r="B4" s="2117"/>
      <c r="C4" s="2117"/>
      <c r="D4" s="2117"/>
      <c r="E4" s="2117"/>
      <c r="F4" s="2117"/>
      <c r="G4" s="2117"/>
      <c r="H4" s="2117"/>
      <c r="I4" s="2117"/>
      <c r="J4" s="2117"/>
      <c r="K4" s="2117"/>
      <c r="L4" s="2117"/>
      <c r="M4" s="2117"/>
      <c r="N4" s="2117"/>
      <c r="O4" s="2117"/>
      <c r="P4" s="2117"/>
      <c r="Q4" s="2117"/>
      <c r="R4" s="2117"/>
      <c r="S4" s="2117"/>
      <c r="T4" s="2117"/>
      <c r="U4" s="2117"/>
      <c r="V4" s="2117"/>
      <c r="W4" s="2117"/>
      <c r="X4" s="2117"/>
      <c r="Y4" s="2400"/>
      <c r="Z4" s="2117"/>
    </row>
    <row r="5" spans="1:50" ht="9" customHeight="1">
      <c r="A5" s="857"/>
      <c r="B5" s="857"/>
      <c r="C5" s="857"/>
      <c r="D5" s="857"/>
      <c r="E5" s="857"/>
      <c r="F5" s="857"/>
      <c r="G5" s="857"/>
      <c r="H5" s="857"/>
      <c r="I5" s="857"/>
      <c r="J5" s="857"/>
      <c r="K5" s="857"/>
      <c r="L5" s="857"/>
      <c r="M5" s="857"/>
      <c r="N5" s="857"/>
      <c r="O5" s="857"/>
      <c r="P5" s="857"/>
      <c r="Q5" s="857"/>
      <c r="R5" s="857"/>
      <c r="S5" s="857"/>
      <c r="T5" s="857"/>
      <c r="U5" s="857"/>
      <c r="V5" s="857"/>
      <c r="W5" s="857"/>
      <c r="X5" s="857"/>
      <c r="Y5" s="2400"/>
      <c r="Z5" s="614"/>
    </row>
    <row r="6" spans="1:50" ht="21.75" customHeight="1">
      <c r="A6" s="857"/>
      <c r="B6" s="419"/>
      <c r="C6" s="419"/>
      <c r="D6" s="419"/>
      <c r="E6" s="5801">
        <v>2210</v>
      </c>
      <c r="F6" s="5802"/>
      <c r="G6" s="5824" t="s">
        <v>3431</v>
      </c>
      <c r="H6" s="5825"/>
      <c r="I6" s="5825"/>
      <c r="J6" s="5825"/>
      <c r="K6" s="5825"/>
      <c r="L6" s="5825"/>
      <c r="M6" s="5825"/>
      <c r="N6" s="5825"/>
      <c r="O6" s="5825"/>
      <c r="P6" s="5825"/>
      <c r="Q6" s="5825"/>
      <c r="R6" s="5825"/>
      <c r="S6" s="5826"/>
      <c r="T6" s="5617" t="s">
        <v>249</v>
      </c>
      <c r="U6" s="5618"/>
      <c r="V6" s="5618"/>
      <c r="W6" s="5618"/>
      <c r="X6" s="112"/>
      <c r="Y6" s="2400"/>
      <c r="Z6" s="614"/>
    </row>
    <row r="7" spans="1:50" ht="27.75" customHeight="1">
      <c r="A7" s="857"/>
      <c r="B7" s="466"/>
      <c r="C7" s="5818" t="s">
        <v>469</v>
      </c>
      <c r="D7" s="5819"/>
      <c r="E7" s="5803"/>
      <c r="F7" s="5802"/>
      <c r="G7" s="5824"/>
      <c r="H7" s="5825"/>
      <c r="I7" s="5825"/>
      <c r="J7" s="5825"/>
      <c r="K7" s="5825"/>
      <c r="L7" s="5825"/>
      <c r="M7" s="5825"/>
      <c r="N7" s="5825"/>
      <c r="O7" s="5825"/>
      <c r="P7" s="5825"/>
      <c r="Q7" s="5825"/>
      <c r="R7" s="5825"/>
      <c r="S7" s="5826"/>
      <c r="T7" s="5624">
        <f>TaxYear</f>
        <v>2016</v>
      </c>
      <c r="U7" s="5140"/>
      <c r="V7" s="5140"/>
      <c r="W7" s="5140"/>
      <c r="X7" s="112"/>
      <c r="Y7" s="2400"/>
      <c r="Z7" s="614"/>
    </row>
    <row r="8" spans="1:50" ht="13.5" customHeight="1">
      <c r="A8" s="857"/>
      <c r="B8" s="49"/>
      <c r="C8" s="49" t="s">
        <v>293</v>
      </c>
      <c r="D8" s="49"/>
      <c r="E8" s="49"/>
      <c r="F8" s="135"/>
      <c r="G8" s="5681" t="s">
        <v>3467</v>
      </c>
      <c r="H8" s="5827"/>
      <c r="I8" s="5827"/>
      <c r="J8" s="5827"/>
      <c r="K8" s="5827"/>
      <c r="L8" s="5827"/>
      <c r="M8" s="5827"/>
      <c r="N8" s="5827"/>
      <c r="O8" s="5827"/>
      <c r="P8" s="5827"/>
      <c r="Q8" s="5827"/>
      <c r="R8" s="5827"/>
      <c r="S8" s="5827"/>
      <c r="T8" s="5838" t="s">
        <v>294</v>
      </c>
      <c r="U8" s="4714"/>
      <c r="V8" s="4714"/>
      <c r="W8" s="4714"/>
      <c r="X8" s="112"/>
      <c r="Y8" s="2400"/>
      <c r="Z8" s="614"/>
    </row>
    <row r="9" spans="1:50" ht="12.75" customHeight="1" thickBot="1">
      <c r="A9" s="857"/>
      <c r="B9" s="591"/>
      <c r="C9" s="5841" t="str">
        <f>"Internal Revenue Service"</f>
        <v>Internal Revenue Service</v>
      </c>
      <c r="D9" s="5840"/>
      <c r="E9" s="5840"/>
      <c r="F9" s="5842"/>
      <c r="G9" s="5677" t="s">
        <v>3432</v>
      </c>
      <c r="H9" s="5828"/>
      <c r="I9" s="5828"/>
      <c r="J9" s="5828"/>
      <c r="K9" s="5828"/>
      <c r="L9" s="5828"/>
      <c r="M9" s="5828"/>
      <c r="N9" s="5828"/>
      <c r="O9" s="5828"/>
      <c r="P9" s="5828"/>
      <c r="Q9" s="5828"/>
      <c r="R9" s="5828"/>
      <c r="S9" s="5828"/>
      <c r="T9" s="5839" t="s">
        <v>3466</v>
      </c>
      <c r="U9" s="5840"/>
      <c r="V9" s="5840"/>
      <c r="W9" s="5840"/>
      <c r="X9" s="112"/>
      <c r="Y9" s="2400"/>
      <c r="Z9" s="614"/>
    </row>
    <row r="10" spans="1:50" ht="12" customHeight="1">
      <c r="A10" s="857"/>
      <c r="B10" s="643" t="s">
        <v>3433</v>
      </c>
      <c r="C10" s="643"/>
      <c r="D10" s="643"/>
      <c r="E10" s="643"/>
      <c r="F10" s="4217"/>
      <c r="G10" s="4217"/>
      <c r="H10" s="4217"/>
      <c r="I10" s="4217"/>
      <c r="J10" s="4217"/>
      <c r="K10" s="4217"/>
      <c r="L10" s="403"/>
      <c r="M10" s="403"/>
      <c r="N10" s="403"/>
      <c r="O10" s="403"/>
      <c r="P10" s="403"/>
      <c r="Q10" s="403"/>
      <c r="R10" s="403"/>
      <c r="S10" s="5829" t="s">
        <v>3434</v>
      </c>
      <c r="T10" s="5830"/>
      <c r="U10" s="5830"/>
      <c r="V10" s="5830"/>
      <c r="W10" s="5830"/>
      <c r="X10" s="961"/>
      <c r="Y10" s="4438"/>
      <c r="Z10" s="624"/>
    </row>
    <row r="11" spans="1:50" ht="18" customHeight="1">
      <c r="A11" s="857"/>
      <c r="B11" s="5702" t="str">
        <f>Names</f>
        <v/>
      </c>
      <c r="C11" s="4962"/>
      <c r="D11" s="4962"/>
      <c r="E11" s="4962"/>
      <c r="F11" s="4962"/>
      <c r="G11" s="4962"/>
      <c r="H11" s="4962"/>
      <c r="I11" s="4962"/>
      <c r="J11" s="4962"/>
      <c r="K11" s="4962"/>
      <c r="L11" s="4962"/>
      <c r="M11" s="4962"/>
      <c r="N11" s="4962"/>
      <c r="O11" s="4962"/>
      <c r="P11" s="4962"/>
      <c r="Q11" s="4962"/>
      <c r="R11" s="4962"/>
      <c r="S11" s="5621">
        <f>SS_Yours</f>
        <v>0</v>
      </c>
      <c r="T11" s="5622"/>
      <c r="U11" s="5622"/>
      <c r="V11" s="5622"/>
      <c r="W11" s="5622"/>
      <c r="X11" s="112"/>
      <c r="Y11" s="2400"/>
      <c r="Z11" s="614"/>
    </row>
    <row r="12" spans="1:50" ht="19.5" customHeight="1">
      <c r="A12" s="857"/>
      <c r="B12" s="5831" t="s">
        <v>3435</v>
      </c>
      <c r="C12" s="5831"/>
      <c r="D12" s="5831"/>
      <c r="E12" s="5831"/>
      <c r="F12" s="5831"/>
      <c r="G12" s="5831"/>
      <c r="H12" s="5831"/>
      <c r="I12" s="5831"/>
      <c r="J12" s="5831"/>
      <c r="K12" s="5831"/>
      <c r="L12" s="5831"/>
      <c r="M12" s="5831"/>
      <c r="N12" s="5831"/>
      <c r="O12" s="5831"/>
      <c r="P12" s="5831"/>
      <c r="Q12" s="5831"/>
      <c r="R12" s="5831"/>
      <c r="S12" s="5831"/>
      <c r="T12" s="5831"/>
      <c r="U12" s="5831"/>
      <c r="V12" s="5831"/>
      <c r="W12" s="5831"/>
      <c r="X12" s="112"/>
      <c r="Y12" s="2400"/>
      <c r="Z12" s="614"/>
    </row>
    <row r="13" spans="1:50" s="854" customFormat="1" ht="10.5" customHeight="1">
      <c r="A13" s="946"/>
      <c r="B13" s="4210"/>
      <c r="C13" s="1201"/>
      <c r="D13" s="1201"/>
      <c r="E13" s="1201"/>
      <c r="F13" s="579"/>
      <c r="G13" s="579"/>
      <c r="H13" s="579"/>
      <c r="I13" s="579"/>
      <c r="J13" s="579"/>
      <c r="K13" s="579"/>
      <c r="L13" s="4206"/>
      <c r="M13" s="4206"/>
      <c r="N13" s="4206"/>
      <c r="O13" s="579"/>
      <c r="P13" s="579"/>
      <c r="Q13" s="579"/>
      <c r="R13" s="579"/>
      <c r="S13" s="579"/>
      <c r="T13" s="579"/>
      <c r="U13" s="579"/>
      <c r="V13" s="579"/>
      <c r="W13" s="579"/>
      <c r="X13" s="965"/>
      <c r="Y13" s="4439"/>
      <c r="Z13" s="786"/>
      <c r="AA13" s="4392"/>
      <c r="AB13"/>
      <c r="AC13"/>
      <c r="AD13"/>
      <c r="AG13" s="4458"/>
      <c r="AH13" s="4458"/>
      <c r="AJ13" s="4417"/>
      <c r="AU13" s="4392"/>
      <c r="AV13" s="4392"/>
      <c r="AW13" s="4392"/>
      <c r="AX13" s="4392"/>
    </row>
    <row r="14" spans="1:50" ht="12" customHeight="1">
      <c r="A14" s="857"/>
      <c r="B14" s="4230"/>
      <c r="C14" s="5820" t="str">
        <f>"Complete lines 1 through 7 below. Is line 7 less than "&amp;TEXT($W$42,"$0,000")&amp;"?"</f>
        <v>Complete lines 1 through 7 below. Is line 7 less than $1,000?</v>
      </c>
      <c r="D14" s="5821"/>
      <c r="E14" s="5821"/>
      <c r="F14" s="5821"/>
      <c r="G14" s="5821"/>
      <c r="H14" s="5821"/>
      <c r="I14" s="5821"/>
      <c r="J14" s="5821"/>
      <c r="K14" s="5822"/>
      <c r="L14" s="5843" t="s">
        <v>436</v>
      </c>
      <c r="M14" s="4862"/>
      <c r="N14" s="5844"/>
      <c r="O14" s="5832" t="s">
        <v>3470</v>
      </c>
      <c r="P14" s="5833"/>
      <c r="Q14" s="5833"/>
      <c r="R14" s="5833"/>
      <c r="S14" s="5833"/>
      <c r="T14" s="5833"/>
      <c r="U14" s="5833"/>
      <c r="V14" s="5834"/>
      <c r="W14" s="601"/>
      <c r="X14" s="962"/>
      <c r="Y14" s="4440"/>
      <c r="Z14" s="625"/>
    </row>
    <row r="15" spans="1:50" ht="12" customHeight="1">
      <c r="A15" s="857"/>
      <c r="B15" s="4222"/>
      <c r="C15" s="5823"/>
      <c r="D15" s="4864"/>
      <c r="E15" s="4864"/>
      <c r="F15" s="4864"/>
      <c r="G15" s="4864"/>
      <c r="H15" s="4864"/>
      <c r="I15" s="4864"/>
      <c r="J15" s="4864"/>
      <c r="K15" s="4865"/>
      <c r="L15" s="368"/>
      <c r="M15" s="368"/>
      <c r="N15" s="368"/>
      <c r="O15" s="5835"/>
      <c r="P15" s="5836"/>
      <c r="Q15" s="5836"/>
      <c r="R15" s="5836"/>
      <c r="S15" s="5836"/>
      <c r="T15" s="5836"/>
      <c r="U15" s="5836"/>
      <c r="V15" s="5837"/>
      <c r="W15" s="368"/>
      <c r="X15" s="962"/>
      <c r="Y15" s="4440"/>
      <c r="Z15" s="614"/>
      <c r="AE15" s="854"/>
    </row>
    <row r="16" spans="1:50" ht="6.75" customHeight="1">
      <c r="A16" s="857"/>
      <c r="B16" s="35"/>
      <c r="C16" s="35"/>
      <c r="D16" s="35"/>
      <c r="E16" s="35"/>
      <c r="F16" s="5883" t="s">
        <v>437</v>
      </c>
      <c r="G16" s="35"/>
      <c r="H16" s="35"/>
      <c r="I16" s="35"/>
      <c r="J16" s="35"/>
      <c r="K16" s="35"/>
      <c r="L16" s="44"/>
      <c r="M16" s="44"/>
      <c r="N16" s="44"/>
      <c r="O16" s="35"/>
      <c r="P16" s="35"/>
      <c r="Q16" s="35"/>
      <c r="R16" s="35"/>
      <c r="S16" s="44"/>
      <c r="T16" s="35"/>
      <c r="U16" s="35"/>
      <c r="V16" s="44"/>
      <c r="W16" s="44"/>
      <c r="X16" s="112"/>
      <c r="Y16" s="2400"/>
      <c r="Z16" s="614"/>
    </row>
    <row r="17" spans="1:41">
      <c r="A17" s="857"/>
      <c r="B17" s="35"/>
      <c r="C17" s="35"/>
      <c r="D17" s="35"/>
      <c r="E17" s="35"/>
      <c r="F17" s="5884"/>
      <c r="G17" s="35"/>
      <c r="H17" s="35"/>
      <c r="I17" s="35"/>
      <c r="J17" s="35"/>
      <c r="K17" s="35"/>
      <c r="L17" s="44"/>
      <c r="M17" s="44"/>
      <c r="N17" s="44"/>
      <c r="O17" s="35"/>
      <c r="P17" s="35"/>
      <c r="Q17" s="35"/>
      <c r="R17" s="35"/>
      <c r="S17" s="44"/>
      <c r="T17" s="35"/>
      <c r="U17" s="35"/>
      <c r="V17" s="44"/>
      <c r="W17" s="44"/>
      <c r="X17" s="112"/>
      <c r="Y17" s="2400"/>
      <c r="Z17" s="614"/>
      <c r="AE17" s="854"/>
    </row>
    <row r="18" spans="1:41" ht="6" customHeight="1">
      <c r="A18" s="857"/>
      <c r="B18" s="2570"/>
      <c r="C18" s="5886" t="s">
        <v>3436</v>
      </c>
      <c r="D18" s="5887"/>
      <c r="E18" s="5887"/>
      <c r="F18" s="5887"/>
      <c r="G18" s="5887"/>
      <c r="H18" s="5887"/>
      <c r="I18" s="5887"/>
      <c r="J18" s="5887"/>
      <c r="K18" s="5888"/>
      <c r="L18" s="44"/>
      <c r="M18" s="44"/>
      <c r="N18" s="44"/>
      <c r="O18" s="5905" t="s">
        <v>3469</v>
      </c>
      <c r="P18" s="5906"/>
      <c r="Q18" s="5906"/>
      <c r="R18" s="5906"/>
      <c r="S18" s="5906"/>
      <c r="T18" s="5906"/>
      <c r="U18" s="5906"/>
      <c r="V18" s="5907"/>
      <c r="W18" s="44"/>
      <c r="X18" s="112"/>
      <c r="Y18" s="2400"/>
      <c r="Z18" s="614"/>
    </row>
    <row r="19" spans="1:41" ht="12" customHeight="1">
      <c r="A19" s="857"/>
      <c r="B19" s="582"/>
      <c r="C19" s="5889"/>
      <c r="D19" s="5890"/>
      <c r="E19" s="5890"/>
      <c r="F19" s="5890"/>
      <c r="G19" s="5890"/>
      <c r="H19" s="5890"/>
      <c r="I19" s="5890"/>
      <c r="J19" s="5890"/>
      <c r="K19" s="5891"/>
      <c r="L19" s="5843" t="s">
        <v>436</v>
      </c>
      <c r="M19" s="4862"/>
      <c r="N19" s="5844"/>
      <c r="O19" s="5908"/>
      <c r="P19" s="5909"/>
      <c r="Q19" s="5909"/>
      <c r="R19" s="5909"/>
      <c r="S19" s="5909"/>
      <c r="T19" s="5909"/>
      <c r="U19" s="5909"/>
      <c r="V19" s="5910"/>
      <c r="W19" s="44"/>
      <c r="X19" s="112"/>
      <c r="Y19" s="2400"/>
      <c r="Z19" s="614"/>
      <c r="AE19" s="854"/>
    </row>
    <row r="20" spans="1:41" ht="12" customHeight="1">
      <c r="A20" s="857"/>
      <c r="B20" s="582"/>
      <c r="C20" s="5889"/>
      <c r="D20" s="5890"/>
      <c r="E20" s="5890"/>
      <c r="F20" s="5890"/>
      <c r="G20" s="5890"/>
      <c r="H20" s="5890"/>
      <c r="I20" s="5890"/>
      <c r="J20" s="5890"/>
      <c r="K20" s="5891"/>
      <c r="L20" s="44"/>
      <c r="M20" s="44"/>
      <c r="N20" s="44"/>
      <c r="O20" s="5908"/>
      <c r="P20" s="5909"/>
      <c r="Q20" s="5909"/>
      <c r="R20" s="5909"/>
      <c r="S20" s="5909"/>
      <c r="T20" s="5909"/>
      <c r="U20" s="5909"/>
      <c r="V20" s="5910"/>
      <c r="W20" s="44"/>
      <c r="X20" s="112"/>
      <c r="Y20" s="2400"/>
      <c r="Z20" s="614"/>
    </row>
    <row r="21" spans="1:41" ht="7.5" customHeight="1">
      <c r="A21" s="857"/>
      <c r="B21" s="582"/>
      <c r="C21" s="5892"/>
      <c r="D21" s="5893"/>
      <c r="E21" s="5893"/>
      <c r="F21" s="5893"/>
      <c r="G21" s="5893"/>
      <c r="H21" s="5893"/>
      <c r="I21" s="5893"/>
      <c r="J21" s="5893"/>
      <c r="K21" s="5894"/>
      <c r="L21" s="44"/>
      <c r="M21" s="44"/>
      <c r="N21" s="44"/>
      <c r="O21" s="5911"/>
      <c r="P21" s="5912"/>
      <c r="Q21" s="5912"/>
      <c r="R21" s="5912"/>
      <c r="S21" s="5912"/>
      <c r="T21" s="5912"/>
      <c r="U21" s="5912"/>
      <c r="V21" s="5913"/>
      <c r="W21" s="44"/>
      <c r="X21" s="112"/>
      <c r="Y21" s="2400"/>
      <c r="Z21" s="614"/>
      <c r="AE21" s="854"/>
    </row>
    <row r="22" spans="1:41" ht="6.75" customHeight="1">
      <c r="A22" s="857"/>
      <c r="B22" s="35"/>
      <c r="C22" s="35"/>
      <c r="D22" s="35"/>
      <c r="E22" s="35"/>
      <c r="F22" s="5883" t="s">
        <v>437</v>
      </c>
      <c r="G22" s="35"/>
      <c r="H22" s="35"/>
      <c r="I22" s="35"/>
      <c r="J22" s="35"/>
      <c r="K22" s="35"/>
      <c r="L22" s="44"/>
      <c r="M22" s="44"/>
      <c r="N22" s="44"/>
      <c r="O22" s="35"/>
      <c r="P22" s="35"/>
      <c r="Q22" s="35"/>
      <c r="R22" s="35"/>
      <c r="S22" s="44"/>
      <c r="T22" s="35"/>
      <c r="U22" s="35"/>
      <c r="V22" s="44"/>
      <c r="W22" s="44"/>
      <c r="X22" s="112"/>
      <c r="Y22" s="2400"/>
      <c r="Z22" s="614"/>
    </row>
    <row r="23" spans="1:41">
      <c r="A23" s="857"/>
      <c r="B23" s="35"/>
      <c r="C23" s="35"/>
      <c r="D23" s="35"/>
      <c r="E23" s="1496">
        <v>108.28</v>
      </c>
      <c r="F23" s="5884"/>
      <c r="G23" s="35"/>
      <c r="H23" s="35"/>
      <c r="I23" s="35"/>
      <c r="J23" s="35"/>
      <c r="K23" s="35"/>
      <c r="L23" s="44"/>
      <c r="M23" s="44"/>
      <c r="N23" s="44"/>
      <c r="O23" s="35"/>
      <c r="P23" s="35"/>
      <c r="Q23" s="35"/>
      <c r="R23" s="35"/>
      <c r="S23" s="44"/>
      <c r="T23" s="859"/>
      <c r="U23" s="35"/>
      <c r="V23" s="44"/>
      <c r="W23" s="44"/>
      <c r="X23" s="112"/>
      <c r="Y23" s="2400"/>
      <c r="Z23" s="614"/>
      <c r="AE23" s="854"/>
    </row>
    <row r="24" spans="1:41" ht="6" customHeight="1">
      <c r="A24" s="857"/>
      <c r="B24" s="2570"/>
      <c r="C24" s="5895" t="s">
        <v>3437</v>
      </c>
      <c r="D24" s="5896"/>
      <c r="E24" s="5896"/>
      <c r="F24" s="5896"/>
      <c r="G24" s="5896"/>
      <c r="H24" s="5896"/>
      <c r="I24" s="5896"/>
      <c r="J24" s="5896"/>
      <c r="K24" s="5897"/>
      <c r="L24" s="5901" t="s">
        <v>436</v>
      </c>
      <c r="M24" s="5902"/>
      <c r="N24" s="5903"/>
      <c r="O24" s="5905" t="s">
        <v>3468</v>
      </c>
      <c r="P24" s="5906"/>
      <c r="Q24" s="5906"/>
      <c r="R24" s="5906"/>
      <c r="S24" s="5906"/>
      <c r="T24" s="5906"/>
      <c r="U24" s="5906"/>
      <c r="V24" s="5907"/>
      <c r="W24" s="44"/>
      <c r="X24" s="112"/>
      <c r="Y24" s="2400"/>
      <c r="Z24" s="614"/>
    </row>
    <row r="25" spans="1:41" ht="14.25" customHeight="1">
      <c r="A25" s="857"/>
      <c r="B25" s="582"/>
      <c r="C25" s="5898"/>
      <c r="D25" s="5899"/>
      <c r="E25" s="5899"/>
      <c r="F25" s="5899"/>
      <c r="G25" s="5899"/>
      <c r="H25" s="5899"/>
      <c r="I25" s="5899"/>
      <c r="J25" s="5899"/>
      <c r="K25" s="5900"/>
      <c r="L25" s="5904"/>
      <c r="M25" s="5902"/>
      <c r="N25" s="5903"/>
      <c r="O25" s="5908"/>
      <c r="P25" s="5909"/>
      <c r="Q25" s="5909"/>
      <c r="R25" s="5909"/>
      <c r="S25" s="5909"/>
      <c r="T25" s="5909"/>
      <c r="U25" s="5909"/>
      <c r="V25" s="5910"/>
      <c r="W25" s="601"/>
      <c r="X25" s="112"/>
      <c r="Y25" s="2400"/>
      <c r="Z25" s="614"/>
      <c r="AE25" s="854"/>
    </row>
    <row r="26" spans="1:41" ht="6.75" customHeight="1">
      <c r="A26" s="857"/>
      <c r="B26" s="582"/>
      <c r="C26" s="5695"/>
      <c r="D26" s="5696"/>
      <c r="E26" s="5696"/>
      <c r="F26" s="5696"/>
      <c r="G26" s="5696"/>
      <c r="H26" s="5696"/>
      <c r="I26" s="5696"/>
      <c r="J26" s="5696"/>
      <c r="K26" s="5697"/>
      <c r="L26" s="44"/>
      <c r="M26" s="44"/>
      <c r="N26" s="44"/>
      <c r="O26" s="5911"/>
      <c r="P26" s="5912"/>
      <c r="Q26" s="5912"/>
      <c r="R26" s="5912"/>
      <c r="S26" s="5912"/>
      <c r="T26" s="5912"/>
      <c r="U26" s="5912"/>
      <c r="V26" s="5913"/>
      <c r="W26" s="44"/>
      <c r="X26" s="112"/>
      <c r="Y26" s="2400"/>
      <c r="Z26" s="614"/>
    </row>
    <row r="27" spans="1:41" ht="6.75" customHeight="1">
      <c r="A27" s="857"/>
      <c r="B27" s="35"/>
      <c r="C27" s="35"/>
      <c r="D27" s="35"/>
      <c r="E27" s="35"/>
      <c r="F27" s="5883" t="s">
        <v>437</v>
      </c>
      <c r="G27" s="35"/>
      <c r="H27" s="35"/>
      <c r="I27" s="35"/>
      <c r="J27" s="35"/>
      <c r="K27" s="35"/>
      <c r="L27" s="44"/>
      <c r="M27" s="44"/>
      <c r="N27" s="44"/>
      <c r="O27" s="35"/>
      <c r="P27" s="5917" t="s">
        <v>437</v>
      </c>
      <c r="Q27" s="5919"/>
      <c r="R27" s="5921" t="s">
        <v>436</v>
      </c>
      <c r="S27" s="35"/>
      <c r="T27" s="35"/>
      <c r="U27" s="35"/>
      <c r="V27" s="44"/>
      <c r="W27" s="44"/>
      <c r="X27" s="112"/>
      <c r="Y27" s="2400"/>
      <c r="Z27" s="614"/>
      <c r="AE27" s="854"/>
    </row>
    <row r="28" spans="1:41" ht="16.5" customHeight="1">
      <c r="A28" s="857"/>
      <c r="B28" s="35"/>
      <c r="C28" s="35"/>
      <c r="D28" s="35"/>
      <c r="E28" s="35"/>
      <c r="F28" s="5885"/>
      <c r="G28" s="35"/>
      <c r="H28" s="35"/>
      <c r="I28" s="35"/>
      <c r="J28" s="35"/>
      <c r="K28" s="35"/>
      <c r="L28" s="44"/>
      <c r="M28" s="44"/>
      <c r="N28" s="44"/>
      <c r="O28" s="35"/>
      <c r="P28" s="5918"/>
      <c r="Q28" s="5920"/>
      <c r="R28" s="5922"/>
      <c r="S28" s="5914" t="s">
        <v>3438</v>
      </c>
      <c r="T28" s="5915"/>
      <c r="U28" s="5915"/>
      <c r="V28" s="5916"/>
      <c r="W28" s="44"/>
      <c r="X28" s="112"/>
      <c r="Y28" s="2400"/>
      <c r="Z28" s="614"/>
    </row>
    <row r="29" spans="1:41" ht="6.75" customHeight="1">
      <c r="A29" s="857"/>
      <c r="B29" s="35"/>
      <c r="C29" s="35"/>
      <c r="D29" s="35"/>
      <c r="E29" s="35"/>
      <c r="F29" s="5884"/>
      <c r="G29" s="35"/>
      <c r="H29" s="35"/>
      <c r="I29" s="35"/>
      <c r="J29" s="35"/>
      <c r="K29" s="35"/>
      <c r="L29" s="44"/>
      <c r="M29" s="44"/>
      <c r="N29" s="44"/>
      <c r="O29" s="711"/>
      <c r="P29" s="35"/>
      <c r="Q29" s="35"/>
      <c r="R29" s="35"/>
      <c r="S29" s="35"/>
      <c r="T29" s="35"/>
      <c r="U29" s="35"/>
      <c r="V29" s="44"/>
      <c r="W29" s="44"/>
      <c r="X29" s="112"/>
      <c r="Y29" s="2400"/>
      <c r="Z29" s="614"/>
      <c r="AE29" s="854"/>
    </row>
    <row r="30" spans="1:41" ht="21.75" customHeight="1">
      <c r="A30" s="857"/>
      <c r="B30" s="2570"/>
      <c r="C30" s="5886" t="s">
        <v>3464</v>
      </c>
      <c r="D30" s="5887"/>
      <c r="E30" s="5887"/>
      <c r="F30" s="5887"/>
      <c r="G30" s="5887"/>
      <c r="H30" s="5887"/>
      <c r="I30" s="5887"/>
      <c r="J30" s="5887"/>
      <c r="K30" s="5888"/>
      <c r="L30" s="44"/>
      <c r="M30" s="44"/>
      <c r="N30" s="5905" t="s">
        <v>3465</v>
      </c>
      <c r="O30" s="5906"/>
      <c r="P30" s="5906"/>
      <c r="Q30" s="5906"/>
      <c r="R30" s="5906"/>
      <c r="S30" s="5906"/>
      <c r="T30" s="5906"/>
      <c r="U30" s="5906"/>
      <c r="V30" s="5907"/>
      <c r="W30" s="44"/>
      <c r="X30" s="112"/>
      <c r="Y30" s="2400"/>
      <c r="Z30" s="614"/>
      <c r="AA30" s="2070"/>
      <c r="AB30" s="2070"/>
      <c r="AC30" s="2070"/>
      <c r="AD30" s="2070"/>
      <c r="AE30" s="2070"/>
      <c r="AF30" s="2070"/>
      <c r="AG30" s="5955" t="s">
        <v>3601</v>
      </c>
      <c r="AH30" s="5956"/>
      <c r="AI30" s="5956"/>
      <c r="AJ30" s="5956"/>
      <c r="AK30" s="5956"/>
      <c r="AL30" s="5956"/>
      <c r="AM30" s="5956"/>
      <c r="AN30" s="5956"/>
      <c r="AO30" s="5957"/>
    </row>
    <row r="31" spans="1:41" ht="21.75" customHeight="1">
      <c r="A31" s="857"/>
      <c r="B31" s="582"/>
      <c r="C31" s="5889"/>
      <c r="D31" s="5923"/>
      <c r="E31" s="5923"/>
      <c r="F31" s="5923"/>
      <c r="G31" s="5923"/>
      <c r="H31" s="5923"/>
      <c r="I31" s="5923"/>
      <c r="J31" s="5923"/>
      <c r="K31" s="5891"/>
      <c r="L31" s="44"/>
      <c r="M31" s="44"/>
      <c r="N31" s="5908"/>
      <c r="O31" s="5909"/>
      <c r="P31" s="5909"/>
      <c r="Q31" s="5909"/>
      <c r="R31" s="5909"/>
      <c r="S31" s="5909"/>
      <c r="T31" s="5909"/>
      <c r="U31" s="5909"/>
      <c r="V31" s="5910"/>
      <c r="W31" s="44"/>
      <c r="X31" s="112"/>
      <c r="Y31" s="2400"/>
      <c r="Z31" s="614"/>
      <c r="AA31" s="2070"/>
      <c r="AB31" s="2070"/>
      <c r="AC31" s="5995">
        <v>2015</v>
      </c>
      <c r="AD31" s="4714"/>
      <c r="AE31" s="5242"/>
      <c r="AF31" s="3032"/>
      <c r="AG31" s="5939" t="s">
        <v>3747</v>
      </c>
      <c r="AH31" s="5940"/>
      <c r="AI31" s="5940"/>
      <c r="AJ31" s="5940"/>
      <c r="AK31" s="5940"/>
      <c r="AL31" s="5940"/>
      <c r="AM31" s="5940"/>
      <c r="AN31" s="5228"/>
      <c r="AO31" s="5229"/>
    </row>
    <row r="32" spans="1:41" ht="21.75" customHeight="1" thickBot="1">
      <c r="A32" s="857"/>
      <c r="B32" s="582"/>
      <c r="C32" s="5889"/>
      <c r="D32" s="5923"/>
      <c r="E32" s="5923"/>
      <c r="F32" s="5923"/>
      <c r="G32" s="5923"/>
      <c r="H32" s="5923"/>
      <c r="I32" s="5923"/>
      <c r="J32" s="5923"/>
      <c r="K32" s="5891"/>
      <c r="L32" s="44"/>
      <c r="M32" s="44"/>
      <c r="N32" s="5908"/>
      <c r="O32" s="5909"/>
      <c r="P32" s="5909"/>
      <c r="Q32" s="5909"/>
      <c r="R32" s="5909"/>
      <c r="S32" s="5909"/>
      <c r="T32" s="5909"/>
      <c r="U32" s="5909"/>
      <c r="V32" s="5910"/>
      <c r="W32" s="44"/>
      <c r="X32" s="112"/>
      <c r="Y32" s="2400"/>
      <c r="Z32" s="614"/>
      <c r="AA32" s="2070"/>
      <c r="AB32" s="2070"/>
      <c r="AC32" s="5995" t="str">
        <f>" Taxes Paid"</f>
        <v xml:space="preserve"> Taxes Paid</v>
      </c>
      <c r="AD32" s="4714"/>
      <c r="AE32" s="5242"/>
      <c r="AF32" s="3032"/>
      <c r="AG32" s="4878"/>
      <c r="AH32" s="5941"/>
      <c r="AI32" s="5941"/>
      <c r="AJ32" s="5941"/>
      <c r="AK32" s="5941"/>
      <c r="AL32" s="5941"/>
      <c r="AM32" s="5941"/>
      <c r="AN32" s="5115"/>
      <c r="AO32" s="5116"/>
    </row>
    <row r="33" spans="1:41" ht="21.75" customHeight="1" thickBot="1">
      <c r="A33" s="857"/>
      <c r="B33" s="582"/>
      <c r="C33" s="5892"/>
      <c r="D33" s="5893"/>
      <c r="E33" s="5893"/>
      <c r="F33" s="5893"/>
      <c r="G33" s="5893"/>
      <c r="H33" s="5893"/>
      <c r="I33" s="5893"/>
      <c r="J33" s="5893"/>
      <c r="K33" s="5894"/>
      <c r="L33" s="44"/>
      <c r="M33" s="44"/>
      <c r="N33" s="5911"/>
      <c r="O33" s="5912"/>
      <c r="P33" s="5912"/>
      <c r="Q33" s="5912"/>
      <c r="R33" s="5912"/>
      <c r="S33" s="5912"/>
      <c r="T33" s="5912"/>
      <c r="U33" s="5912"/>
      <c r="V33" s="5913"/>
      <c r="W33" s="44"/>
      <c r="X33" s="112"/>
      <c r="Y33" s="2400"/>
      <c r="Z33" s="614"/>
      <c r="AA33" s="2070"/>
      <c r="AB33" s="4455" t="s">
        <v>3719</v>
      </c>
      <c r="AC33" s="5996"/>
      <c r="AD33" s="5997"/>
      <c r="AE33" s="5998"/>
      <c r="AF33" s="3032"/>
      <c r="AG33" s="5942" t="s">
        <v>3717</v>
      </c>
      <c r="AH33" s="5943"/>
      <c r="AI33" s="5943"/>
      <c r="AJ33" s="5943"/>
      <c r="AK33" s="5943"/>
      <c r="AL33" s="5943"/>
      <c r="AM33" s="5943"/>
      <c r="AN33" s="5944"/>
      <c r="AO33" s="5449"/>
    </row>
    <row r="34" spans="1:41" ht="13.5" customHeight="1" thickBot="1">
      <c r="A34" s="857"/>
      <c r="B34" s="44"/>
      <c r="C34" s="44"/>
      <c r="D34" s="44"/>
      <c r="E34" s="44"/>
      <c r="F34" s="44"/>
      <c r="G34" s="44"/>
      <c r="H34" s="44"/>
      <c r="I34" s="4197"/>
      <c r="J34" s="4197"/>
      <c r="K34" s="4197"/>
      <c r="L34" s="4223"/>
      <c r="M34" s="4221"/>
      <c r="N34" s="4223"/>
      <c r="O34" s="44"/>
      <c r="P34" s="44"/>
      <c r="Q34" s="44"/>
      <c r="R34" s="44"/>
      <c r="S34" s="44"/>
      <c r="T34" s="44"/>
      <c r="U34" s="44"/>
      <c r="V34" s="44"/>
      <c r="W34" s="44"/>
      <c r="X34" s="112"/>
      <c r="Y34" s="2400"/>
      <c r="Z34" s="614"/>
      <c r="AA34" s="2070"/>
      <c r="AB34" s="2070"/>
      <c r="AC34" s="2070"/>
      <c r="AD34" s="2070"/>
      <c r="AE34" s="2070"/>
      <c r="AF34" s="2070"/>
      <c r="AG34" s="5945"/>
      <c r="AH34" s="5946"/>
      <c r="AI34" s="5946"/>
      <c r="AJ34" s="5946"/>
      <c r="AK34" s="5946"/>
      <c r="AL34" s="5946"/>
      <c r="AM34" s="5946"/>
      <c r="AN34" s="5947"/>
      <c r="AO34" s="5948"/>
    </row>
    <row r="35" spans="1:41" ht="16.5" customHeight="1" thickBot="1">
      <c r="A35" s="857"/>
      <c r="B35" s="4240" t="s">
        <v>3455</v>
      </c>
      <c r="C35" s="4231"/>
      <c r="D35" s="4231"/>
      <c r="E35" s="4260" t="s">
        <v>3439</v>
      </c>
      <c r="F35" s="4232"/>
      <c r="G35" s="4232"/>
      <c r="H35" s="4232"/>
      <c r="I35" s="4232"/>
      <c r="J35" s="4232"/>
      <c r="K35" s="4232"/>
      <c r="L35" s="4232"/>
      <c r="M35" s="4232"/>
      <c r="N35" s="4232"/>
      <c r="O35" s="4232"/>
      <c r="P35" s="4232"/>
      <c r="Q35" s="4232"/>
      <c r="R35" s="4232"/>
      <c r="S35" s="4232"/>
      <c r="T35" s="4232"/>
      <c r="U35" s="4232"/>
      <c r="V35" s="4232"/>
      <c r="W35" s="4232"/>
      <c r="X35" s="962"/>
      <c r="Y35" s="4440"/>
      <c r="Z35" s="614"/>
      <c r="AA35" s="2070"/>
      <c r="AB35" s="2070"/>
      <c r="AC35" s="2070"/>
      <c r="AD35" s="2070"/>
      <c r="AE35" s="2070"/>
      <c r="AF35" s="2070"/>
      <c r="AG35" s="5949" t="s">
        <v>3745</v>
      </c>
      <c r="AH35" s="5950"/>
      <c r="AI35" s="5950"/>
      <c r="AJ35" s="5950"/>
      <c r="AK35" s="5950"/>
      <c r="AL35" s="5950"/>
      <c r="AM35" s="5950"/>
      <c r="AN35" s="5951"/>
      <c r="AO35" s="5952"/>
    </row>
    <row r="36" spans="1:41" ht="13.5" customHeight="1" thickBot="1">
      <c r="A36" s="857"/>
      <c r="B36" s="4219"/>
      <c r="C36" s="452">
        <v>1</v>
      </c>
      <c r="D36" s="4219" t="s">
        <v>3440</v>
      </c>
      <c r="E36" s="4219"/>
      <c r="F36" s="4219"/>
      <c r="G36" s="4219"/>
      <c r="H36" s="4219"/>
      <c r="I36" s="4219"/>
      <c r="J36" s="4219"/>
      <c r="K36" s="4219"/>
      <c r="L36" s="368"/>
      <c r="M36" s="368"/>
      <c r="N36" s="368"/>
      <c r="O36" s="4219"/>
      <c r="P36" s="4219"/>
      <c r="Q36" s="4219"/>
      <c r="R36" s="4219"/>
      <c r="S36" s="4219"/>
      <c r="T36" s="4233" t="s">
        <v>243</v>
      </c>
      <c r="U36" s="5601">
        <f>IF(Z36&lt;&gt;"",ROUND(Z36,0),'1040'!AB93)</f>
        <v>0</v>
      </c>
      <c r="V36" s="5602"/>
      <c r="W36" s="5602"/>
      <c r="X36" s="962"/>
      <c r="Y36" s="4440"/>
      <c r="Z36" s="2593"/>
      <c r="AA36" s="2070"/>
      <c r="AB36" s="2070"/>
      <c r="AC36" s="2070"/>
      <c r="AD36" s="2070"/>
      <c r="AE36" s="2070"/>
      <c r="AF36" s="2070"/>
      <c r="AG36" s="4877"/>
      <c r="AH36" s="5953"/>
      <c r="AI36" s="5953"/>
      <c r="AJ36" s="5953"/>
      <c r="AK36" s="5953"/>
      <c r="AL36" s="5953"/>
      <c r="AM36" s="5953"/>
      <c r="AN36" s="5242"/>
      <c r="AO36" s="5114"/>
    </row>
    <row r="37" spans="1:41" ht="13.5" customHeight="1" thickBot="1">
      <c r="A37" s="857"/>
      <c r="B37" s="35"/>
      <c r="C37" s="452">
        <v>2</v>
      </c>
      <c r="D37" s="1464" t="s">
        <v>3441</v>
      </c>
      <c r="E37" s="35"/>
      <c r="F37" s="35"/>
      <c r="G37" s="35"/>
      <c r="H37" s="35"/>
      <c r="I37" s="35"/>
      <c r="J37" s="35"/>
      <c r="K37" s="35"/>
      <c r="L37" s="44"/>
      <c r="M37" s="44"/>
      <c r="N37" s="44"/>
      <c r="O37" s="35"/>
      <c r="P37" s="35"/>
      <c r="Q37" s="35"/>
      <c r="R37" s="35"/>
      <c r="S37" s="35"/>
      <c r="T37" s="606"/>
      <c r="U37" s="5623"/>
      <c r="V37" s="4968"/>
      <c r="W37" s="4968"/>
      <c r="X37" s="112"/>
      <c r="Y37" s="2400"/>
      <c r="Z37" s="614"/>
      <c r="AA37" s="2070"/>
      <c r="AB37" s="2070"/>
      <c r="AC37" s="2070"/>
      <c r="AD37" s="2070"/>
      <c r="AE37" s="2070"/>
      <c r="AF37" s="2070"/>
      <c r="AG37" s="4307" t="s">
        <v>198</v>
      </c>
      <c r="AH37" s="5954" t="s">
        <v>3602</v>
      </c>
      <c r="AI37" s="5242"/>
      <c r="AJ37" s="5242"/>
      <c r="AK37" s="5242"/>
      <c r="AL37" s="5242"/>
      <c r="AM37" s="5114"/>
      <c r="AN37" s="5242"/>
      <c r="AO37" s="5114"/>
    </row>
    <row r="38" spans="1:41" ht="13.5" customHeight="1" thickBot="1">
      <c r="A38" s="857"/>
      <c r="B38" s="4219"/>
      <c r="C38" s="576"/>
      <c r="D38" s="1464" t="s">
        <v>3442</v>
      </c>
      <c r="E38" s="4219"/>
      <c r="F38" s="4219"/>
      <c r="G38" s="4219"/>
      <c r="H38" s="4219"/>
      <c r="I38" s="4219"/>
      <c r="J38" s="4219"/>
      <c r="K38" s="4219"/>
      <c r="L38" s="368"/>
      <c r="M38" s="368"/>
      <c r="N38" s="368"/>
      <c r="O38" s="4219"/>
      <c r="P38" s="4219"/>
      <c r="Q38" s="4219"/>
      <c r="R38" s="4219"/>
      <c r="S38" s="2753" t="s">
        <v>154</v>
      </c>
      <c r="T38" s="613">
        <v>2</v>
      </c>
      <c r="U38" s="5601">
        <f>IF(Z38&lt;&gt;"",ROUND(Z38,0),SUM('1040'!AB94,'1040'!AB96,'1040'!AB97,'1040'!AB98,'1040'!AI101,'1040'!AI102))</f>
        <v>0</v>
      </c>
      <c r="V38" s="5602"/>
      <c r="W38" s="5602"/>
      <c r="X38" s="962"/>
      <c r="Y38" s="4440"/>
      <c r="Z38" s="2593"/>
      <c r="AA38" s="2070"/>
      <c r="AB38" s="2070"/>
      <c r="AC38" s="2070"/>
      <c r="AD38" s="2070"/>
      <c r="AE38" s="2070"/>
      <c r="AF38" s="2070"/>
      <c r="AG38" s="4307"/>
      <c r="AH38" s="5242"/>
      <c r="AI38" s="5242"/>
      <c r="AJ38" s="5242"/>
      <c r="AK38" s="5242"/>
      <c r="AL38" s="5242"/>
      <c r="AM38" s="5114"/>
      <c r="AN38" s="5242"/>
      <c r="AO38" s="5114"/>
    </row>
    <row r="39" spans="1:41" ht="13.5" customHeight="1" thickBot="1">
      <c r="A39" s="857"/>
      <c r="B39" s="35"/>
      <c r="C39" s="576">
        <v>3</v>
      </c>
      <c r="D39" s="35" t="s">
        <v>3443</v>
      </c>
      <c r="E39" s="35"/>
      <c r="F39" s="35"/>
      <c r="G39" s="35"/>
      <c r="H39" s="35"/>
      <c r="I39" s="35"/>
      <c r="J39" s="35"/>
      <c r="K39" s="35"/>
      <c r="L39" s="44"/>
      <c r="M39" s="44"/>
      <c r="N39" s="44"/>
      <c r="O39" s="35"/>
      <c r="P39" s="35"/>
      <c r="Q39" s="35"/>
      <c r="R39" s="35"/>
      <c r="S39" s="2753" t="s">
        <v>1001</v>
      </c>
      <c r="T39" s="613">
        <v>3</v>
      </c>
      <c r="U39" s="5601">
        <f>IF(Z39&lt;&gt;"",ROUND(Z39,0),SUM('1040'!V104,'1040'!V106,'1040'!V107,'1040'!V108,'1040'!V111))</f>
        <v>0</v>
      </c>
      <c r="V39" s="5602"/>
      <c r="W39" s="5602"/>
      <c r="X39" s="112"/>
      <c r="Y39" s="2400"/>
      <c r="Z39" s="2593"/>
      <c r="AA39" s="2070"/>
      <c r="AB39" s="2070"/>
      <c r="AC39" s="2070"/>
      <c r="AD39" s="2070"/>
      <c r="AE39" s="2070"/>
      <c r="AF39" s="2070"/>
      <c r="AG39" s="4307" t="s">
        <v>198</v>
      </c>
      <c r="AH39" s="5966" t="s">
        <v>3603</v>
      </c>
      <c r="AI39" s="5242"/>
      <c r="AJ39" s="5242"/>
      <c r="AK39" s="5242"/>
      <c r="AL39" s="5242"/>
      <c r="AM39" s="5242"/>
      <c r="AN39" s="5242"/>
      <c r="AO39" s="5114"/>
    </row>
    <row r="40" spans="1:41" ht="13.5" customHeight="1">
      <c r="A40" s="857"/>
      <c r="B40" s="35"/>
      <c r="C40" s="452">
        <v>4</v>
      </c>
      <c r="D40" s="1464" t="s">
        <v>3600</v>
      </c>
      <c r="E40" s="35"/>
      <c r="F40" s="35"/>
      <c r="G40" s="35"/>
      <c r="H40" s="35"/>
      <c r="I40" s="35"/>
      <c r="J40" s="35" t="str">
        <f>"If less than "&amp;TEXT($W$42,"$0,000")&amp;", stop; you don't owe a penalty."</f>
        <v>If less than $1,000, stop; you don't owe a penalty.</v>
      </c>
      <c r="K40" s="35"/>
      <c r="L40" s="44"/>
      <c r="M40" s="44"/>
      <c r="N40" s="44"/>
      <c r="O40" s="35"/>
      <c r="P40" s="35"/>
      <c r="Q40" s="35"/>
      <c r="R40" s="35"/>
      <c r="S40" s="35"/>
      <c r="T40" s="612"/>
      <c r="U40" s="5611"/>
      <c r="V40" s="4772"/>
      <c r="W40" s="4772"/>
      <c r="X40" s="112"/>
      <c r="Y40" s="2400"/>
      <c r="Z40" s="614"/>
      <c r="AA40" s="2070"/>
      <c r="AB40" s="2070"/>
      <c r="AC40" s="2070"/>
      <c r="AD40" s="2070"/>
      <c r="AE40" s="2070"/>
      <c r="AF40" s="2070"/>
      <c r="AG40" s="4307" t="s">
        <v>198</v>
      </c>
      <c r="AH40" s="5954" t="s">
        <v>3604</v>
      </c>
      <c r="AI40" s="5242"/>
      <c r="AJ40" s="5242"/>
      <c r="AK40" s="5242"/>
      <c r="AL40" s="5242"/>
      <c r="AM40" s="5114"/>
      <c r="AN40" s="5242"/>
      <c r="AO40" s="5114"/>
    </row>
    <row r="41" spans="1:41" ht="13.5" customHeight="1">
      <c r="A41" s="857"/>
      <c r="B41" s="35"/>
      <c r="C41" s="452"/>
      <c r="D41" s="1464" t="s">
        <v>3444</v>
      </c>
      <c r="E41" s="35"/>
      <c r="F41" s="35"/>
      <c r="G41" s="35"/>
      <c r="H41" s="35"/>
      <c r="I41" s="35"/>
      <c r="J41" s="35"/>
      <c r="K41" s="35"/>
      <c r="L41" s="44"/>
      <c r="M41" s="44"/>
      <c r="N41" s="44"/>
      <c r="O41" s="35"/>
      <c r="P41" s="35"/>
      <c r="Q41" s="35"/>
      <c r="R41" s="35"/>
      <c r="S41" s="2753" t="s">
        <v>1155</v>
      </c>
      <c r="T41" s="608">
        <v>4</v>
      </c>
      <c r="U41" s="5928">
        <f>SUM(U36,U38,-U39)</f>
        <v>0</v>
      </c>
      <c r="V41" s="5929"/>
      <c r="W41" s="5929"/>
      <c r="X41" s="112"/>
      <c r="Y41" s="2400"/>
      <c r="Z41" s="614"/>
      <c r="AA41" s="2070"/>
      <c r="AB41" s="2070"/>
      <c r="AC41" s="2070"/>
      <c r="AD41" s="2070"/>
      <c r="AE41" s="2070"/>
      <c r="AF41" s="2070"/>
      <c r="AG41" s="4307"/>
      <c r="AH41" s="5242"/>
      <c r="AI41" s="5242"/>
      <c r="AJ41" s="5242"/>
      <c r="AK41" s="5242"/>
      <c r="AL41" s="5242"/>
      <c r="AM41" s="5114"/>
      <c r="AN41" s="5242"/>
      <c r="AO41" s="5114"/>
    </row>
    <row r="42" spans="1:41" ht="13.5" customHeight="1" thickBot="1">
      <c r="A42" s="857"/>
      <c r="B42" s="35"/>
      <c r="C42" s="452">
        <v>5</v>
      </c>
      <c r="D42" s="35" t="str">
        <f>"Multiply line 4 by "&amp;TEXT(U42,"0%")&amp;" ("&amp;TEXT(U42,"0.00")&amp;")"</f>
        <v>Multiply line 4 by 90% (0.90)</v>
      </c>
      <c r="E42" s="35"/>
      <c r="F42" s="35"/>
      <c r="G42" s="35"/>
      <c r="H42" s="35"/>
      <c r="I42" s="35"/>
      <c r="J42" s="35"/>
      <c r="K42" s="35"/>
      <c r="L42" s="44"/>
      <c r="M42" s="44"/>
      <c r="N42" s="44"/>
      <c r="O42" s="2753" t="s">
        <v>999</v>
      </c>
      <c r="P42" s="60"/>
      <c r="Q42" s="4332"/>
      <c r="R42" s="4331">
        <v>5</v>
      </c>
      <c r="S42" s="4330" t="str">
        <f>IF($V$42,"",ROUND(U41*U42,0))</f>
        <v/>
      </c>
      <c r="T42" s="615"/>
      <c r="U42" s="4306">
        <v>0.9</v>
      </c>
      <c r="V42" s="4312" t="b">
        <f>IF($U$41&lt;$W$42,TRUE,FALSE)</f>
        <v>1</v>
      </c>
      <c r="W42" s="4312">
        <v>1000</v>
      </c>
      <c r="X42" s="112"/>
      <c r="Y42" s="2400"/>
      <c r="Z42" s="614"/>
      <c r="AA42" s="2070"/>
      <c r="AB42" s="6005" t="b">
        <f>V42</f>
        <v>1</v>
      </c>
      <c r="AC42" s="4963"/>
      <c r="AD42" s="4963"/>
      <c r="AE42" s="2070"/>
      <c r="AF42" s="2070"/>
      <c r="AG42" s="4307" t="s">
        <v>198</v>
      </c>
      <c r="AH42" s="5966" t="s">
        <v>3746</v>
      </c>
      <c r="AI42" s="5242"/>
      <c r="AJ42" s="5242"/>
      <c r="AK42" s="5242"/>
      <c r="AL42" s="5242"/>
      <c r="AM42" s="5114"/>
      <c r="AN42" s="5242"/>
      <c r="AO42" s="5114"/>
    </row>
    <row r="43" spans="1:41" ht="13.5" customHeight="1" thickBot="1">
      <c r="A43" s="857"/>
      <c r="B43" s="4219"/>
      <c r="C43" s="452">
        <v>6</v>
      </c>
      <c r="D43" s="1464" t="s">
        <v>3445</v>
      </c>
      <c r="E43" s="4219"/>
      <c r="F43" s="4219"/>
      <c r="G43" s="4219"/>
      <c r="H43" s="4219"/>
      <c r="I43" s="4219"/>
      <c r="J43" s="4219"/>
      <c r="K43" s="4219"/>
      <c r="L43" s="4219"/>
      <c r="M43" s="4219"/>
      <c r="N43" s="4219"/>
      <c r="O43" s="4219"/>
      <c r="P43" s="4219"/>
      <c r="Q43" s="4219"/>
      <c r="R43" s="4219"/>
      <c r="S43" s="2753" t="s">
        <v>985</v>
      </c>
      <c r="T43" s="608">
        <v>6</v>
      </c>
      <c r="U43" s="5601" t="str">
        <f>IF(Z43&lt;&gt;"",ROUND(Z43,0),IF($V$42,"",SUM('1040'!V102,'1040'!V110)))</f>
        <v/>
      </c>
      <c r="V43" s="5602"/>
      <c r="W43" s="5602"/>
      <c r="X43" s="962"/>
      <c r="Y43" s="4440"/>
      <c r="Z43" s="2593"/>
      <c r="AA43" s="2070"/>
      <c r="AB43" s="2070"/>
      <c r="AC43" s="2070"/>
      <c r="AD43" s="2070"/>
      <c r="AE43" s="2070"/>
      <c r="AF43" s="2070"/>
      <c r="AG43" s="4307"/>
      <c r="AH43" s="5242"/>
      <c r="AI43" s="5242"/>
      <c r="AJ43" s="5242"/>
      <c r="AK43" s="5242"/>
      <c r="AL43" s="5242"/>
      <c r="AM43" s="5114"/>
      <c r="AN43" s="5242"/>
      <c r="AO43" s="5114"/>
    </row>
    <row r="44" spans="1:41" ht="13.5" customHeight="1" thickBot="1">
      <c r="A44" s="857"/>
      <c r="B44" s="35"/>
      <c r="C44" s="452">
        <v>7</v>
      </c>
      <c r="D44" s="1464" t="s">
        <v>3599</v>
      </c>
      <c r="E44" s="414"/>
      <c r="F44" s="35"/>
      <c r="G44" s="35"/>
      <c r="H44" s="1464"/>
      <c r="I44" s="1464"/>
      <c r="J44" s="35"/>
      <c r="K44" s="35"/>
      <c r="L44" s="44"/>
      <c r="M44" s="44"/>
      <c r="N44" s="44"/>
      <c r="O44" s="35"/>
      <c r="P44" s="1464"/>
      <c r="Q44" s="35"/>
      <c r="R44" s="35"/>
      <c r="S44" s="1656" t="str">
        <f>"If less than "&amp;TEXT($W$42,"$0,000")&amp;", stop; you don't owe a penalty. Don't file Form 2210  "</f>
        <v xml:space="preserve">If less than $1,000, stop; you don't owe a penalty. Don't file Form 2210  </v>
      </c>
      <c r="T44" s="608">
        <v>7</v>
      </c>
      <c r="U44" s="5627" t="str">
        <f>IF(Z44&lt;&gt;"",ROUND(Z44,0),IF($V$42,"",SUM(U41,-U43)))</f>
        <v/>
      </c>
      <c r="V44" s="5628"/>
      <c r="W44" s="5628"/>
      <c r="X44" s="112"/>
      <c r="Y44" s="2400"/>
      <c r="Z44" s="2593"/>
      <c r="AA44" s="2070"/>
      <c r="AB44" s="2070"/>
      <c r="AC44" s="2070"/>
      <c r="AD44" s="2070"/>
      <c r="AE44" s="2070"/>
      <c r="AF44" s="2070"/>
      <c r="AG44" s="4454" t="s">
        <v>198</v>
      </c>
      <c r="AH44" s="5967" t="s">
        <v>3605</v>
      </c>
      <c r="AI44" s="5115"/>
      <c r="AJ44" s="5115"/>
      <c r="AK44" s="5115"/>
      <c r="AL44" s="5115"/>
      <c r="AM44" s="5115"/>
      <c r="AN44" s="5115"/>
      <c r="AO44" s="5116"/>
    </row>
    <row r="45" spans="1:41" ht="13.5" customHeight="1" thickBot="1">
      <c r="A45" s="857"/>
      <c r="B45" s="35"/>
      <c r="C45" s="452">
        <v>8</v>
      </c>
      <c r="D45" s="35" t="s">
        <v>3446</v>
      </c>
      <c r="E45" s="414"/>
      <c r="F45" s="35"/>
      <c r="G45" s="35"/>
      <c r="H45" s="35"/>
      <c r="I45" s="35"/>
      <c r="J45" s="35"/>
      <c r="K45" s="35"/>
      <c r="L45" s="44"/>
      <c r="M45" s="44"/>
      <c r="N45" s="44"/>
      <c r="O45" s="35"/>
      <c r="P45" s="35"/>
      <c r="Q45" s="35"/>
      <c r="R45" s="35"/>
      <c r="S45" s="2753" t="s">
        <v>3718</v>
      </c>
      <c r="T45" s="608">
        <v>8</v>
      </c>
      <c r="U45" s="5601" t="str">
        <f>IF(Z45&lt;&gt;"",ROUND(Z45,0),IF($V$42,"",IF(U47,"",IF(AC66,AC67*SUM(AC33,-AC49),SUM(AC33,-AC49)))))</f>
        <v/>
      </c>
      <c r="V45" s="5602"/>
      <c r="W45" s="5602"/>
      <c r="X45" s="112"/>
      <c r="Y45" s="2400"/>
      <c r="Z45" s="2593"/>
      <c r="AA45" s="2070"/>
      <c r="AB45" s="2070"/>
      <c r="AC45" s="2070"/>
      <c r="AD45" s="2070"/>
      <c r="AE45" s="2070"/>
      <c r="AF45" s="2070"/>
      <c r="AG45" s="5968" t="s">
        <v>3606</v>
      </c>
      <c r="AH45" s="5969"/>
      <c r="AI45" s="5969"/>
      <c r="AJ45" s="5969"/>
      <c r="AK45" s="5969"/>
      <c r="AL45" s="5969"/>
      <c r="AM45" s="5969"/>
      <c r="AN45" s="5969"/>
      <c r="AO45" s="5970"/>
    </row>
    <row r="46" spans="1:41" ht="13.5" customHeight="1" thickBot="1">
      <c r="A46" s="857"/>
      <c r="B46" s="35"/>
      <c r="C46" s="452">
        <v>9</v>
      </c>
      <c r="D46" s="35" t="s">
        <v>3447</v>
      </c>
      <c r="E46" s="414"/>
      <c r="F46" s="35"/>
      <c r="G46" s="35"/>
      <c r="H46" s="35"/>
      <c r="I46" s="35"/>
      <c r="J46" s="35"/>
      <c r="K46" s="35"/>
      <c r="L46" s="44"/>
      <c r="M46" s="44"/>
      <c r="N46" s="44"/>
      <c r="O46" s="35"/>
      <c r="P46" s="35"/>
      <c r="Q46" s="35"/>
      <c r="R46" s="35"/>
      <c r="S46" s="2753" t="s">
        <v>442</v>
      </c>
      <c r="T46" s="608">
        <v>9</v>
      </c>
      <c r="U46" s="5607" t="str">
        <f>IF(Z46&lt;&gt;"",ROUND(Z46,0),IF(OR($V$42,$U$47),"",MIN(S42,U45)))</f>
        <v/>
      </c>
      <c r="V46" s="5932"/>
      <c r="W46" s="5932"/>
      <c r="X46" s="112"/>
      <c r="Y46" s="2400"/>
      <c r="Z46" s="2593"/>
      <c r="AA46" s="2070"/>
      <c r="AB46" s="6008">
        <f>TaxYear-1</f>
        <v>2015</v>
      </c>
      <c r="AC46" s="4563"/>
      <c r="AD46" s="4563"/>
      <c r="AE46" s="4563"/>
      <c r="AF46" s="2070"/>
      <c r="AG46" s="5971"/>
      <c r="AH46" s="5183"/>
      <c r="AI46" s="5183"/>
      <c r="AJ46" s="5183"/>
      <c r="AK46" s="5183"/>
      <c r="AL46" s="5183"/>
      <c r="AM46" s="5183"/>
      <c r="AN46" s="5183"/>
      <c r="AO46" s="5972"/>
    </row>
    <row r="47" spans="1:41" ht="15" customHeight="1">
      <c r="A47" s="857"/>
      <c r="B47" s="35"/>
      <c r="C47" s="452"/>
      <c r="D47" s="1505" t="s">
        <v>3448</v>
      </c>
      <c r="E47" s="414"/>
      <c r="F47" s="35"/>
      <c r="G47" s="35"/>
      <c r="H47" s="35"/>
      <c r="I47" s="35"/>
      <c r="J47" s="35"/>
      <c r="K47" s="35"/>
      <c r="L47" s="44"/>
      <c r="M47" s="44"/>
      <c r="N47" s="44"/>
      <c r="O47" s="35"/>
      <c r="P47" s="35"/>
      <c r="Q47" s="35"/>
      <c r="R47" s="35"/>
      <c r="S47" s="778"/>
      <c r="T47" s="778"/>
      <c r="U47" s="4470" t="b">
        <f>IF($U$44&lt;$W$42,TRUE,FALSE)</f>
        <v>0</v>
      </c>
      <c r="V47" s="4471"/>
      <c r="W47" s="4470" t="b">
        <f>IF(U46&gt;U43,TRUE,FALSE)</f>
        <v>0</v>
      </c>
      <c r="X47" s="112"/>
      <c r="Y47" s="2400"/>
      <c r="Z47" s="614"/>
      <c r="AA47" s="2070"/>
      <c r="AB47" s="6008" t="s">
        <v>3723</v>
      </c>
      <c r="AC47" s="4563"/>
      <c r="AD47" s="4563"/>
      <c r="AE47" s="5582"/>
      <c r="AF47" s="3032"/>
      <c r="AG47" s="5971"/>
      <c r="AH47" s="5183"/>
      <c r="AI47" s="5183"/>
      <c r="AJ47" s="5183"/>
      <c r="AK47" s="5183"/>
      <c r="AL47" s="5183"/>
      <c r="AM47" s="5183"/>
      <c r="AN47" s="5183"/>
      <c r="AO47" s="5972"/>
    </row>
    <row r="48" spans="1:41" ht="13.5" customHeight="1" thickBot="1">
      <c r="A48" s="857"/>
      <c r="B48" s="35"/>
      <c r="C48" s="452"/>
      <c r="D48" s="4248" t="str">
        <f>IF(NOT(AC78),"",IF(OR($V$42,$U$47),"",IF($W$47,"","X")))</f>
        <v/>
      </c>
      <c r="E48" s="1464" t="s">
        <v>3615</v>
      </c>
      <c r="F48" s="35"/>
      <c r="G48" s="35"/>
      <c r="H48" s="35"/>
      <c r="I48" s="1464" t="s">
        <v>3749</v>
      </c>
      <c r="J48" s="35"/>
      <c r="K48" s="35"/>
      <c r="L48" s="44"/>
      <c r="M48" s="44"/>
      <c r="N48" s="44"/>
      <c r="O48" s="1464" t="s">
        <v>3750</v>
      </c>
      <c r="P48" s="35"/>
      <c r="Q48" s="35"/>
      <c r="R48" s="35"/>
      <c r="S48" s="4235"/>
      <c r="T48" s="4235"/>
      <c r="U48" s="4235"/>
      <c r="V48" s="4216"/>
      <c r="W48" s="866"/>
      <c r="X48" s="112"/>
      <c r="Y48" s="2400"/>
      <c r="Z48" s="614"/>
      <c r="AA48" s="2070"/>
      <c r="AB48" s="6007" t="s">
        <v>3721</v>
      </c>
      <c r="AC48" s="4563"/>
      <c r="AD48" s="4563"/>
      <c r="AE48" s="5582"/>
      <c r="AF48" s="3032"/>
      <c r="AG48" s="5973"/>
      <c r="AH48" s="5974"/>
      <c r="AI48" s="5974"/>
      <c r="AJ48" s="5974"/>
      <c r="AK48" s="5974"/>
      <c r="AL48" s="5974"/>
      <c r="AM48" s="5974"/>
      <c r="AN48" s="5974"/>
      <c r="AO48" s="5975"/>
    </row>
    <row r="49" spans="1:41" ht="4.5" customHeight="1">
      <c r="A49" s="857"/>
      <c r="B49" s="35"/>
      <c r="C49" s="1464"/>
      <c r="D49" s="1464"/>
      <c r="E49" s="1464"/>
      <c r="F49" s="35"/>
      <c r="G49" s="35"/>
      <c r="H49" s="35"/>
      <c r="I49" s="35"/>
      <c r="J49" s="35"/>
      <c r="K49" s="35"/>
      <c r="L49" s="44"/>
      <c r="M49" s="44"/>
      <c r="N49" s="44"/>
      <c r="O49" s="35"/>
      <c r="P49" s="35"/>
      <c r="Q49" s="35"/>
      <c r="R49" s="35"/>
      <c r="S49" s="4235"/>
      <c r="T49" s="4235"/>
      <c r="U49" s="4235"/>
      <c r="V49" s="4216"/>
      <c r="W49" s="4216"/>
      <c r="X49" s="112"/>
      <c r="Y49" s="2400"/>
      <c r="Z49" s="614"/>
      <c r="AA49" s="6006" t="s">
        <v>3720</v>
      </c>
      <c r="AB49" s="5135"/>
      <c r="AC49" s="5999"/>
      <c r="AD49" s="6000"/>
      <c r="AE49" s="6001"/>
      <c r="AF49" s="3032"/>
      <c r="AG49" s="5980"/>
      <c r="AH49" s="5981"/>
      <c r="AI49" s="5981"/>
      <c r="AJ49" s="5981"/>
      <c r="AK49" s="5981"/>
      <c r="AL49" s="5981"/>
      <c r="AM49" s="5981"/>
      <c r="AN49" s="5981"/>
      <c r="AO49" s="5982"/>
    </row>
    <row r="50" spans="1:41" ht="13.5" customHeight="1" thickBot="1">
      <c r="A50" s="857"/>
      <c r="B50" s="866"/>
      <c r="C50" s="4313"/>
      <c r="D50" s="4248" t="str">
        <f>IF(NOT(AC78),"",IF(OR($V$42,$U$47),"",IF($W$47,"X","")))</f>
        <v/>
      </c>
      <c r="E50" s="1464" t="s">
        <v>3449</v>
      </c>
      <c r="F50" s="35"/>
      <c r="G50" s="35"/>
      <c r="H50" s="35"/>
      <c r="I50" s="35"/>
      <c r="J50" s="35"/>
      <c r="K50" s="35"/>
      <c r="L50" s="44"/>
      <c r="M50" s="85"/>
      <c r="N50" s="44"/>
      <c r="O50" s="35"/>
      <c r="P50" s="35"/>
      <c r="Q50" s="35"/>
      <c r="R50" s="55"/>
      <c r="S50" s="4235"/>
      <c r="T50" s="623"/>
      <c r="U50" s="4236"/>
      <c r="V50" s="866"/>
      <c r="W50" s="4470" t="b">
        <f>IF($D$50&lt;&gt;"",TRUE,FALSE)</f>
        <v>0</v>
      </c>
      <c r="X50" s="112"/>
      <c r="Y50" s="2400"/>
      <c r="Z50" s="614"/>
      <c r="AA50" s="4563"/>
      <c r="AB50" s="5135"/>
      <c r="AC50" s="6002"/>
      <c r="AD50" s="6003"/>
      <c r="AE50" s="6004"/>
      <c r="AF50" s="3032"/>
      <c r="AG50" s="5976" t="s">
        <v>3607</v>
      </c>
      <c r="AH50" s="5977"/>
      <c r="AI50" s="5977"/>
      <c r="AJ50" s="5977"/>
      <c r="AK50" s="5977"/>
      <c r="AL50" s="5977"/>
      <c r="AM50" s="5977"/>
      <c r="AN50" s="5978"/>
      <c r="AO50" s="5979"/>
    </row>
    <row r="51" spans="1:41" ht="13.5" customHeight="1">
      <c r="A51" s="857"/>
      <c r="B51" s="5924" t="str">
        <f>IF(W51,"®","")</f>
        <v/>
      </c>
      <c r="C51" s="5925"/>
      <c r="D51" s="595" t="s">
        <v>198</v>
      </c>
      <c r="E51" s="1464" t="s">
        <v>3450</v>
      </c>
      <c r="F51" s="35"/>
      <c r="G51" s="35"/>
      <c r="H51" s="35"/>
      <c r="I51" s="35"/>
      <c r="J51" s="35"/>
      <c r="K51" s="35"/>
      <c r="L51" s="44"/>
      <c r="M51" s="44"/>
      <c r="N51" s="44"/>
      <c r="O51" s="35"/>
      <c r="P51" s="35"/>
      <c r="Q51" s="35"/>
      <c r="R51" s="35"/>
      <c r="S51" s="4217"/>
      <c r="T51" s="4217"/>
      <c r="U51" s="858"/>
      <c r="V51" s="858"/>
      <c r="W51" s="4472" t="b">
        <f>IF(AND(W50,OR(D59&lt;&gt;"",D61&lt;&gt;"",D63&lt;&gt;"")),TRUE,FALSE)</f>
        <v>0</v>
      </c>
      <c r="X51" s="112"/>
      <c r="Y51" s="2400"/>
      <c r="Z51" s="614"/>
      <c r="AA51" s="2070"/>
      <c r="AB51" s="2070"/>
      <c r="AC51" s="2070"/>
      <c r="AD51" s="2070"/>
      <c r="AE51" s="2070"/>
      <c r="AF51" s="2070"/>
      <c r="AG51" s="5983" t="str">
        <f>"Subtract the total of the following refundable credits, if any, that you claimed on your "&amp;TaxYear-1&amp;" tax return:"</f>
        <v>Subtract the total of the following refundable credits, if any, that you claimed on your 2015 tax return:</v>
      </c>
      <c r="AH51" s="5950"/>
      <c r="AI51" s="5950"/>
      <c r="AJ51" s="5950"/>
      <c r="AK51" s="5950"/>
      <c r="AL51" s="5950"/>
      <c r="AM51" s="5950"/>
      <c r="AN51" s="5951"/>
      <c r="AO51" s="5952"/>
    </row>
    <row r="52" spans="1:41" ht="13.5" customHeight="1">
      <c r="A52" s="857"/>
      <c r="B52" s="5924" t="str">
        <f>IF(W54,"®","")</f>
        <v/>
      </c>
      <c r="C52" s="5925"/>
      <c r="D52" s="595" t="s">
        <v>198</v>
      </c>
      <c r="E52" s="1464" t="s">
        <v>3451</v>
      </c>
      <c r="F52" s="35"/>
      <c r="G52" s="35"/>
      <c r="H52" s="35"/>
      <c r="I52" s="35"/>
      <c r="J52" s="35"/>
      <c r="K52" s="35"/>
      <c r="L52" s="44"/>
      <c r="M52" s="44"/>
      <c r="N52" s="44"/>
      <c r="O52" s="35"/>
      <c r="P52" s="35"/>
      <c r="Q52" s="35"/>
      <c r="R52" s="4214"/>
      <c r="S52" s="4215"/>
      <c r="T52" s="4237"/>
      <c r="U52" s="4220"/>
      <c r="V52" s="4221"/>
      <c r="W52" s="60"/>
      <c r="X52" s="112"/>
      <c r="Y52" s="2400"/>
      <c r="Z52" s="614"/>
      <c r="AA52" s="2070"/>
      <c r="AB52" s="2070"/>
      <c r="AC52" s="2070"/>
      <c r="AD52" s="2070"/>
      <c r="AE52" s="2070"/>
      <c r="AF52" s="2070"/>
      <c r="AG52" s="4877"/>
      <c r="AH52" s="5953"/>
      <c r="AI52" s="5953"/>
      <c r="AJ52" s="5953"/>
      <c r="AK52" s="5953"/>
      <c r="AL52" s="5953"/>
      <c r="AM52" s="5953"/>
      <c r="AN52" s="5242"/>
      <c r="AO52" s="5114"/>
    </row>
    <row r="53" spans="1:41" ht="13.5" customHeight="1">
      <c r="A53" s="857"/>
      <c r="B53" s="35"/>
      <c r="C53" s="452"/>
      <c r="D53" s="1464"/>
      <c r="E53" s="1464" t="s">
        <v>3452</v>
      </c>
      <c r="F53" s="35"/>
      <c r="G53" s="35"/>
      <c r="H53" s="35"/>
      <c r="I53" s="35"/>
      <c r="J53" s="35"/>
      <c r="K53" s="35"/>
      <c r="L53" s="44"/>
      <c r="M53" s="44"/>
      <c r="N53" s="44"/>
      <c r="O53" s="35"/>
      <c r="P53" s="35"/>
      <c r="Q53" s="35"/>
      <c r="R53" s="35"/>
      <c r="S53" s="4217"/>
      <c r="T53" s="4217"/>
      <c r="U53" s="4217"/>
      <c r="V53" s="4217"/>
      <c r="W53" s="60"/>
      <c r="X53" s="112"/>
      <c r="Y53" s="2400"/>
      <c r="Z53" s="614"/>
      <c r="AA53" s="2070"/>
      <c r="AB53" s="2070"/>
      <c r="AC53" s="2070"/>
      <c r="AD53" s="2070"/>
      <c r="AE53" s="2070"/>
      <c r="AF53" s="2070"/>
      <c r="AG53" s="4307" t="s">
        <v>198</v>
      </c>
      <c r="AH53" s="3032" t="s">
        <v>3608</v>
      </c>
      <c r="AI53" s="3032"/>
      <c r="AJ53" s="3032"/>
      <c r="AK53" s="3032"/>
      <c r="AL53" s="3032"/>
      <c r="AM53" s="3032"/>
      <c r="AN53" s="3032"/>
      <c r="AO53" s="3386"/>
    </row>
    <row r="54" spans="1:41" ht="13.5" customHeight="1" thickBot="1">
      <c r="A54" s="857"/>
      <c r="B54" s="35"/>
      <c r="C54" s="452"/>
      <c r="D54" s="452"/>
      <c r="E54" s="1464" t="s">
        <v>3453</v>
      </c>
      <c r="F54" s="35"/>
      <c r="G54" s="35"/>
      <c r="H54" s="35"/>
      <c r="I54" s="35"/>
      <c r="J54" s="55"/>
      <c r="K54" s="35"/>
      <c r="L54" s="44"/>
      <c r="M54" s="44"/>
      <c r="N54" s="44"/>
      <c r="O54" s="35"/>
      <c r="P54" s="35"/>
      <c r="Q54" s="35"/>
      <c r="R54" s="44"/>
      <c r="S54" s="4238"/>
      <c r="T54" s="4217"/>
      <c r="U54" s="4216"/>
      <c r="V54" s="4216"/>
      <c r="W54" s="4472" t="b">
        <f>IF(AND(W50,OR(D57&lt;&gt;"",D65&lt;&gt;""),D59="",D61="",D63=""),TRUE,FALSE)</f>
        <v>0</v>
      </c>
      <c r="X54" s="112"/>
      <c r="Y54" s="2400"/>
      <c r="Z54" s="614"/>
      <c r="AA54" s="2070"/>
      <c r="AB54" s="2070"/>
      <c r="AC54" s="2070"/>
      <c r="AD54" s="2070"/>
      <c r="AE54" s="2070"/>
      <c r="AF54" s="2070"/>
      <c r="AG54" s="4307" t="s">
        <v>198</v>
      </c>
      <c r="AH54" s="3032" t="s">
        <v>3609</v>
      </c>
      <c r="AI54" s="3032"/>
      <c r="AJ54" s="3032"/>
      <c r="AK54" s="3032"/>
      <c r="AL54" s="3032"/>
      <c r="AM54" s="3032"/>
      <c r="AN54" s="3032"/>
      <c r="AO54" s="3386"/>
    </row>
    <row r="55" spans="1:41" ht="16.5" customHeight="1">
      <c r="A55" s="857"/>
      <c r="B55" s="4240" t="s">
        <v>3454</v>
      </c>
      <c r="C55" s="4231"/>
      <c r="D55" s="4231"/>
      <c r="E55" s="4239" t="s">
        <v>3541</v>
      </c>
      <c r="F55" s="4232"/>
      <c r="G55" s="4232"/>
      <c r="H55" s="4232"/>
      <c r="I55" s="4232"/>
      <c r="J55" s="4232"/>
      <c r="K55" s="4232"/>
      <c r="L55" s="4299" t="s">
        <v>3540</v>
      </c>
      <c r="M55" s="4232"/>
      <c r="N55" s="4232"/>
      <c r="O55" s="4232"/>
      <c r="P55" s="4232"/>
      <c r="Q55" s="4232"/>
      <c r="R55" s="4232"/>
      <c r="S55" s="4232"/>
      <c r="T55" s="4232"/>
      <c r="U55" s="4232"/>
      <c r="V55" s="4232"/>
      <c r="W55" s="4232"/>
      <c r="X55" s="962"/>
      <c r="Y55" s="4440"/>
      <c r="Z55" s="614"/>
      <c r="AA55" s="2070"/>
      <c r="AB55" s="2070"/>
      <c r="AC55" s="2070"/>
      <c r="AD55" s="2070"/>
      <c r="AE55" s="2070"/>
      <c r="AF55" s="2070"/>
      <c r="AG55" s="4307" t="s">
        <v>198</v>
      </c>
      <c r="AH55" s="4308" t="s">
        <v>3610</v>
      </c>
      <c r="AI55" s="3833"/>
      <c r="AJ55" s="3833"/>
      <c r="AK55" s="3833"/>
      <c r="AL55" s="3833"/>
      <c r="AM55" s="3833"/>
      <c r="AN55" s="3032"/>
      <c r="AO55" s="3386"/>
    </row>
    <row r="56" spans="1:41" ht="5.25" customHeight="1">
      <c r="A56" s="857"/>
      <c r="B56" s="35"/>
      <c r="C56" s="452"/>
      <c r="D56" s="1464"/>
      <c r="E56" s="4241"/>
      <c r="F56" s="368"/>
      <c r="G56" s="368"/>
      <c r="H56" s="368"/>
      <c r="I56" s="368"/>
      <c r="J56" s="368"/>
      <c r="K56" s="368"/>
      <c r="L56" s="368"/>
      <c r="M56" s="368"/>
      <c r="N56" s="368"/>
      <c r="O56" s="368"/>
      <c r="P56" s="368"/>
      <c r="Q56" s="368"/>
      <c r="R56" s="368"/>
      <c r="S56" s="368"/>
      <c r="T56" s="368"/>
      <c r="U56" s="368"/>
      <c r="V56" s="368"/>
      <c r="W56" s="368"/>
      <c r="X56" s="962"/>
      <c r="Y56" s="4440"/>
      <c r="Z56" s="614"/>
      <c r="AA56" s="2070"/>
      <c r="AB56" s="2070"/>
      <c r="AC56" s="2070"/>
      <c r="AD56" s="2070"/>
      <c r="AE56" s="2070"/>
      <c r="AF56" s="2070"/>
      <c r="AG56" s="4309"/>
      <c r="AH56" s="3833"/>
      <c r="AI56" s="3833"/>
      <c r="AJ56" s="3833"/>
      <c r="AK56" s="3833"/>
      <c r="AL56" s="3833"/>
      <c r="AM56" s="3833"/>
      <c r="AN56" s="3032"/>
      <c r="AO56" s="3386"/>
    </row>
    <row r="57" spans="1:41" ht="13.5" customHeight="1">
      <c r="A57" s="857"/>
      <c r="B57" s="2112" t="b">
        <f>IF(D57&lt;&gt;"",TRUE,FALSE)</f>
        <v>0</v>
      </c>
      <c r="C57" s="3469" t="s">
        <v>235</v>
      </c>
      <c r="D57" s="2119"/>
      <c r="E57" s="4241" t="s">
        <v>3619</v>
      </c>
      <c r="F57" s="368"/>
      <c r="G57" s="368"/>
      <c r="H57" s="368"/>
      <c r="I57" s="368"/>
      <c r="J57" s="368"/>
      <c r="K57" s="368"/>
      <c r="L57" s="368"/>
      <c r="M57" s="368"/>
      <c r="N57" s="368"/>
      <c r="O57" s="368"/>
      <c r="P57" s="368"/>
      <c r="Q57" s="368"/>
      <c r="R57" s="368"/>
      <c r="S57" s="368"/>
      <c r="T57" s="368"/>
      <c r="U57" s="368"/>
      <c r="V57" s="368"/>
      <c r="W57" s="368"/>
      <c r="X57" s="962"/>
      <c r="Y57" s="4440"/>
      <c r="Z57" s="614"/>
      <c r="AA57" s="2070"/>
      <c r="AB57" s="2070"/>
      <c r="AC57" s="2070"/>
      <c r="AD57" s="2070"/>
      <c r="AE57" s="2070"/>
      <c r="AF57" s="2070"/>
      <c r="AG57" s="4307" t="s">
        <v>198</v>
      </c>
      <c r="AH57" s="4310" t="s">
        <v>3611</v>
      </c>
      <c r="AI57" s="3833"/>
      <c r="AJ57" s="3833"/>
      <c r="AK57" s="3833"/>
      <c r="AL57" s="3833"/>
      <c r="AM57" s="3833"/>
      <c r="AN57" s="3032"/>
      <c r="AO57" s="3386"/>
    </row>
    <row r="58" spans="1:41" ht="13.5" customHeight="1">
      <c r="A58" s="857"/>
      <c r="B58" s="2112"/>
      <c r="C58" s="452"/>
      <c r="D58" s="1464"/>
      <c r="E58" s="4241" t="s">
        <v>3618</v>
      </c>
      <c r="F58" s="368"/>
      <c r="G58" s="368"/>
      <c r="H58" s="368"/>
      <c r="I58" s="368"/>
      <c r="J58" s="368"/>
      <c r="K58" s="368"/>
      <c r="L58" s="368"/>
      <c r="M58" s="368"/>
      <c r="N58" s="368"/>
      <c r="O58" s="368"/>
      <c r="P58" s="368"/>
      <c r="Q58" s="368"/>
      <c r="R58" s="368"/>
      <c r="S58" s="368"/>
      <c r="T58" s="368"/>
      <c r="U58" s="368"/>
      <c r="V58" s="368"/>
      <c r="W58" s="368"/>
      <c r="X58" s="962"/>
      <c r="Y58" s="4440"/>
      <c r="Z58" s="614"/>
      <c r="AA58" s="2070"/>
      <c r="AB58" s="2070"/>
      <c r="AC58" s="2070"/>
      <c r="AD58" s="2070"/>
      <c r="AE58" s="2070"/>
      <c r="AF58" s="2070"/>
      <c r="AG58" s="4307" t="s">
        <v>198</v>
      </c>
      <c r="AH58" s="3833" t="s">
        <v>3612</v>
      </c>
      <c r="AI58" s="3833"/>
      <c r="AJ58" s="3833"/>
      <c r="AK58" s="3833"/>
      <c r="AL58" s="3833"/>
      <c r="AM58" s="3833"/>
      <c r="AN58" s="3032"/>
      <c r="AO58" s="3386"/>
    </row>
    <row r="59" spans="1:41" ht="13.5" customHeight="1">
      <c r="A59" s="857"/>
      <c r="B59" s="2112" t="b">
        <f>IF(D59&lt;&gt;"",TRUE,FALSE)</f>
        <v>0</v>
      </c>
      <c r="C59" s="3469" t="s">
        <v>462</v>
      </c>
      <c r="D59" s="2119"/>
      <c r="E59" s="4241" t="s">
        <v>3617</v>
      </c>
      <c r="F59" s="368"/>
      <c r="G59" s="368"/>
      <c r="H59" s="368"/>
      <c r="I59" s="368"/>
      <c r="J59" s="368"/>
      <c r="K59" s="368"/>
      <c r="L59" s="368"/>
      <c r="M59" s="368"/>
      <c r="N59" s="368"/>
      <c r="O59" s="368"/>
      <c r="P59" s="368"/>
      <c r="Q59" s="368"/>
      <c r="R59" s="368"/>
      <c r="S59" s="368"/>
      <c r="T59" s="368"/>
      <c r="U59" s="368"/>
      <c r="V59" s="368"/>
      <c r="W59" s="368"/>
      <c r="X59" s="962"/>
      <c r="Y59" s="4440"/>
      <c r="Z59" s="614"/>
      <c r="AA59" s="2070"/>
      <c r="AB59" s="2070"/>
      <c r="AC59" s="4450">
        <v>150000</v>
      </c>
      <c r="AD59" s="4450"/>
      <c r="AE59" s="2070"/>
      <c r="AF59" s="2070"/>
      <c r="AG59" s="4307" t="s">
        <v>198</v>
      </c>
      <c r="AH59" s="4310" t="s">
        <v>3613</v>
      </c>
      <c r="AI59" s="3833"/>
      <c r="AJ59" s="3833"/>
      <c r="AK59" s="3833"/>
      <c r="AL59" s="3833"/>
      <c r="AM59" s="3833"/>
      <c r="AN59" s="3032"/>
      <c r="AO59" s="3386"/>
    </row>
    <row r="60" spans="1:41" ht="13.5" customHeight="1">
      <c r="A60" s="857"/>
      <c r="B60" s="2112"/>
      <c r="C60" s="452"/>
      <c r="D60" s="1464"/>
      <c r="E60" s="4242" t="s">
        <v>3616</v>
      </c>
      <c r="F60" s="368"/>
      <c r="G60" s="368"/>
      <c r="H60" s="368"/>
      <c r="I60" s="368"/>
      <c r="J60" s="368"/>
      <c r="K60" s="368"/>
      <c r="L60" s="368"/>
      <c r="M60" s="368"/>
      <c r="N60" s="368"/>
      <c r="O60" s="368"/>
      <c r="P60" s="368"/>
      <c r="Q60" s="368"/>
      <c r="R60" s="368"/>
      <c r="S60" s="368"/>
      <c r="T60" s="368"/>
      <c r="U60" s="368"/>
      <c r="V60" s="368"/>
      <c r="W60" s="368"/>
      <c r="X60" s="962"/>
      <c r="Y60" s="4440"/>
      <c r="Z60" s="614"/>
      <c r="AA60" s="2070"/>
      <c r="AB60" s="2070"/>
      <c r="AC60" s="4450">
        <v>75000</v>
      </c>
      <c r="AD60" s="4450"/>
      <c r="AE60" s="2070"/>
      <c r="AF60" s="2070"/>
      <c r="AG60" s="4307" t="s">
        <v>198</v>
      </c>
      <c r="AH60" s="3032" t="s">
        <v>3614</v>
      </c>
      <c r="AI60" s="3032"/>
      <c r="AJ60" s="3032"/>
      <c r="AK60" s="3032"/>
      <c r="AL60" s="3032"/>
      <c r="AM60" s="3032"/>
      <c r="AN60" s="3032"/>
      <c r="AO60" s="3386"/>
    </row>
    <row r="61" spans="1:41" ht="13.5" customHeight="1">
      <c r="A61" s="857"/>
      <c r="B61" s="2112" t="b">
        <f>IF(D61&lt;&gt;"",TRUE,FALSE)</f>
        <v>0</v>
      </c>
      <c r="C61" s="3469" t="s">
        <v>236</v>
      </c>
      <c r="D61" s="2119"/>
      <c r="E61" s="4241" t="s">
        <v>3456</v>
      </c>
      <c r="F61" s="368"/>
      <c r="G61" s="368"/>
      <c r="H61" s="368"/>
      <c r="I61" s="368"/>
      <c r="J61" s="368"/>
      <c r="K61" s="368"/>
      <c r="L61" s="368"/>
      <c r="M61" s="368"/>
      <c r="N61" s="368"/>
      <c r="O61" s="368"/>
      <c r="P61" s="368"/>
      <c r="Q61" s="368"/>
      <c r="R61" s="368"/>
      <c r="S61" s="368"/>
      <c r="T61" s="368"/>
      <c r="U61" s="368"/>
      <c r="V61" s="368"/>
      <c r="W61" s="368"/>
      <c r="X61" s="962"/>
      <c r="Y61" s="4440"/>
      <c r="Z61" s="614"/>
      <c r="AA61" s="2070"/>
      <c r="AB61" s="2070"/>
      <c r="AC61" s="4450">
        <f>IF(AB75&lt;&gt;"",AC60,AC59)</f>
        <v>150000</v>
      </c>
      <c r="AD61" s="4450"/>
      <c r="AE61" s="2070"/>
      <c r="AF61" s="2070"/>
      <c r="AG61" s="3173"/>
      <c r="AH61" s="3132"/>
      <c r="AI61" s="3132"/>
      <c r="AJ61" s="3132"/>
      <c r="AK61" s="3132"/>
      <c r="AL61" s="3132"/>
      <c r="AM61" s="3132"/>
      <c r="AN61" s="3032"/>
      <c r="AO61" s="3386"/>
    </row>
    <row r="62" spans="1:41" ht="13.5" customHeight="1">
      <c r="A62" s="857"/>
      <c r="B62" s="2112"/>
      <c r="C62" s="452"/>
      <c r="D62" s="1464"/>
      <c r="E62" s="4241" t="s">
        <v>3457</v>
      </c>
      <c r="F62" s="368"/>
      <c r="G62" s="368"/>
      <c r="H62" s="368"/>
      <c r="I62" s="368"/>
      <c r="J62" s="368"/>
      <c r="K62" s="368"/>
      <c r="L62" s="368"/>
      <c r="M62" s="368"/>
      <c r="N62" s="368"/>
      <c r="O62" s="368"/>
      <c r="P62" s="368"/>
      <c r="Q62" s="368"/>
      <c r="R62" s="368"/>
      <c r="S62" s="368"/>
      <c r="T62" s="368"/>
      <c r="U62" s="368"/>
      <c r="V62" s="368"/>
      <c r="W62" s="368"/>
      <c r="X62" s="962"/>
      <c r="Y62" s="4440"/>
      <c r="Z62" s="614"/>
      <c r="AA62" s="2070"/>
      <c r="AB62" s="4452"/>
      <c r="AC62" s="5994">
        <f>TaxYear-1</f>
        <v>2015</v>
      </c>
      <c r="AD62" s="4714"/>
      <c r="AE62" s="4714"/>
      <c r="AF62" s="2070"/>
      <c r="AG62" s="3382"/>
      <c r="AH62" s="3383"/>
      <c r="AI62" s="3383"/>
      <c r="AJ62" s="3383"/>
      <c r="AK62" s="3383"/>
      <c r="AL62" s="3383"/>
      <c r="AM62" s="3383"/>
      <c r="AN62" s="3383"/>
      <c r="AO62" s="3384"/>
    </row>
    <row r="63" spans="1:41" ht="13.5" customHeight="1">
      <c r="A63" s="857"/>
      <c r="B63" s="2112" t="b">
        <f>IF(D63&lt;&gt;"",TRUE,FALSE)</f>
        <v>0</v>
      </c>
      <c r="C63" s="3469" t="s">
        <v>465</v>
      </c>
      <c r="D63" s="2119"/>
      <c r="E63" s="4241" t="s">
        <v>3458</v>
      </c>
      <c r="F63" s="368"/>
      <c r="G63" s="368"/>
      <c r="H63" s="368"/>
      <c r="I63" s="368"/>
      <c r="J63" s="368"/>
      <c r="K63" s="368"/>
      <c r="L63" s="368"/>
      <c r="M63" s="368"/>
      <c r="N63" s="368"/>
      <c r="O63" s="368"/>
      <c r="P63" s="368"/>
      <c r="Q63" s="368"/>
      <c r="R63" s="368"/>
      <c r="S63" s="368"/>
      <c r="T63" s="368"/>
      <c r="U63" s="368"/>
      <c r="V63" s="368"/>
      <c r="W63" s="368"/>
      <c r="X63" s="962"/>
      <c r="Y63" s="4440"/>
      <c r="Z63" s="614"/>
      <c r="AA63" s="2070"/>
      <c r="AB63" s="4452"/>
      <c r="AC63" s="5994" t="s">
        <v>171</v>
      </c>
      <c r="AD63" s="4714"/>
      <c r="AE63" s="5242"/>
      <c r="AF63" s="3032"/>
      <c r="AG63" s="4432" t="str">
        <f>"Enter the "&amp;TaxYear-1&amp;" tax you figured above unless the AGI on your"</f>
        <v>Enter the 2015 tax you figured above unless the AGI on your</v>
      </c>
      <c r="AH63" s="3032"/>
      <c r="AI63" s="3032"/>
      <c r="AJ63" s="3032"/>
      <c r="AK63" s="3032"/>
      <c r="AL63" s="3032"/>
      <c r="AM63" s="3032"/>
      <c r="AN63" s="3032"/>
      <c r="AO63" s="3386"/>
    </row>
    <row r="64" spans="1:41" ht="13.5" customHeight="1" thickBot="1">
      <c r="A64" s="857"/>
      <c r="B64" s="2112"/>
      <c r="C64" s="452"/>
      <c r="D64" s="1464"/>
      <c r="E64" s="1464" t="s">
        <v>3459</v>
      </c>
      <c r="F64" s="35"/>
      <c r="G64" s="35"/>
      <c r="H64" s="35"/>
      <c r="I64" s="35"/>
      <c r="J64" s="35"/>
      <c r="K64" s="35"/>
      <c r="L64" s="35"/>
      <c r="M64" s="35"/>
      <c r="N64" s="35"/>
      <c r="O64" s="35"/>
      <c r="P64" s="35"/>
      <c r="Q64" s="35"/>
      <c r="R64" s="35"/>
      <c r="S64" s="35"/>
      <c r="T64" s="35"/>
      <c r="U64" s="35"/>
      <c r="V64" s="35"/>
      <c r="W64" s="35"/>
      <c r="X64" s="112"/>
      <c r="Y64" s="2400"/>
      <c r="Z64" s="614"/>
      <c r="AA64" s="2070"/>
      <c r="AB64" s="4477"/>
      <c r="AC64" s="6019" t="s">
        <v>3722</v>
      </c>
      <c r="AD64" s="5433"/>
      <c r="AE64" s="5429"/>
      <c r="AF64" s="3032"/>
      <c r="AG64" s="4432" t="str">
        <f>TaxYear-1&amp;" return is more than "&amp;TEXT(AC59,"$0,000")&amp;" ("&amp;TEXT(AC60,"$0,000")&amp;" if married filing"</f>
        <v>2015 return is more than $150,000 ($75,000 if married filing</v>
      </c>
      <c r="AH64" s="3032"/>
      <c r="AI64" s="3032"/>
      <c r="AJ64" s="3032"/>
      <c r="AK64" s="3032"/>
      <c r="AL64" s="3032"/>
      <c r="AM64" s="3032"/>
      <c r="AN64" s="3032"/>
      <c r="AO64" s="3386"/>
    </row>
    <row r="65" spans="1:42" ht="13.5" customHeight="1" thickBot="1">
      <c r="A65" s="857"/>
      <c r="B65" s="2112" t="b">
        <f>IF(D65&lt;&gt;"",TRUE,FALSE)</f>
        <v>0</v>
      </c>
      <c r="C65" s="3469" t="s">
        <v>593</v>
      </c>
      <c r="D65" s="4248" t="str">
        <f>IF(AND(AB65,$U$45&lt;$S$42),"X","")</f>
        <v/>
      </c>
      <c r="E65" s="4241" t="str">
        <f>"You filed or are filing a joint return for either "&amp;TaxYear-1&amp;" or "&amp;TaxYear&amp;", but not for both years, and"</f>
        <v>You filed or are filing a joint return for either 2015 or 2016, but not for both years, and</v>
      </c>
      <c r="F65" s="368"/>
      <c r="G65" s="368"/>
      <c r="H65" s="368"/>
      <c r="I65" s="368"/>
      <c r="J65" s="368"/>
      <c r="K65" s="368"/>
      <c r="L65" s="368"/>
      <c r="M65" s="368"/>
      <c r="N65" s="368"/>
      <c r="O65" s="368"/>
      <c r="P65" s="368"/>
      <c r="Q65" s="368"/>
      <c r="R65" s="368"/>
      <c r="S65" s="2809"/>
      <c r="T65" s="368"/>
      <c r="U65" s="368"/>
      <c r="V65" s="368"/>
      <c r="W65" s="4435" t="s">
        <v>3724</v>
      </c>
      <c r="X65" s="962"/>
      <c r="Y65" s="4440"/>
      <c r="Z65" s="614"/>
      <c r="AA65" s="2070"/>
      <c r="AB65" s="2610" t="b">
        <f>IF($Y$78&lt;&gt;1,FALSE,AND((OR(AND(AB72&lt;&gt;"",File_Marr_Joint=""),AND(AB72="",File_Marr_Joint&lt;&gt;""))),NOT(AND(AB72&lt;&gt;"",File_Marr_Joint&lt;&gt;""))))</f>
        <v>0</v>
      </c>
      <c r="AC65" s="6018"/>
      <c r="AD65" s="5997"/>
      <c r="AE65" s="5998"/>
      <c r="AF65" s="3032"/>
      <c r="AG65" s="4432" t="str">
        <f>"separately for "&amp;TaxYear&amp;"). If the AGI shown on your "&amp;TaxYear-1&amp;" tax return is"</f>
        <v>separately for 2016). If the AGI shown on your 2015 tax return is</v>
      </c>
      <c r="AH65" s="3032"/>
      <c r="AI65" s="3032"/>
      <c r="AJ65" s="3032"/>
      <c r="AK65" s="3032"/>
      <c r="AL65" s="3032"/>
      <c r="AM65" s="3032"/>
      <c r="AN65" s="3032"/>
      <c r="AO65" s="3386"/>
    </row>
    <row r="66" spans="1:42" ht="13.5" customHeight="1" thickBot="1">
      <c r="A66" s="857"/>
      <c r="B66" s="5930" t="b">
        <f>IF(OR(B57,B59,B61,B63,B65),TRUE,FALSE)</f>
        <v>0</v>
      </c>
      <c r="C66" s="5931"/>
      <c r="D66" s="5931"/>
      <c r="E66" s="4241" t="s">
        <v>3460</v>
      </c>
      <c r="F66" s="368"/>
      <c r="G66" s="368"/>
      <c r="H66" s="368"/>
      <c r="I66" s="368"/>
      <c r="J66" s="368"/>
      <c r="K66" s="368"/>
      <c r="L66" s="368"/>
      <c r="M66" s="368"/>
      <c r="N66" s="368"/>
      <c r="O66" s="368"/>
      <c r="P66" s="368"/>
      <c r="Q66" s="368"/>
      <c r="R66" s="368"/>
      <c r="S66" s="368"/>
      <c r="T66" s="368"/>
      <c r="U66" s="368"/>
      <c r="V66" s="368"/>
      <c r="W66" s="368"/>
      <c r="X66" s="962"/>
      <c r="Y66" s="4440"/>
      <c r="Z66" s="614"/>
      <c r="AA66" s="2070"/>
      <c r="AB66" s="2070"/>
      <c r="AC66" s="4467" t="b">
        <f>IF(Y78&lt;&gt;1,FALSE,IF(AC65&gt;AC61,TRUE,FALSE))</f>
        <v>0</v>
      </c>
      <c r="AD66" s="4467"/>
      <c r="AE66" s="2070"/>
      <c r="AF66" s="2070"/>
      <c r="AG66" s="4436" t="str">
        <f>"more than "&amp;TEXT(AC59,"$0,000")&amp;" ("&amp;TEXT(AC60,"$0,000")&amp;" if married filing separately), enter"</f>
        <v>more than $150,000 ($75,000 if married filing separately), enter</v>
      </c>
      <c r="AH66" s="2399"/>
      <c r="AI66" s="2399"/>
      <c r="AJ66" s="2399"/>
      <c r="AK66" s="2399"/>
      <c r="AL66" s="2399"/>
      <c r="AM66" s="2399"/>
      <c r="AN66" s="3032"/>
      <c r="AO66" s="3386"/>
    </row>
    <row r="67" spans="1:42" s="1374" customFormat="1" ht="17.25" customHeight="1">
      <c r="A67" s="1368"/>
      <c r="B67" s="4243"/>
      <c r="C67" s="4249" t="s">
        <v>3463</v>
      </c>
      <c r="D67" s="4244"/>
      <c r="E67" s="4243"/>
      <c r="F67" s="4243"/>
      <c r="G67" s="4243"/>
      <c r="H67" s="4243"/>
      <c r="I67" s="4243"/>
      <c r="J67" s="4243"/>
      <c r="K67" s="4243"/>
      <c r="L67" s="4243"/>
      <c r="M67" s="4243"/>
      <c r="N67" s="4243"/>
      <c r="O67" s="4243"/>
      <c r="P67" s="4243"/>
      <c r="Q67" s="4245" t="s">
        <v>3462</v>
      </c>
      <c r="R67" s="4246"/>
      <c r="S67" s="4315" t="b">
        <f>IF(AND(D65&lt;&gt;"",Q42&gt;=U45),TRUE,FALSE)</f>
        <v>0</v>
      </c>
      <c r="T67" s="4243"/>
      <c r="U67" s="4247" t="s">
        <v>3461</v>
      </c>
      <c r="V67" s="4243"/>
      <c r="W67" s="4247" t="str">
        <f>"("&amp;TaxYear&amp;")"</f>
        <v>(2016)</v>
      </c>
      <c r="X67" s="1372"/>
      <c r="Y67" s="2146"/>
      <c r="Z67" s="614"/>
      <c r="AA67" s="2070"/>
      <c r="AB67" s="2070"/>
      <c r="AC67" s="4462">
        <v>1.1000000000000001</v>
      </c>
      <c r="AD67" s="4462"/>
      <c r="AE67" s="2070"/>
      <c r="AF67" s="2070"/>
      <c r="AG67" s="4436" t="str">
        <f>TEXT(AC67,"0%")&amp;" of the amount of the tax computed earlier."</f>
        <v>110% of the amount of the tax computed earlier.</v>
      </c>
      <c r="AH67" s="2399"/>
      <c r="AI67" s="2399"/>
      <c r="AJ67" s="2399"/>
      <c r="AK67" s="2399"/>
      <c r="AL67" s="2399"/>
      <c r="AM67" s="2399"/>
      <c r="AN67" s="4311"/>
      <c r="AO67" s="4453"/>
    </row>
    <row r="68" spans="1:42" ht="20.25" customHeight="1" thickBot="1">
      <c r="A68" s="857"/>
      <c r="B68" s="67"/>
      <c r="C68" s="3119" t="str">
        <f>"Form 2210 ("&amp;TaxYear&amp;")"</f>
        <v>Form 2210 (2016)</v>
      </c>
      <c r="D68" s="451"/>
      <c r="E68" s="52"/>
      <c r="F68" s="52"/>
      <c r="G68" s="52"/>
      <c r="H68" s="52"/>
      <c r="I68" s="52"/>
      <c r="J68" s="52"/>
      <c r="K68" s="52"/>
      <c r="L68" s="52"/>
      <c r="M68" s="52"/>
      <c r="N68" s="52"/>
      <c r="O68" s="52"/>
      <c r="P68" s="52"/>
      <c r="Q68" s="42"/>
      <c r="R68" s="618"/>
      <c r="S68" s="52"/>
      <c r="T68" s="52"/>
      <c r="U68" s="52"/>
      <c r="V68" s="4250"/>
      <c r="W68" s="4281" t="s">
        <v>3471</v>
      </c>
      <c r="X68" s="112"/>
      <c r="Y68" s="2400"/>
      <c r="Z68" s="614"/>
      <c r="AA68" s="2070"/>
      <c r="AB68" s="6008">
        <f>TaxYear-1</f>
        <v>2015</v>
      </c>
      <c r="AC68" s="4563"/>
      <c r="AD68" s="4563"/>
      <c r="AE68" s="5582"/>
      <c r="AF68" s="3032"/>
      <c r="AG68" s="5958" t="str">
        <f>"If you are filing a joint return for "&amp;TaxYear&amp;", but you didn't file a joint"</f>
        <v>If you are filing a joint return for 2016, but you didn't file a joint</v>
      </c>
      <c r="AH68" s="5959"/>
      <c r="AI68" s="5959"/>
      <c r="AJ68" s="5959"/>
      <c r="AK68" s="5959"/>
      <c r="AL68" s="5959"/>
      <c r="AM68" s="5960"/>
      <c r="AN68" s="6011"/>
      <c r="AO68" s="6012"/>
    </row>
    <row r="69" spans="1:42" ht="16.5" customHeight="1" thickBot="1">
      <c r="A69" s="857"/>
      <c r="B69" s="4251" t="s">
        <v>3472</v>
      </c>
      <c r="C69" s="4252"/>
      <c r="D69" s="4252"/>
      <c r="E69" s="4259" t="s">
        <v>3473</v>
      </c>
      <c r="F69" s="4253"/>
      <c r="G69" s="4253"/>
      <c r="H69" s="4253"/>
      <c r="I69" s="4253"/>
      <c r="J69" s="4253"/>
      <c r="K69" s="4253"/>
      <c r="L69" s="4253"/>
      <c r="M69" s="4253"/>
      <c r="N69" s="4253"/>
      <c r="O69" s="4253"/>
      <c r="P69" s="4253"/>
      <c r="Q69" s="4253"/>
      <c r="R69" s="4253"/>
      <c r="S69" s="4253"/>
      <c r="T69" s="4253"/>
      <c r="U69" s="4253"/>
      <c r="V69" s="4253"/>
      <c r="W69" s="4253"/>
      <c r="X69" s="962"/>
      <c r="Y69" s="4440"/>
      <c r="Z69" s="614"/>
      <c r="AA69" s="2070"/>
      <c r="AB69" s="6008" t="s">
        <v>125</v>
      </c>
      <c r="AC69" s="4563"/>
      <c r="AD69" s="4563"/>
      <c r="AE69" s="5582"/>
      <c r="AF69" s="3032"/>
      <c r="AG69" s="6013" t="str">
        <f>"return for "&amp;TaxYear-1&amp;", add your "&amp;TaxYear-1&amp;" tax (as figured earlier) to your"</f>
        <v>return for 2015, add your 2015 tax (as figured earlier) to your</v>
      </c>
      <c r="AH69" s="6014"/>
      <c r="AI69" s="6014"/>
      <c r="AJ69" s="6014"/>
      <c r="AK69" s="6014"/>
      <c r="AL69" s="6014"/>
      <c r="AM69" s="6015"/>
      <c r="AN69" s="6011"/>
      <c r="AO69" s="6012"/>
    </row>
    <row r="70" spans="1:42" ht="6" customHeight="1" thickBot="1">
      <c r="A70" s="857"/>
      <c r="B70" s="4254"/>
      <c r="C70" s="4254"/>
      <c r="D70" s="4254"/>
      <c r="E70" s="4254"/>
      <c r="F70" s="4254"/>
      <c r="G70" s="4254"/>
      <c r="H70" s="4254"/>
      <c r="I70" s="4254"/>
      <c r="J70" s="4254"/>
      <c r="K70" s="4254"/>
      <c r="L70" s="4254"/>
      <c r="M70" s="4254"/>
      <c r="N70" s="4254"/>
      <c r="O70" s="4254"/>
      <c r="P70" s="4254"/>
      <c r="Q70" s="4254"/>
      <c r="R70" s="4254"/>
      <c r="S70" s="4254"/>
      <c r="T70" s="4254"/>
      <c r="U70" s="4254"/>
      <c r="V70" s="4254"/>
      <c r="W70" s="4254"/>
      <c r="X70" s="112"/>
      <c r="Y70" s="2400"/>
      <c r="Z70" s="614"/>
      <c r="AA70" s="2070"/>
      <c r="AB70" s="2070"/>
      <c r="AC70" s="2070"/>
      <c r="AD70" s="2070"/>
      <c r="AE70" s="3032"/>
      <c r="AF70" s="3032"/>
      <c r="AG70" s="5958" t="str">
        <f>"spouse's "&amp;TaxYear-1&amp;" tax (as figured earlier) and enter the total on "&amp;CHAR(10)&amp;"line 8. If you filed a joint return for "&amp;TaxYear-1&amp;" but you aren't filing a joint"</f>
        <v>spouse's 2015 tax (as figured earlier) and enter the total on 
line 8. If you filed a joint return for 2015 but you aren't filing a joint</v>
      </c>
      <c r="AH70" s="5959"/>
      <c r="AI70" s="5959"/>
      <c r="AJ70" s="5959"/>
      <c r="AK70" s="5959"/>
      <c r="AL70" s="5959"/>
      <c r="AM70" s="5960"/>
      <c r="AN70" s="6011"/>
      <c r="AO70" s="6012"/>
    </row>
    <row r="71" spans="1:42" ht="17.100000000000001" customHeight="1" thickBot="1">
      <c r="A71" s="857"/>
      <c r="B71" s="4255"/>
      <c r="C71" s="4255"/>
      <c r="D71" s="4298" t="s">
        <v>3474</v>
      </c>
      <c r="E71" s="4255"/>
      <c r="F71" s="4255"/>
      <c r="G71" s="4255"/>
      <c r="H71" s="4255"/>
      <c r="I71" s="4272" t="s">
        <v>3476</v>
      </c>
      <c r="J71" s="4255"/>
      <c r="K71" s="4255"/>
      <c r="L71" s="4255"/>
      <c r="M71" s="4255"/>
      <c r="N71" s="4255"/>
      <c r="O71" s="4255"/>
      <c r="P71" s="4255"/>
      <c r="Q71" s="4255"/>
      <c r="R71" s="4255"/>
      <c r="S71" s="4255"/>
      <c r="T71" s="4255"/>
      <c r="U71" s="4255"/>
      <c r="V71" s="4255"/>
      <c r="W71" s="4255"/>
      <c r="X71" s="112"/>
      <c r="Y71" s="4464">
        <f>IF(AB71&lt;&gt;"",1,0)</f>
        <v>0</v>
      </c>
      <c r="Z71" s="4465" t="str">
        <f>IF($Y$78=0,"Indicate filing","")</f>
        <v>Indicate filing</v>
      </c>
      <c r="AA71" s="2070"/>
      <c r="AB71" s="2121"/>
      <c r="AC71" s="4463" t="s">
        <v>124</v>
      </c>
      <c r="AD71" s="4463"/>
      <c r="AE71" s="3032"/>
      <c r="AF71" s="3032"/>
      <c r="AG71" s="6016"/>
      <c r="AH71" s="5959"/>
      <c r="AI71" s="5959"/>
      <c r="AJ71" s="5959"/>
      <c r="AK71" s="5959"/>
      <c r="AL71" s="5959"/>
      <c r="AM71" s="5960"/>
      <c r="AN71" s="6011"/>
      <c r="AO71" s="6012"/>
    </row>
    <row r="72" spans="1:42" ht="17.100000000000001" customHeight="1" thickBot="1">
      <c r="A72" s="857"/>
      <c r="B72" s="4255"/>
      <c r="C72" s="4255"/>
      <c r="D72" s="4298" t="s">
        <v>3475</v>
      </c>
      <c r="E72" s="4255"/>
      <c r="F72" s="4255"/>
      <c r="G72" s="4255"/>
      <c r="H72" s="4460" t="s">
        <v>2552</v>
      </c>
      <c r="I72" s="4257" t="s">
        <v>198</v>
      </c>
      <c r="J72" s="4224" t="s">
        <v>3477</v>
      </c>
      <c r="K72" s="4224"/>
      <c r="L72" s="4208"/>
      <c r="M72" s="4208"/>
      <c r="N72" s="4208"/>
      <c r="O72" s="4255"/>
      <c r="P72" s="4255"/>
      <c r="Q72" s="4255"/>
      <c r="R72" s="4255"/>
      <c r="S72" s="4255"/>
      <c r="T72" s="4255"/>
      <c r="U72" s="4255"/>
      <c r="V72" s="4255"/>
      <c r="W72" s="4255"/>
      <c r="X72" s="112"/>
      <c r="Y72" s="4464">
        <f>IF(AB72&lt;&gt;"",1,0)</f>
        <v>0</v>
      </c>
      <c r="Z72" s="4465" t="str">
        <f>IF($Y$78=0,"status for",IF($Y$78&gt;1,"Check only",""))</f>
        <v>status for</v>
      </c>
      <c r="AA72" s="2070"/>
      <c r="AB72" s="2121"/>
      <c r="AC72" s="4463" t="s">
        <v>2675</v>
      </c>
      <c r="AD72" s="4463"/>
      <c r="AE72" s="3386"/>
      <c r="AF72" s="3032"/>
      <c r="AG72" s="5958" t="str">
        <f>"return for "&amp;TaxYear&amp;", see Pub. 505, chapter 4, General Rule, to figure"</f>
        <v>return for 2016, see Pub. 505, chapter 4, General Rule, to figure</v>
      </c>
      <c r="AH72" s="5959"/>
      <c r="AI72" s="5959"/>
      <c r="AJ72" s="5959"/>
      <c r="AK72" s="5959"/>
      <c r="AL72" s="5959"/>
      <c r="AM72" s="5960"/>
      <c r="AN72" s="6011"/>
      <c r="AO72" s="6012"/>
    </row>
    <row r="73" spans="1:42" ht="14.25" customHeight="1" thickBot="1">
      <c r="A73" s="857"/>
      <c r="B73" s="4255"/>
      <c r="C73" s="4255"/>
      <c r="D73" s="4208"/>
      <c r="E73" s="4255"/>
      <c r="F73" s="4255"/>
      <c r="G73" s="4255"/>
      <c r="H73" s="4255"/>
      <c r="I73" s="4208"/>
      <c r="J73" s="4224" t="s">
        <v>3499</v>
      </c>
      <c r="K73" s="4224"/>
      <c r="L73" s="4208"/>
      <c r="M73" s="4208"/>
      <c r="N73" s="4208"/>
      <c r="O73" s="4255"/>
      <c r="P73" s="4255"/>
      <c r="Q73" s="4255"/>
      <c r="R73" s="4255"/>
      <c r="S73" s="4255"/>
      <c r="T73" s="4255"/>
      <c r="U73" s="4255"/>
      <c r="V73" s="4255"/>
      <c r="W73" s="4457" t="b">
        <f>IF(OR(H72&lt;&gt;"",H74&lt;&gt;""),TRUE,FALSE)</f>
        <v>1</v>
      </c>
      <c r="X73" s="112"/>
      <c r="Y73" s="4464">
        <f>IF(AB73&lt;&gt;"",1,0)</f>
        <v>0</v>
      </c>
      <c r="Z73" s="4465" t="str">
        <f>IF($Y$78=0,"tax year",IF($Y$78&gt;1,"one box.",""))</f>
        <v>tax year</v>
      </c>
      <c r="AA73" s="2070"/>
      <c r="AB73" s="2121"/>
      <c r="AC73" s="4463" t="s">
        <v>3751</v>
      </c>
      <c r="AD73" s="4463"/>
      <c r="AE73" s="2070"/>
      <c r="AF73" s="2070"/>
      <c r="AG73" s="5958" t="str">
        <f>"your share of the "&amp;TaxYear-1&amp;" tax to enter on line 8. If you didn't file a"</f>
        <v>your share of the 2015 tax to enter on line 8. If you didn't file a</v>
      </c>
      <c r="AH73" s="5959"/>
      <c r="AI73" s="5959"/>
      <c r="AJ73" s="5959"/>
      <c r="AK73" s="5959"/>
      <c r="AL73" s="5959"/>
      <c r="AM73" s="5960"/>
      <c r="AN73" s="3032"/>
      <c r="AO73" s="3386"/>
    </row>
    <row r="74" spans="1:42" ht="12.75" customHeight="1" thickBot="1">
      <c r="A74" s="857"/>
      <c r="B74" s="4255"/>
      <c r="C74" s="4255"/>
      <c r="D74" s="4208"/>
      <c r="E74" s="4255"/>
      <c r="F74" s="4255"/>
      <c r="G74" s="4255"/>
      <c r="H74" s="4460"/>
      <c r="I74" s="4257" t="s">
        <v>198</v>
      </c>
      <c r="J74" s="4224" t="s">
        <v>3478</v>
      </c>
      <c r="K74" s="4224"/>
      <c r="L74" s="4208"/>
      <c r="M74" s="4208"/>
      <c r="N74" s="4208"/>
      <c r="O74" s="4255"/>
      <c r="P74" s="4255"/>
      <c r="Q74" s="4255"/>
      <c r="R74" s="4255"/>
      <c r="S74" s="4255"/>
      <c r="T74" s="4255"/>
      <c r="U74" s="4255"/>
      <c r="V74" s="4255"/>
      <c r="W74" s="4255"/>
      <c r="X74" s="112"/>
      <c r="Y74" s="4464">
        <f>IF(AB74&lt;&gt;"",1,0)</f>
        <v>0</v>
      </c>
      <c r="Z74" s="4465" t="str">
        <f>IF($Y$78=0,TaxYear-1&amp;".","")</f>
        <v>2015.</v>
      </c>
      <c r="AA74" s="2070"/>
      <c r="AB74" s="2121"/>
      <c r="AC74" s="4463" t="s">
        <v>3753</v>
      </c>
      <c r="AD74" s="4463"/>
      <c r="AE74" s="2070"/>
      <c r="AF74" s="2070"/>
      <c r="AG74" s="5958" t="str">
        <f>"return for "&amp;TaxYear-1&amp;" or your "&amp;TaxYear-1&amp;" tax year was less than 12 months,"</f>
        <v>return for 2015 or your 2015 tax year was less than 12 months,</v>
      </c>
      <c r="AH74" s="5959"/>
      <c r="AI74" s="5959"/>
      <c r="AJ74" s="5959"/>
      <c r="AK74" s="5959"/>
      <c r="AL74" s="5959"/>
      <c r="AM74" s="5960"/>
      <c r="AN74" s="3032"/>
      <c r="AO74" s="3386"/>
    </row>
    <row r="75" spans="1:42" ht="12.75" customHeight="1" thickBot="1">
      <c r="A75" s="857"/>
      <c r="B75" s="4255"/>
      <c r="C75" s="4255"/>
      <c r="D75" s="4208"/>
      <c r="E75" s="4255"/>
      <c r="F75" s="4255"/>
      <c r="G75" s="4255"/>
      <c r="H75" s="4255"/>
      <c r="I75" s="4208"/>
      <c r="J75" s="4224" t="s">
        <v>3479</v>
      </c>
      <c r="K75" s="4224"/>
      <c r="L75" s="4208"/>
      <c r="M75" s="4208"/>
      <c r="N75" s="4208"/>
      <c r="O75" s="4255"/>
      <c r="P75" s="4255"/>
      <c r="Q75" s="4255"/>
      <c r="R75" s="4255"/>
      <c r="S75" s="4255"/>
      <c r="T75" s="4255"/>
      <c r="U75" s="4255"/>
      <c r="V75" s="4255"/>
      <c r="W75" s="4255"/>
      <c r="X75" s="112"/>
      <c r="Y75" s="4464">
        <f>IF(AB75&lt;&gt;"",1,0)</f>
        <v>0</v>
      </c>
      <c r="Z75" s="4466"/>
      <c r="AA75" s="2070"/>
      <c r="AB75" s="2121"/>
      <c r="AC75" s="4463" t="s">
        <v>3752</v>
      </c>
      <c r="AD75" s="4463"/>
      <c r="AE75" s="2070"/>
      <c r="AF75" s="2070"/>
      <c r="AG75" s="6013" t="s">
        <v>3725</v>
      </c>
      <c r="AH75" s="6014"/>
      <c r="AI75" s="6014"/>
      <c r="AJ75" s="6014"/>
      <c r="AK75" s="6014"/>
      <c r="AL75" s="6014"/>
      <c r="AM75" s="6015"/>
      <c r="AN75" s="6011"/>
      <c r="AO75" s="6012"/>
    </row>
    <row r="76" spans="1:42" ht="8.25" customHeight="1">
      <c r="A76" s="857"/>
      <c r="B76" s="4258"/>
      <c r="C76" s="4258"/>
      <c r="D76" s="4256"/>
      <c r="E76" s="4258"/>
      <c r="F76" s="4258"/>
      <c r="G76" s="4258"/>
      <c r="H76" s="4258"/>
      <c r="I76" s="4256"/>
      <c r="J76" s="4256"/>
      <c r="K76" s="4256"/>
      <c r="L76" s="4256"/>
      <c r="M76" s="4256"/>
      <c r="N76" s="4256"/>
      <c r="O76" s="4258"/>
      <c r="P76" s="4258"/>
      <c r="Q76" s="4258"/>
      <c r="R76" s="4258"/>
      <c r="S76" s="4258"/>
      <c r="T76" s="4258"/>
      <c r="U76" s="4258"/>
      <c r="V76" s="4258"/>
      <c r="W76" s="4258"/>
      <c r="X76" s="112"/>
      <c r="Y76" s="4464"/>
      <c r="Z76" s="614"/>
      <c r="AA76" s="2070"/>
      <c r="AB76" s="2070"/>
      <c r="AC76" s="2070"/>
      <c r="AD76" s="2070"/>
      <c r="AE76" s="2070"/>
      <c r="AF76" s="2070"/>
      <c r="AG76" s="6017"/>
      <c r="AH76" s="6014"/>
      <c r="AI76" s="6014"/>
      <c r="AJ76" s="6014"/>
      <c r="AK76" s="6014"/>
      <c r="AL76" s="6014"/>
      <c r="AM76" s="6015"/>
      <c r="AN76" s="6011"/>
      <c r="AO76" s="6012"/>
    </row>
    <row r="77" spans="1:42" ht="6" customHeight="1">
      <c r="A77" s="857"/>
      <c r="B77" s="4261"/>
      <c r="C77" s="4261"/>
      <c r="D77" s="4261"/>
      <c r="E77" s="4261"/>
      <c r="F77" s="4261"/>
      <c r="G77" s="4261"/>
      <c r="H77" s="4261"/>
      <c r="I77" s="4261"/>
      <c r="J77" s="4261"/>
      <c r="K77" s="4261"/>
      <c r="L77" s="4261"/>
      <c r="M77" s="4261"/>
      <c r="N77" s="4261"/>
      <c r="O77" s="4261"/>
      <c r="P77" s="4261"/>
      <c r="Q77" s="4261"/>
      <c r="R77" s="4261"/>
      <c r="S77" s="4261"/>
      <c r="T77" s="4261"/>
      <c r="U77" s="4261"/>
      <c r="V77" s="4261"/>
      <c r="W77" s="4261"/>
      <c r="X77" s="112"/>
      <c r="Y77" s="4464"/>
      <c r="Z77" s="614"/>
      <c r="AA77" s="2070"/>
      <c r="AB77" s="2070"/>
      <c r="AC77" s="2070"/>
      <c r="AD77" s="2070"/>
      <c r="AE77" s="2070"/>
      <c r="AF77" s="2070"/>
      <c r="AG77" s="5961" t="s">
        <v>3726</v>
      </c>
      <c r="AH77" s="5962"/>
      <c r="AI77" s="5962"/>
      <c r="AJ77" s="5962"/>
      <c r="AK77" s="5962"/>
      <c r="AL77" s="5962"/>
      <c r="AM77" s="5963"/>
      <c r="AN77" s="3032"/>
      <c r="AO77" s="3386"/>
    </row>
    <row r="78" spans="1:42" ht="17.45" customHeight="1" thickBot="1">
      <c r="A78" s="857"/>
      <c r="B78" s="4255"/>
      <c r="C78" s="4255"/>
      <c r="D78" s="4298" t="s">
        <v>3480</v>
      </c>
      <c r="E78" s="4255"/>
      <c r="F78" s="4255"/>
      <c r="G78" s="4255"/>
      <c r="H78" s="4255"/>
      <c r="I78" s="4272" t="s">
        <v>3482</v>
      </c>
      <c r="J78" s="4255"/>
      <c r="K78" s="4255"/>
      <c r="L78" s="4255"/>
      <c r="M78" s="4255"/>
      <c r="N78" s="4255"/>
      <c r="O78" s="4255"/>
      <c r="P78" s="4255"/>
      <c r="Q78" s="4255"/>
      <c r="R78" s="4255"/>
      <c r="S78" s="4255"/>
      <c r="T78" s="4255"/>
      <c r="U78" s="4255"/>
      <c r="V78" s="4255"/>
      <c r="W78" s="4255"/>
      <c r="X78" s="112"/>
      <c r="Y78" s="4464">
        <f>SUM(Y71:Y75)</f>
        <v>0</v>
      </c>
      <c r="Z78" s="614"/>
      <c r="AA78" s="2070"/>
      <c r="AB78" s="2070"/>
      <c r="AC78" s="6009" t="b">
        <f>IF(AND(AC33&lt;&gt;"",AC49&lt;&gt;"",AC65&lt;&gt;"",Y78=1),TRUE,FALSE)</f>
        <v>0</v>
      </c>
      <c r="AD78" s="6010"/>
      <c r="AE78" s="6010"/>
      <c r="AF78" s="2070"/>
      <c r="AG78" s="5964"/>
      <c r="AH78" s="5965"/>
      <c r="AI78" s="5965"/>
      <c r="AJ78" s="5965"/>
      <c r="AK78" s="5965"/>
      <c r="AL78" s="5965"/>
      <c r="AM78" s="5965"/>
      <c r="AN78" s="3391"/>
      <c r="AO78" s="3392"/>
    </row>
    <row r="79" spans="1:42" ht="17.45" customHeight="1" thickBot="1">
      <c r="A79" s="857"/>
      <c r="B79" s="4255"/>
      <c r="C79" s="4255"/>
      <c r="D79" s="4298" t="s">
        <v>3481</v>
      </c>
      <c r="E79" s="4255"/>
      <c r="F79" s="4255"/>
      <c r="G79" s="4255"/>
      <c r="H79" s="4460"/>
      <c r="I79" s="4257" t="s">
        <v>198</v>
      </c>
      <c r="J79" s="4224" t="s">
        <v>3483</v>
      </c>
      <c r="K79" s="4224"/>
      <c r="L79" s="4208"/>
      <c r="M79" s="4208"/>
      <c r="N79" s="4208"/>
      <c r="O79" s="4255"/>
      <c r="P79" s="4255"/>
      <c r="Q79" s="4255"/>
      <c r="R79" s="4255"/>
      <c r="S79" s="4255"/>
      <c r="T79" s="4255"/>
      <c r="U79" s="4255"/>
      <c r="V79" s="4255"/>
      <c r="W79" s="4255"/>
      <c r="X79" s="112"/>
      <c r="Y79" s="2400"/>
      <c r="Z79" s="614"/>
      <c r="AA79" s="4484" t="str">
        <f>IF(OR($B$66,$W$80),"","Note: If you wish to use the")</f>
        <v>Note: If you wish to use the</v>
      </c>
      <c r="AB79" s="2070"/>
      <c r="AC79" s="2070"/>
      <c r="AD79" s="2070"/>
      <c r="AE79" s="2070"/>
      <c r="AF79" s="2070"/>
      <c r="AG79" s="2070"/>
      <c r="AH79" s="2070"/>
      <c r="AI79" s="2070"/>
      <c r="AJ79" s="2070"/>
      <c r="AK79" s="2070"/>
      <c r="AL79" s="2070"/>
      <c r="AM79" s="2070"/>
      <c r="AN79" s="2070"/>
      <c r="AO79" s="2070"/>
      <c r="AP79" s="2070"/>
    </row>
    <row r="80" spans="1:42" ht="15" customHeight="1" thickBot="1">
      <c r="A80" s="857"/>
      <c r="B80" s="4255"/>
      <c r="C80" s="4255"/>
      <c r="D80" s="4208"/>
      <c r="E80" s="4255"/>
      <c r="F80" s="4255"/>
      <c r="G80" s="4314"/>
      <c r="H80" s="4459" t="str">
        <f>IF(OR($B$61,$B$63),"X","")</f>
        <v/>
      </c>
      <c r="I80" s="4257" t="s">
        <v>198</v>
      </c>
      <c r="J80" s="4224" t="s">
        <v>3498</v>
      </c>
      <c r="K80" s="4224"/>
      <c r="L80" s="4208"/>
      <c r="M80" s="4208"/>
      <c r="N80" s="4208"/>
      <c r="O80" s="4255"/>
      <c r="P80" s="4255"/>
      <c r="Q80" s="4255"/>
      <c r="R80" s="4255"/>
      <c r="S80" s="4255"/>
      <c r="T80" s="4255"/>
      <c r="U80" s="4255"/>
      <c r="V80" s="4255"/>
      <c r="W80" s="4457" t="b">
        <f>IF(OR(H79&lt;&gt;"",D61&lt;&gt;"",D63&lt;&gt;"",H81&lt;&gt;""),TRUE,FALSE)</f>
        <v>0</v>
      </c>
      <c r="X80" s="112"/>
      <c r="Y80" s="2400"/>
      <c r="Z80" s="614"/>
      <c r="AA80" s="4484" t="str">
        <f>IF(OR($B$66,$W$80),"","Regular Method, check either")</f>
        <v>Regular Method, check either</v>
      </c>
      <c r="AB80" s="2070"/>
      <c r="AC80" s="2070"/>
      <c r="AD80" s="2070"/>
      <c r="AE80" s="2070"/>
      <c r="AF80" s="2070"/>
    </row>
    <row r="81" spans="1:32" ht="12.75" customHeight="1" thickBot="1">
      <c r="A81" s="857"/>
      <c r="B81" s="4255"/>
      <c r="C81" s="4255"/>
      <c r="D81" s="4208"/>
      <c r="E81" s="4255"/>
      <c r="F81" s="4255"/>
      <c r="G81" s="4255"/>
      <c r="H81" s="4460"/>
      <c r="I81" s="4257" t="s">
        <v>198</v>
      </c>
      <c r="J81" s="4224" t="s">
        <v>3484</v>
      </c>
      <c r="K81" s="4224"/>
      <c r="L81" s="4208"/>
      <c r="M81" s="4208"/>
      <c r="N81" s="4208"/>
      <c r="O81" s="4255"/>
      <c r="P81" s="4255"/>
      <c r="Q81" s="4255"/>
      <c r="R81" s="4255"/>
      <c r="S81" s="4255"/>
      <c r="T81" s="4255"/>
      <c r="U81" s="4255"/>
      <c r="V81" s="4255"/>
      <c r="W81" s="4255"/>
      <c r="X81" s="112"/>
      <c r="Y81" s="2400"/>
      <c r="Z81" s="614"/>
      <c r="AA81" s="4484" t="str">
        <f>IF(OR($B$66,$W$80),"","the top or bottom box.")</f>
        <v>the top or bottom box.</v>
      </c>
      <c r="AB81" s="2070"/>
      <c r="AC81" s="2070"/>
      <c r="AD81" s="2070"/>
      <c r="AE81" s="2070"/>
      <c r="AF81" s="2070"/>
    </row>
    <row r="82" spans="1:32" ht="12.75" customHeight="1">
      <c r="A82" s="857"/>
      <c r="B82" s="4255"/>
      <c r="C82" s="4255"/>
      <c r="D82" s="4208"/>
      <c r="E82" s="4255"/>
      <c r="F82" s="4255"/>
      <c r="G82" s="4255"/>
      <c r="H82" s="4255"/>
      <c r="I82" s="4208"/>
      <c r="J82" s="4224" t="s">
        <v>3485</v>
      </c>
      <c r="K82" s="4224"/>
      <c r="L82" s="4208"/>
      <c r="M82" s="4208"/>
      <c r="N82" s="4208"/>
      <c r="O82" s="4255"/>
      <c r="P82" s="4255"/>
      <c r="Q82" s="4255"/>
      <c r="R82" s="4255"/>
      <c r="S82" s="4255"/>
      <c r="T82" s="4255"/>
      <c r="U82" s="4255"/>
      <c r="V82" s="4255"/>
      <c r="W82" s="4255"/>
      <c r="X82" s="112"/>
      <c r="Y82" s="2400"/>
      <c r="Z82" s="614"/>
      <c r="AA82" s="2070"/>
      <c r="AB82" s="2070"/>
      <c r="AC82" s="2070"/>
      <c r="AD82" s="2070"/>
      <c r="AE82" s="2070"/>
      <c r="AF82" s="2070"/>
    </row>
    <row r="83" spans="1:32" s="3" customFormat="1" ht="15.75" customHeight="1">
      <c r="A83" s="936"/>
      <c r="B83" s="4255"/>
      <c r="C83" s="4255"/>
      <c r="D83" s="3604" t="s">
        <v>3486</v>
      </c>
      <c r="E83" s="4255"/>
      <c r="F83" s="4255"/>
      <c r="G83" s="4255"/>
      <c r="H83" s="4255"/>
      <c r="I83" s="4208"/>
      <c r="J83" s="4208"/>
      <c r="K83" s="4208"/>
      <c r="L83" s="4208"/>
      <c r="M83" s="4208"/>
      <c r="N83" s="4208"/>
      <c r="O83" s="4255"/>
      <c r="P83" s="4255"/>
      <c r="Q83" s="4255"/>
      <c r="R83" s="4255"/>
      <c r="S83" s="4255"/>
      <c r="T83" s="4255"/>
      <c r="U83" s="4255"/>
      <c r="V83" s="4255"/>
      <c r="W83" s="4255"/>
      <c r="X83" s="130"/>
      <c r="Y83" s="2146"/>
      <c r="Z83" s="4262"/>
      <c r="AA83" s="2070"/>
      <c r="AB83" s="2070"/>
      <c r="AC83" s="2070"/>
      <c r="AD83" s="2070"/>
      <c r="AE83" s="2070"/>
      <c r="AF83" s="2070"/>
    </row>
    <row r="84" spans="1:32" s="3" customFormat="1" ht="12.75" customHeight="1">
      <c r="A84" s="936"/>
      <c r="B84" s="4255"/>
      <c r="C84" s="4255"/>
      <c r="D84" s="3604"/>
      <c r="E84" s="3604" t="s">
        <v>3487</v>
      </c>
      <c r="F84" s="4255"/>
      <c r="G84" s="4255"/>
      <c r="H84" s="4255"/>
      <c r="I84" s="4208"/>
      <c r="J84" s="4208"/>
      <c r="K84" s="4208"/>
      <c r="L84" s="4208"/>
      <c r="M84" s="4208"/>
      <c r="N84" s="4208"/>
      <c r="O84" s="4255"/>
      <c r="P84" s="4255"/>
      <c r="Q84" s="4255"/>
      <c r="R84" s="4255"/>
      <c r="S84" s="4255"/>
      <c r="T84" s="4255"/>
      <c r="U84" s="4255"/>
      <c r="V84" s="4255"/>
      <c r="W84" s="4255"/>
      <c r="X84" s="130"/>
      <c r="Y84" s="2146"/>
      <c r="Z84" s="4262"/>
      <c r="AA84" s="2070"/>
      <c r="AB84" s="2070"/>
      <c r="AC84" s="2070"/>
      <c r="AD84" s="2070"/>
      <c r="AE84" s="2070"/>
      <c r="AF84" s="2070"/>
    </row>
    <row r="85" spans="1:32" ht="9" customHeight="1">
      <c r="A85" s="857"/>
      <c r="B85" s="4263"/>
      <c r="C85" s="4264"/>
      <c r="D85" s="4264"/>
      <c r="E85" s="4264"/>
      <c r="F85" s="4264"/>
      <c r="G85" s="4264"/>
      <c r="H85" s="4264"/>
      <c r="I85" s="4264"/>
      <c r="J85" s="4264"/>
      <c r="K85" s="4264"/>
      <c r="L85" s="4264"/>
      <c r="M85" s="4264"/>
      <c r="N85" s="4264"/>
      <c r="O85" s="4264"/>
      <c r="P85" s="4264"/>
      <c r="Q85" s="4264"/>
      <c r="R85" s="4264"/>
      <c r="S85" s="4264"/>
      <c r="T85" s="4264"/>
      <c r="U85" s="4264"/>
      <c r="V85" s="4264"/>
      <c r="W85" s="4264"/>
      <c r="X85" s="112"/>
      <c r="Y85" s="2400"/>
      <c r="Z85" s="4262"/>
      <c r="AA85" s="2070"/>
      <c r="AB85" s="2070"/>
      <c r="AC85" s="2070"/>
      <c r="AD85" s="2070"/>
      <c r="AE85" s="2070"/>
      <c r="AF85" s="2070"/>
    </row>
    <row r="86" spans="1:32" ht="10.5" customHeight="1">
      <c r="A86" s="857"/>
      <c r="B86" s="4265"/>
      <c r="C86" s="4266"/>
      <c r="D86" s="4266"/>
      <c r="E86" s="4266"/>
      <c r="F86" s="4266"/>
      <c r="G86" s="4266"/>
      <c r="H86" s="4266"/>
      <c r="I86" s="4266"/>
      <c r="J86" s="4266"/>
      <c r="K86" s="4266"/>
      <c r="L86" s="4266"/>
      <c r="M86" s="4266"/>
      <c r="N86" s="4266"/>
      <c r="O86" s="4266"/>
      <c r="P86" s="4266"/>
      <c r="Q86" s="4266"/>
      <c r="R86" s="4266"/>
      <c r="S86" s="4266"/>
      <c r="T86" s="4266"/>
      <c r="U86" s="4266"/>
      <c r="V86" s="4266"/>
      <c r="W86" s="4266"/>
      <c r="X86" s="963"/>
      <c r="Y86" s="4441"/>
      <c r="Z86" s="4262"/>
    </row>
    <row r="87" spans="1:32" ht="16.5" customHeight="1">
      <c r="A87" s="857"/>
      <c r="B87" s="1694"/>
      <c r="C87" s="576">
        <v>10</v>
      </c>
      <c r="D87" s="1497" t="s">
        <v>3488</v>
      </c>
      <c r="E87" s="620"/>
      <c r="F87" s="620"/>
      <c r="G87" s="620"/>
      <c r="H87" s="620"/>
      <c r="I87" s="620"/>
      <c r="J87" s="620"/>
      <c r="K87" s="620"/>
      <c r="L87" s="621"/>
      <c r="M87" s="621"/>
      <c r="N87" s="621"/>
      <c r="O87" s="620"/>
      <c r="P87" s="620"/>
      <c r="Q87" s="620"/>
      <c r="R87" s="620"/>
      <c r="S87" s="2753" t="s">
        <v>154</v>
      </c>
      <c r="T87" s="779">
        <v>10</v>
      </c>
      <c r="U87" s="5607" t="str">
        <f>IF($W$80,"",U46)</f>
        <v/>
      </c>
      <c r="V87" s="5608"/>
      <c r="W87" s="5608"/>
      <c r="X87" s="963"/>
      <c r="Y87" s="4441"/>
      <c r="Z87" s="4262"/>
    </row>
    <row r="88" spans="1:32" ht="8.25" customHeight="1">
      <c r="A88" s="857"/>
      <c r="B88" s="1464"/>
      <c r="C88" s="414"/>
      <c r="D88" s="414"/>
      <c r="E88" s="35"/>
      <c r="F88" s="35"/>
      <c r="G88" s="35"/>
      <c r="H88" s="35"/>
      <c r="I88" s="35"/>
      <c r="J88" s="35"/>
      <c r="K88" s="35"/>
      <c r="L88" s="44"/>
      <c r="M88" s="44"/>
      <c r="N88" s="44"/>
      <c r="O88" s="35"/>
      <c r="P88" s="60"/>
      <c r="Q88" s="3170"/>
      <c r="R88" s="4267"/>
      <c r="S88" s="35"/>
      <c r="T88" s="615"/>
      <c r="U88" s="83"/>
      <c r="V88" s="83"/>
      <c r="W88" s="83"/>
      <c r="X88" s="112"/>
      <c r="Y88" s="2400"/>
      <c r="Z88" s="4262"/>
    </row>
    <row r="89" spans="1:32" ht="13.5" customHeight="1">
      <c r="A89" s="857"/>
      <c r="B89" s="35"/>
      <c r="C89" s="452">
        <v>11</v>
      </c>
      <c r="D89" s="1464" t="s">
        <v>3489</v>
      </c>
      <c r="E89" s="35"/>
      <c r="F89" s="35"/>
      <c r="G89" s="35"/>
      <c r="H89" s="35"/>
      <c r="I89" s="35"/>
      <c r="J89" s="35"/>
      <c r="K89" s="35"/>
      <c r="L89" s="44"/>
      <c r="M89" s="44"/>
      <c r="N89" s="2753"/>
      <c r="O89" s="2753"/>
      <c r="P89" s="60"/>
      <c r="Q89" s="2753" t="s">
        <v>1000</v>
      </c>
      <c r="R89" s="4234">
        <v>11</v>
      </c>
      <c r="S89" s="4317" t="str">
        <f>IF($W$80,"",U43)</f>
        <v/>
      </c>
      <c r="T89" s="615"/>
      <c r="U89" s="532"/>
      <c r="V89" s="44"/>
      <c r="W89" s="44"/>
      <c r="X89" s="112"/>
      <c r="Y89" s="2400"/>
      <c r="Z89" s="4262"/>
    </row>
    <row r="90" spans="1:32" ht="8.25" customHeight="1">
      <c r="A90" s="857"/>
      <c r="B90" s="1464"/>
      <c r="C90" s="414"/>
      <c r="D90" s="414"/>
      <c r="E90" s="35"/>
      <c r="F90" s="35"/>
      <c r="G90" s="35"/>
      <c r="H90" s="35"/>
      <c r="I90" s="35"/>
      <c r="J90" s="35"/>
      <c r="K90" s="35"/>
      <c r="L90" s="44"/>
      <c r="M90" s="44"/>
      <c r="N90" s="44"/>
      <c r="O90" s="35"/>
      <c r="P90" s="60"/>
      <c r="Q90" s="4209"/>
      <c r="R90" s="4267"/>
      <c r="S90" s="4217"/>
      <c r="T90" s="615"/>
      <c r="U90" s="532"/>
      <c r="V90" s="44"/>
      <c r="W90" s="44"/>
      <c r="X90" s="112"/>
      <c r="Y90" s="2400"/>
      <c r="Z90" s="4262"/>
    </row>
    <row r="91" spans="1:32" ht="13.5" customHeight="1">
      <c r="A91" s="857"/>
      <c r="B91" s="35"/>
      <c r="C91" s="452">
        <v>12</v>
      </c>
      <c r="D91" s="1464" t="s">
        <v>3539</v>
      </c>
      <c r="E91" s="35"/>
      <c r="F91" s="35"/>
      <c r="G91" s="35"/>
      <c r="H91" s="35"/>
      <c r="I91" s="35"/>
      <c r="J91" s="35"/>
      <c r="K91" s="35"/>
      <c r="L91" s="44"/>
      <c r="M91" s="44"/>
      <c r="N91" s="44"/>
      <c r="O91" s="35"/>
      <c r="P91" s="60"/>
      <c r="Q91" s="2753" t="s">
        <v>931</v>
      </c>
      <c r="R91" s="4234">
        <v>12</v>
      </c>
      <c r="S91" s="4318"/>
      <c r="T91" s="615"/>
      <c r="U91" s="532"/>
      <c r="V91" s="44"/>
      <c r="W91" s="44"/>
      <c r="X91" s="112"/>
      <c r="Y91" s="2400"/>
      <c r="Z91" s="4262"/>
    </row>
    <row r="92" spans="1:32" ht="8.25" customHeight="1">
      <c r="A92" s="857"/>
      <c r="B92" s="1464"/>
      <c r="C92" s="414"/>
      <c r="D92" s="414"/>
      <c r="E92" s="35"/>
      <c r="F92" s="35"/>
      <c r="G92" s="35"/>
      <c r="H92" s="35"/>
      <c r="I92" s="35"/>
      <c r="J92" s="35"/>
      <c r="K92" s="35"/>
      <c r="L92" s="35"/>
      <c r="M92" s="35"/>
      <c r="N92" s="35"/>
      <c r="O92" s="35"/>
      <c r="P92" s="35"/>
      <c r="Q92" s="35"/>
      <c r="R92" s="35"/>
      <c r="S92" s="35"/>
      <c r="T92" s="615"/>
      <c r="U92" s="532"/>
      <c r="V92" s="44"/>
      <c r="W92" s="44"/>
      <c r="X92" s="112"/>
      <c r="Y92" s="2400"/>
      <c r="Z92" s="4262"/>
    </row>
    <row r="93" spans="1:32">
      <c r="A93" s="857"/>
      <c r="B93" s="1464"/>
      <c r="C93" s="452">
        <v>13</v>
      </c>
      <c r="D93" s="1464" t="s">
        <v>3490</v>
      </c>
      <c r="E93" s="35"/>
      <c r="F93" s="35"/>
      <c r="G93" s="35"/>
      <c r="H93" s="35"/>
      <c r="I93" s="35"/>
      <c r="J93" s="35"/>
      <c r="K93" s="35"/>
      <c r="L93" s="44"/>
      <c r="M93" s="44"/>
      <c r="N93" s="44"/>
      <c r="O93" s="35"/>
      <c r="P93" s="35"/>
      <c r="Q93" s="35"/>
      <c r="R93" s="35"/>
      <c r="S93" s="2753" t="s">
        <v>936</v>
      </c>
      <c r="T93" s="627">
        <v>13</v>
      </c>
      <c r="U93" s="5601">
        <f>IF($W$80,"",SUM(S89,S91))</f>
        <v>0</v>
      </c>
      <c r="V93" s="5602"/>
      <c r="W93" s="5602"/>
      <c r="X93" s="112"/>
      <c r="Y93" s="2400"/>
      <c r="Z93" s="4262"/>
    </row>
    <row r="94" spans="1:32" ht="6.75" customHeight="1">
      <c r="A94" s="857"/>
      <c r="B94" s="1464"/>
      <c r="C94" s="414"/>
      <c r="D94" s="1464"/>
      <c r="E94" s="35"/>
      <c r="F94" s="35"/>
      <c r="G94" s="35"/>
      <c r="H94" s="35"/>
      <c r="I94" s="35"/>
      <c r="J94" s="35"/>
      <c r="K94" s="35"/>
      <c r="L94" s="44"/>
      <c r="M94" s="44"/>
      <c r="N94" s="44"/>
      <c r="O94" s="35"/>
      <c r="P94" s="35"/>
      <c r="Q94" s="35"/>
      <c r="R94" s="35"/>
      <c r="S94" s="35"/>
      <c r="T94" s="1365"/>
      <c r="U94" s="532"/>
      <c r="V94" s="44"/>
      <c r="W94" s="44"/>
      <c r="X94" s="112"/>
      <c r="Y94" s="2400"/>
      <c r="Z94" s="4262"/>
    </row>
    <row r="95" spans="1:32" ht="12" customHeight="1" thickBot="1">
      <c r="A95" s="857"/>
      <c r="B95" s="35"/>
      <c r="C95" s="452">
        <v>14</v>
      </c>
      <c r="D95" s="1497" t="s">
        <v>3620</v>
      </c>
      <c r="E95" s="35"/>
      <c r="F95" s="35"/>
      <c r="G95" s="35"/>
      <c r="H95" s="35"/>
      <c r="I95" s="35"/>
      <c r="J95" s="35"/>
      <c r="K95" s="35"/>
      <c r="L95" s="44"/>
      <c r="M95" s="44"/>
      <c r="N95" s="1497" t="s">
        <v>3621</v>
      </c>
      <c r="O95" s="35"/>
      <c r="P95" s="35"/>
      <c r="Q95" s="35"/>
      <c r="R95" s="35"/>
      <c r="S95" s="35"/>
      <c r="T95" s="4268"/>
      <c r="U95" s="532"/>
      <c r="V95" s="44"/>
      <c r="W95" s="44"/>
      <c r="X95" s="112"/>
      <c r="Y95" s="2400"/>
      <c r="Z95" s="4262"/>
    </row>
    <row r="96" spans="1:32" ht="12" customHeight="1" thickBot="1">
      <c r="A96" s="857"/>
      <c r="B96" s="35"/>
      <c r="C96" s="414"/>
      <c r="D96" s="1497" t="s">
        <v>3491</v>
      </c>
      <c r="E96" s="35"/>
      <c r="F96" s="35"/>
      <c r="G96" s="35"/>
      <c r="H96" s="35"/>
      <c r="I96" s="35"/>
      <c r="J96" s="35"/>
      <c r="K96" s="35"/>
      <c r="L96" s="44"/>
      <c r="M96" s="44"/>
      <c r="N96" s="44"/>
      <c r="O96" s="35"/>
      <c r="P96" s="35"/>
      <c r="Q96" s="35"/>
      <c r="R96" s="35"/>
      <c r="S96" s="2753" t="s">
        <v>999</v>
      </c>
      <c r="T96" s="627">
        <v>14</v>
      </c>
      <c r="U96" s="5601">
        <f>IF(Z96&lt;&gt;"",ROUND(Z96,0),IF($W$80,"",SUM(U87,-U93)))</f>
        <v>0</v>
      </c>
      <c r="V96" s="5602"/>
      <c r="W96" s="5602"/>
      <c r="X96" s="112"/>
      <c r="Y96" s="2400"/>
      <c r="Z96" s="2593"/>
    </row>
    <row r="97" spans="1:50" ht="10.5" customHeight="1">
      <c r="A97" s="857"/>
      <c r="B97" s="35"/>
      <c r="C97" s="452"/>
      <c r="D97" s="1464"/>
      <c r="E97" s="35"/>
      <c r="F97" s="35"/>
      <c r="G97" s="35"/>
      <c r="H97" s="35"/>
      <c r="I97" s="35"/>
      <c r="J97" s="35"/>
      <c r="K97" s="35"/>
      <c r="L97" s="44"/>
      <c r="M97" s="44"/>
      <c r="N97" s="44"/>
      <c r="O97" s="35"/>
      <c r="P97" s="35"/>
      <c r="Q97" s="35"/>
      <c r="R97" s="35"/>
      <c r="S97" s="35"/>
      <c r="T97" s="1365"/>
      <c r="U97" s="5926">
        <v>2.656E-2</v>
      </c>
      <c r="V97" s="5927"/>
      <c r="W97" s="5927"/>
      <c r="X97" s="112"/>
      <c r="Y97" s="2400"/>
      <c r="Z97" s="4262"/>
    </row>
    <row r="98" spans="1:50" ht="12.75" customHeight="1">
      <c r="A98" s="857"/>
      <c r="B98" s="4219"/>
      <c r="C98" s="452">
        <v>15</v>
      </c>
      <c r="D98" s="1497" t="str">
        <f>"Multiply line 14 by "&amp;TEXT(U97,"0.00000")</f>
        <v>Multiply line 14 by 0.02656</v>
      </c>
      <c r="E98" s="4219"/>
      <c r="F98" s="4219"/>
      <c r="G98" s="4219"/>
      <c r="H98" s="4219"/>
      <c r="I98" s="4219"/>
      <c r="J98" s="4219"/>
      <c r="K98" s="4219"/>
      <c r="L98" s="368"/>
      <c r="M98" s="368"/>
      <c r="N98" s="368"/>
      <c r="O98" s="4219"/>
      <c r="P98" s="4219"/>
      <c r="Q98" s="4219"/>
      <c r="R98" s="4219"/>
      <c r="S98" s="2753" t="s">
        <v>2197</v>
      </c>
      <c r="T98" s="627">
        <v>15</v>
      </c>
      <c r="U98" s="5601">
        <f>IF($W$80,"",IF(U96&lt;0,"",U96*U97))</f>
        <v>0</v>
      </c>
      <c r="V98" s="5602"/>
      <c r="W98" s="5602"/>
      <c r="X98" s="962"/>
      <c r="Y98" s="4440"/>
      <c r="Z98" s="4262"/>
    </row>
    <row r="99" spans="1:50" ht="6.75" customHeight="1">
      <c r="A99" s="857"/>
      <c r="B99" s="4219"/>
      <c r="C99" s="452"/>
      <c r="D99" s="363"/>
      <c r="E99" s="4219"/>
      <c r="F99" s="4219"/>
      <c r="G99" s="4219"/>
      <c r="H99" s="4219"/>
      <c r="I99" s="4219"/>
      <c r="J99" s="4219"/>
      <c r="K99" s="4219"/>
      <c r="L99" s="368"/>
      <c r="M99" s="368"/>
      <c r="N99" s="368"/>
      <c r="O99" s="4219"/>
      <c r="P99" s="4219"/>
      <c r="Q99" s="4219"/>
      <c r="R99" s="4219"/>
      <c r="S99" s="4219"/>
      <c r="T99" s="615"/>
      <c r="U99" s="4269"/>
      <c r="V99" s="2616"/>
      <c r="W99" s="2616"/>
      <c r="X99" s="962"/>
      <c r="Y99" s="4440"/>
      <c r="Z99" s="4262"/>
    </row>
    <row r="100" spans="1:50" ht="13.5" customHeight="1" thickBot="1">
      <c r="A100" s="857"/>
      <c r="B100" s="4219"/>
      <c r="C100" s="452">
        <v>16</v>
      </c>
      <c r="D100" s="4257" t="s">
        <v>198</v>
      </c>
      <c r="E100" s="1497" t="s">
        <v>3501</v>
      </c>
      <c r="F100" s="4219"/>
      <c r="G100" s="4219"/>
      <c r="H100" s="4219"/>
      <c r="I100" s="4219"/>
      <c r="J100" s="4219"/>
      <c r="K100" s="4219" t="str">
        <f>$U$100&amp;", enter -0-."</f>
        <v>4/15/17, enter -0-.</v>
      </c>
      <c r="L100" s="368"/>
      <c r="M100" s="368"/>
      <c r="N100" s="368"/>
      <c r="O100" s="4219"/>
      <c r="P100" s="4219"/>
      <c r="Q100" s="4219"/>
      <c r="R100" s="4219"/>
      <c r="S100" s="4321" t="b">
        <f>IF(Z101&gt;=U101,TRUE,FALSE)</f>
        <v>1</v>
      </c>
      <c r="T100" s="615"/>
      <c r="U100" s="5810" t="str">
        <f>"4/15/"&amp;TaxYear-1999</f>
        <v>4/15/17</v>
      </c>
      <c r="V100" s="5815"/>
      <c r="W100" s="5815"/>
      <c r="X100" s="962"/>
      <c r="Y100" s="4440"/>
      <c r="Z100" s="4024" t="s">
        <v>3503</v>
      </c>
    </row>
    <row r="101" spans="1:50" ht="13.5" customHeight="1" thickBot="1">
      <c r="A101" s="857"/>
      <c r="B101" s="4219"/>
      <c r="C101" s="452"/>
      <c r="D101" s="4257" t="s">
        <v>198</v>
      </c>
      <c r="E101" s="1497" t="s">
        <v>3502</v>
      </c>
      <c r="F101" s="4219"/>
      <c r="G101" s="4219"/>
      <c r="H101" s="4219"/>
      <c r="I101" s="4219"/>
      <c r="J101" s="4219" t="str">
        <f>$U$100&amp;", make the following computation to find the"</f>
        <v>4/15/17, make the following computation to find the</v>
      </c>
      <c r="K101" s="4219"/>
      <c r="L101" s="368"/>
      <c r="M101" s="368"/>
      <c r="N101" s="368"/>
      <c r="O101" s="4219"/>
      <c r="P101" s="4219"/>
      <c r="Q101" s="4219"/>
      <c r="R101" s="4219"/>
      <c r="S101" s="4219"/>
      <c r="T101" s="615"/>
      <c r="U101" s="5816">
        <f>DATEVALUE(U100)</f>
        <v>42840</v>
      </c>
      <c r="V101" s="5817"/>
      <c r="W101" s="5817"/>
      <c r="X101" s="962"/>
      <c r="Y101" s="4440"/>
      <c r="Z101" s="4273">
        <f>U101</f>
        <v>42840</v>
      </c>
    </row>
    <row r="102" spans="1:50" ht="13.5" customHeight="1">
      <c r="A102" s="857"/>
      <c r="B102" s="4219"/>
      <c r="C102" s="452"/>
      <c r="D102" s="4257"/>
      <c r="E102" s="688" t="s">
        <v>3492</v>
      </c>
      <c r="F102" s="4219"/>
      <c r="G102" s="4219"/>
      <c r="H102" s="4219"/>
      <c r="I102" s="4219"/>
      <c r="J102" s="4219"/>
      <c r="K102" s="4219"/>
      <c r="L102" s="368"/>
      <c r="M102" s="368"/>
      <c r="N102" s="368"/>
      <c r="O102" s="4219"/>
      <c r="P102" s="4219"/>
      <c r="Q102" s="4219"/>
      <c r="R102" s="4219"/>
      <c r="S102" s="4219"/>
      <c r="T102" s="615"/>
      <c r="U102" s="5810">
        <f>IF($S$100,0,SUM(U101,-Z101))</f>
        <v>0</v>
      </c>
      <c r="V102" s="5811"/>
      <c r="W102" s="5811"/>
      <c r="X102" s="962"/>
      <c r="Y102" s="4440"/>
      <c r="Z102" s="4262"/>
      <c r="AB102" s="4207"/>
      <c r="AC102" s="4207"/>
      <c r="AD102" s="4427"/>
    </row>
    <row r="103" spans="1:50" s="4207" customFormat="1" ht="17.25" customHeight="1" thickBot="1">
      <c r="A103" s="945"/>
      <c r="B103" s="4217"/>
      <c r="C103" s="452"/>
      <c r="D103" s="4270"/>
      <c r="E103" s="643"/>
      <c r="F103" s="4217" t="s">
        <v>3493</v>
      </c>
      <c r="G103" s="4217"/>
      <c r="H103" s="4217"/>
      <c r="I103" s="4217" t="s">
        <v>3495</v>
      </c>
      <c r="J103" s="4217"/>
      <c r="K103" s="4217"/>
      <c r="L103" s="4205"/>
      <c r="M103" s="4205"/>
      <c r="N103" s="4205"/>
      <c r="O103" s="4217"/>
      <c r="P103" s="4217"/>
      <c r="Q103" s="4217"/>
      <c r="R103" s="4217"/>
      <c r="S103" s="4217"/>
      <c r="T103" s="615"/>
      <c r="U103" s="5808">
        <f>0.00011</f>
        <v>1.1E-4</v>
      </c>
      <c r="V103" s="5809"/>
      <c r="W103" s="5809"/>
      <c r="X103" s="961"/>
      <c r="Y103" s="4438"/>
      <c r="Z103" s="4262"/>
      <c r="AA103"/>
      <c r="AB103"/>
      <c r="AC103"/>
      <c r="AD103"/>
      <c r="AG103" s="4456"/>
      <c r="AH103" s="4456"/>
      <c r="AJ103" s="4416"/>
      <c r="AK103"/>
      <c r="AL103"/>
      <c r="AM103"/>
      <c r="AN103"/>
      <c r="AO103"/>
      <c r="AP103"/>
      <c r="AQ103"/>
      <c r="AR103"/>
      <c r="AS103"/>
      <c r="AT103"/>
      <c r="AU103"/>
      <c r="AV103"/>
      <c r="AW103"/>
      <c r="AX103" s="4390"/>
    </row>
    <row r="104" spans="1:50" ht="12.75" customHeight="1" thickBot="1">
      <c r="A104" s="857"/>
      <c r="B104" s="35"/>
      <c r="C104" s="452"/>
      <c r="D104" s="1700"/>
      <c r="E104" s="35"/>
      <c r="F104" s="35" t="s">
        <v>3494</v>
      </c>
      <c r="G104" s="35"/>
      <c r="H104" s="1656" t="s">
        <v>3625</v>
      </c>
      <c r="I104" s="35" t="str">
        <f>"before "&amp;$U$100</f>
        <v>before 4/15/17</v>
      </c>
      <c r="J104" s="35"/>
      <c r="K104" s="35"/>
      <c r="L104" s="44"/>
      <c r="M104" s="44"/>
      <c r="N104" s="1464" t="s">
        <v>2552</v>
      </c>
      <c r="O104" s="5812">
        <f>U103</f>
        <v>1.1E-4</v>
      </c>
      <c r="P104" s="5360"/>
      <c r="Q104" s="4212"/>
      <c r="R104" s="35"/>
      <c r="S104" s="2753" t="s">
        <v>442</v>
      </c>
      <c r="T104" s="627">
        <v>16</v>
      </c>
      <c r="U104" s="5601">
        <f>IF(Z104&lt;&gt;"",ROUND(Z104,0),IF(OR($W$80,$U$96&lt;0),"",IF(S100,0,U96*U102*U103)))</f>
        <v>0</v>
      </c>
      <c r="V104" s="5602"/>
      <c r="W104" s="5602"/>
      <c r="X104" s="112"/>
      <c r="Y104" s="2400"/>
      <c r="Z104" s="566"/>
    </row>
    <row r="105" spans="1:50" ht="12.75" customHeight="1">
      <c r="A105" s="857"/>
      <c r="B105" s="35"/>
      <c r="C105" s="452"/>
      <c r="D105" s="1700"/>
      <c r="E105" s="35"/>
      <c r="F105" s="35"/>
      <c r="G105" s="35"/>
      <c r="H105" s="35"/>
      <c r="I105" s="35"/>
      <c r="J105" s="35"/>
      <c r="K105" s="35"/>
      <c r="L105" s="44"/>
      <c r="M105" s="44"/>
      <c r="N105" s="44"/>
      <c r="O105" s="35"/>
      <c r="P105" s="35"/>
      <c r="Q105" s="35"/>
      <c r="R105" s="35"/>
      <c r="S105" s="35"/>
      <c r="T105" s="82"/>
      <c r="U105" s="4208"/>
      <c r="V105" s="4208"/>
      <c r="W105" s="4208"/>
      <c r="X105" s="112"/>
      <c r="Y105" s="2400"/>
      <c r="Z105" s="614"/>
    </row>
    <row r="106" spans="1:50" ht="12.75" customHeight="1">
      <c r="A106" s="857"/>
      <c r="B106" s="35"/>
      <c r="C106" s="452">
        <v>17</v>
      </c>
      <c r="D106" s="1700" t="s">
        <v>3500</v>
      </c>
      <c r="E106" s="35"/>
      <c r="F106" s="35"/>
      <c r="G106" s="35"/>
      <c r="H106" s="35"/>
      <c r="I106" s="35"/>
      <c r="J106" s="35"/>
      <c r="K106" s="35"/>
      <c r="L106" s="44"/>
      <c r="M106" s="44"/>
      <c r="N106" s="44"/>
      <c r="O106" s="35"/>
      <c r="P106" s="35"/>
      <c r="Q106" s="35"/>
      <c r="R106" s="35"/>
      <c r="S106" s="35"/>
      <c r="T106" s="612"/>
      <c r="U106" s="4208"/>
      <c r="V106" s="4208"/>
      <c r="W106" s="4208"/>
      <c r="X106" s="112"/>
      <c r="Y106" s="2400"/>
      <c r="Z106" s="614"/>
    </row>
    <row r="107" spans="1:50" ht="12.75" customHeight="1" thickBot="1">
      <c r="A107" s="857"/>
      <c r="B107" s="35"/>
      <c r="C107" s="452"/>
      <c r="D107" s="1700" t="s">
        <v>3496</v>
      </c>
      <c r="E107" s="35"/>
      <c r="F107" s="35"/>
      <c r="G107" s="35"/>
      <c r="H107" s="35"/>
      <c r="I107" s="35"/>
      <c r="J107" s="35"/>
      <c r="K107" s="35"/>
      <c r="L107" s="44"/>
      <c r="M107" s="44"/>
      <c r="N107" s="44"/>
      <c r="O107" s="35"/>
      <c r="P107" s="35"/>
      <c r="Q107" s="35"/>
      <c r="R107" s="35"/>
      <c r="S107" s="35"/>
      <c r="T107" s="612"/>
      <c r="U107" s="4208"/>
      <c r="V107" s="4208"/>
      <c r="W107" s="4208"/>
      <c r="X107" s="112"/>
      <c r="Y107" s="2400"/>
      <c r="Z107" s="614"/>
    </row>
    <row r="108" spans="1:50" ht="12.75" customHeight="1" thickBot="1">
      <c r="A108" s="857"/>
      <c r="B108" s="35"/>
      <c r="C108" s="35"/>
      <c r="D108" s="4271" t="s">
        <v>3497</v>
      </c>
      <c r="E108" s="35"/>
      <c r="F108" s="35"/>
      <c r="G108" s="35"/>
      <c r="H108" s="35"/>
      <c r="I108" s="35"/>
      <c r="J108" s="35"/>
      <c r="K108" s="35"/>
      <c r="L108" s="44"/>
      <c r="M108" s="44"/>
      <c r="N108" s="44"/>
      <c r="O108" s="35"/>
      <c r="P108" s="35"/>
      <c r="Q108" s="35"/>
      <c r="R108" s="35"/>
      <c r="S108" s="2753" t="s">
        <v>1659</v>
      </c>
      <c r="T108" s="627">
        <v>17</v>
      </c>
      <c r="U108" s="5601">
        <f>IF(Z108&lt;&gt;"",ROUND(Z108,0),IF(OR($U$96&lt;0,AND($B$66,$W$80)),"",IF(SUM(U98,-U104)&lt;0,0,SUM(U98,-U104))))</f>
        <v>0</v>
      </c>
      <c r="V108" s="5602"/>
      <c r="W108" s="5602"/>
      <c r="X108" s="112"/>
      <c r="Y108" s="2400"/>
      <c r="Z108" s="566"/>
      <c r="AC108" s="1374"/>
      <c r="AD108" s="3"/>
    </row>
    <row r="109" spans="1:50" s="1374" customFormat="1" ht="17.25" customHeight="1">
      <c r="A109" s="1368"/>
      <c r="B109" s="4243"/>
      <c r="C109" s="4249"/>
      <c r="D109" s="4244"/>
      <c r="E109" s="4243"/>
      <c r="F109" s="4243"/>
      <c r="G109" s="4243"/>
      <c r="H109" s="4243"/>
      <c r="I109" s="4243"/>
      <c r="J109" s="4243"/>
      <c r="K109" s="4243"/>
      <c r="L109" s="4243"/>
      <c r="M109" s="4243"/>
      <c r="N109" s="4243"/>
      <c r="O109" s="4243"/>
      <c r="P109" s="4243"/>
      <c r="Q109" s="4245"/>
      <c r="R109" s="4246"/>
      <c r="S109" s="4243"/>
      <c r="T109" s="4243"/>
      <c r="U109" s="4247"/>
      <c r="V109" s="4247" t="s">
        <v>3461</v>
      </c>
      <c r="W109" s="4247" t="str">
        <f>"("&amp;TaxYear&amp;")"</f>
        <v>(2016)</v>
      </c>
      <c r="X109" s="1372"/>
      <c r="Y109" s="2146"/>
      <c r="Z109" s="614"/>
      <c r="AA109"/>
      <c r="AB109"/>
      <c r="AC109"/>
      <c r="AD109"/>
      <c r="AJ109" s="3"/>
      <c r="AK109"/>
      <c r="AL109"/>
      <c r="AM109"/>
      <c r="AN109"/>
      <c r="AO109"/>
      <c r="AP109"/>
      <c r="AQ109"/>
      <c r="AR109"/>
      <c r="AS109"/>
      <c r="AT109"/>
      <c r="AU109"/>
      <c r="AV109"/>
      <c r="AW109"/>
    </row>
    <row r="110" spans="1:50" ht="20.25" customHeight="1" thickBot="1">
      <c r="A110" s="857"/>
      <c r="B110" s="67"/>
      <c r="C110" s="3119" t="str">
        <f>"Form 2210 ("&amp;TaxYear&amp;")"</f>
        <v>Form 2210 (2016)</v>
      </c>
      <c r="D110" s="451"/>
      <c r="E110" s="52"/>
      <c r="F110" s="52"/>
      <c r="G110" s="52"/>
      <c r="H110" s="52"/>
      <c r="I110" s="52"/>
      <c r="J110" s="52"/>
      <c r="K110" s="52"/>
      <c r="L110" s="52"/>
      <c r="M110" s="52"/>
      <c r="N110" s="52"/>
      <c r="O110" s="52"/>
      <c r="P110" s="52"/>
      <c r="Q110" s="42"/>
      <c r="R110" s="618"/>
      <c r="S110" s="52"/>
      <c r="T110" s="52"/>
      <c r="U110" s="52"/>
      <c r="V110" s="4250"/>
      <c r="W110" s="4281" t="s">
        <v>3509</v>
      </c>
      <c r="X110" s="112"/>
      <c r="Y110" s="2400"/>
      <c r="Z110" s="614"/>
      <c r="AB110" s="1374"/>
    </row>
    <row r="111" spans="1:50" ht="16.5" customHeight="1">
      <c r="A111" s="857"/>
      <c r="B111" s="4240" t="s">
        <v>3504</v>
      </c>
      <c r="C111" s="4231"/>
      <c r="D111" s="4231"/>
      <c r="E111" s="4260" t="s">
        <v>3505</v>
      </c>
      <c r="F111" s="4232"/>
      <c r="G111" s="4232"/>
      <c r="H111" s="4232" t="s">
        <v>3506</v>
      </c>
      <c r="I111" s="4232"/>
      <c r="J111" s="4232"/>
      <c r="K111" s="4232"/>
      <c r="L111" s="4232"/>
      <c r="M111" s="4232"/>
      <c r="N111" s="4232"/>
      <c r="O111" s="4232"/>
      <c r="P111" s="4232"/>
      <c r="Q111" s="4232"/>
      <c r="R111" s="4232"/>
      <c r="S111" s="4232"/>
      <c r="T111" s="4232"/>
      <c r="U111" s="4232"/>
      <c r="V111" s="4232"/>
      <c r="W111" s="4232"/>
      <c r="X111" s="962"/>
      <c r="Y111" s="4440"/>
      <c r="Z111" s="614"/>
    </row>
    <row r="112" spans="1:50" ht="13.5" customHeight="1">
      <c r="A112" s="857"/>
      <c r="B112" s="5845" t="s">
        <v>3507</v>
      </c>
      <c r="C112" s="5846"/>
      <c r="D112" s="5846"/>
      <c r="E112" s="5846"/>
      <c r="F112" s="5846"/>
      <c r="G112" s="5846"/>
      <c r="H112" s="5846"/>
      <c r="I112" s="5846"/>
      <c r="J112" s="5846"/>
      <c r="K112" s="5846"/>
      <c r="L112" s="5846"/>
      <c r="M112" s="5846"/>
      <c r="N112" s="5785"/>
      <c r="O112" s="4282"/>
      <c r="P112" s="5774" t="s">
        <v>3508</v>
      </c>
      <c r="Q112" s="5775"/>
      <c r="R112" s="5775"/>
      <c r="S112" s="5775"/>
      <c r="T112" s="5775"/>
      <c r="U112" s="5775"/>
      <c r="V112" s="5775"/>
      <c r="W112" s="5775"/>
      <c r="X112" s="112"/>
      <c r="Y112" s="2400"/>
      <c r="Z112" s="614"/>
    </row>
    <row r="113" spans="1:50" ht="13.5" customHeight="1">
      <c r="A113" s="857"/>
      <c r="B113" s="5004"/>
      <c r="C113" s="5004"/>
      <c r="D113" s="5004"/>
      <c r="E113" s="5004"/>
      <c r="F113" s="5004"/>
      <c r="G113" s="5004"/>
      <c r="H113" s="5004"/>
      <c r="I113" s="5004"/>
      <c r="J113" s="5004"/>
      <c r="K113" s="5004"/>
      <c r="L113" s="5004"/>
      <c r="M113" s="5004"/>
      <c r="N113" s="5847"/>
      <c r="O113" s="615"/>
      <c r="P113" s="5759" t="s">
        <v>1860</v>
      </c>
      <c r="Q113" s="5760"/>
      <c r="R113" s="5759" t="s">
        <v>1862</v>
      </c>
      <c r="S113" s="5760"/>
      <c r="T113" s="5759" t="s">
        <v>3628</v>
      </c>
      <c r="U113" s="5761"/>
      <c r="V113" s="5759" t="s">
        <v>1549</v>
      </c>
      <c r="W113" s="5415"/>
      <c r="X113" s="112"/>
      <c r="Y113" s="2400"/>
      <c r="Z113" s="614"/>
    </row>
    <row r="114" spans="1:50" ht="12" customHeight="1">
      <c r="A114" s="857"/>
      <c r="B114" s="5200"/>
      <c r="C114" s="5200"/>
      <c r="D114" s="5200"/>
      <c r="E114" s="5200"/>
      <c r="F114" s="5200"/>
      <c r="G114" s="5200"/>
      <c r="H114" s="5200"/>
      <c r="I114" s="5200"/>
      <c r="J114" s="5200"/>
      <c r="K114" s="5200"/>
      <c r="L114" s="5200"/>
      <c r="M114" s="5200"/>
      <c r="N114" s="5201"/>
      <c r="O114" s="4283"/>
      <c r="P114" s="5737" t="str">
        <f>"4/15/"&amp;TaxYear-2000</f>
        <v>4/15/16</v>
      </c>
      <c r="Q114" s="5738"/>
      <c r="R114" s="5737" t="str">
        <f>"6/15/"&amp;TaxYear-2000</f>
        <v>6/15/16</v>
      </c>
      <c r="S114" s="5738"/>
      <c r="T114" s="5804" t="str">
        <f>"9/15/"&amp;TaxYear-2000</f>
        <v>9/15/16</v>
      </c>
      <c r="U114" s="5805"/>
      <c r="V114" s="5737" t="str">
        <f>"1/15/"&amp;TaxYear-1999</f>
        <v>1/15/17</v>
      </c>
      <c r="W114" s="5417"/>
      <c r="X114" s="112"/>
      <c r="Y114" s="2400"/>
      <c r="Z114" s="614"/>
      <c r="AA114" s="624"/>
      <c r="AB114" s="624"/>
      <c r="AC114" s="624"/>
      <c r="AD114" s="624"/>
      <c r="AE114" s="624"/>
      <c r="AF114" s="624"/>
      <c r="AG114" s="624"/>
      <c r="AH114" s="624"/>
      <c r="AI114" s="624"/>
      <c r="AJ114" s="624"/>
      <c r="AK114" s="624"/>
      <c r="AL114" s="624"/>
      <c r="AM114" s="624"/>
      <c r="AN114" s="624"/>
      <c r="AO114" s="624"/>
      <c r="AP114" s="624"/>
      <c r="AQ114" s="624"/>
      <c r="AR114" s="624"/>
      <c r="AS114" s="624"/>
    </row>
    <row r="115" spans="1:50" ht="13.5" customHeight="1">
      <c r="A115" s="857"/>
      <c r="B115" s="4217"/>
      <c r="C115" s="452">
        <v>18</v>
      </c>
      <c r="D115" s="2808" t="s">
        <v>3515</v>
      </c>
      <c r="E115" s="4217"/>
      <c r="F115" s="4217"/>
      <c r="G115" s="4217"/>
      <c r="H115" s="4217"/>
      <c r="I115" s="4217"/>
      <c r="J115" s="4217"/>
      <c r="K115" s="4217"/>
      <c r="L115" s="4205"/>
      <c r="M115" s="4205"/>
      <c r="N115" s="4205"/>
      <c r="O115" s="4284"/>
      <c r="P115" s="5813">
        <f>DATEVALUE(P114)</f>
        <v>42475</v>
      </c>
      <c r="Q115" s="5814"/>
      <c r="R115" s="5813">
        <f>DATEVALUE(R114)</f>
        <v>42536</v>
      </c>
      <c r="S115" s="5814"/>
      <c r="T115" s="5813">
        <f>DATEVALUE(T114)</f>
        <v>42628</v>
      </c>
      <c r="U115" s="5814"/>
      <c r="V115" s="5813">
        <f>DATEVALUE(V114)</f>
        <v>42750</v>
      </c>
      <c r="W115" s="5933"/>
      <c r="X115" s="112"/>
      <c r="Y115" s="2400"/>
      <c r="Z115" s="614"/>
      <c r="AA115" s="624"/>
      <c r="AB115" s="624"/>
      <c r="AC115" s="624"/>
      <c r="AD115" s="624"/>
      <c r="AE115" s="624"/>
      <c r="AF115" s="624"/>
      <c r="AG115" s="624"/>
      <c r="AH115" s="624"/>
      <c r="AI115" s="624"/>
      <c r="AJ115" s="5984" t="s">
        <v>3748</v>
      </c>
      <c r="AK115" s="4563"/>
      <c r="AL115" s="4563"/>
      <c r="AM115" s="4563"/>
      <c r="AN115" s="4563"/>
      <c r="AO115" s="4563"/>
      <c r="AP115" s="4563"/>
      <c r="AQ115" s="624"/>
      <c r="AR115" s="624"/>
      <c r="AS115" s="624"/>
    </row>
    <row r="116" spans="1:50" ht="13.5" customHeight="1">
      <c r="A116" s="857"/>
      <c r="B116" s="4217"/>
      <c r="C116" s="57"/>
      <c r="D116" s="2808" t="s">
        <v>3513</v>
      </c>
      <c r="E116" s="4217"/>
      <c r="F116" s="4217"/>
      <c r="G116" s="4217"/>
      <c r="H116" s="4217"/>
      <c r="I116" s="4217"/>
      <c r="J116" s="4217"/>
      <c r="K116" s="4217"/>
      <c r="L116" s="4205"/>
      <c r="M116" s="4205"/>
      <c r="N116" s="4205"/>
      <c r="O116" s="4237"/>
      <c r="P116" s="4213"/>
      <c r="Q116" s="2570"/>
      <c r="R116" s="4213"/>
      <c r="S116" s="4276"/>
      <c r="T116" s="4275"/>
      <c r="U116" s="4276"/>
      <c r="V116" s="4274"/>
      <c r="W116" s="4275"/>
      <c r="X116" s="112"/>
      <c r="Y116" s="2400"/>
      <c r="Z116" s="624"/>
      <c r="AA116" s="624"/>
      <c r="AB116" s="624"/>
      <c r="AC116" s="624"/>
      <c r="AD116" s="624"/>
      <c r="AE116" s="624"/>
      <c r="AF116" s="624"/>
      <c r="AG116" s="624"/>
      <c r="AH116" s="624"/>
      <c r="AI116" s="624"/>
      <c r="AJ116" s="4300" t="str">
        <f>P113</f>
        <v>(a)</v>
      </c>
      <c r="AK116" s="624"/>
      <c r="AL116" s="4300" t="str">
        <f>R113</f>
        <v>(b)</v>
      </c>
      <c r="AM116" s="624"/>
      <c r="AN116" s="4300" t="s">
        <v>1865</v>
      </c>
      <c r="AO116" s="624"/>
      <c r="AP116" s="4300" t="s">
        <v>1549</v>
      </c>
      <c r="AQ116" s="624"/>
      <c r="AR116" s="624"/>
      <c r="AS116" s="624"/>
    </row>
    <row r="117" spans="1:50" ht="13.5" customHeight="1" thickBot="1">
      <c r="A117" s="857"/>
      <c r="B117" s="4217"/>
      <c r="C117" s="57"/>
      <c r="D117" s="2808" t="str">
        <f>"Otherwise, enter "&amp;TEXT(L117,"00%")&amp;" ("&amp;TEXT(L117,"0.00")&amp;") of line 9, Form 2210, in"</f>
        <v>Otherwise, enter 25% (0.25) of line 9, Form 2210, in</v>
      </c>
      <c r="E117" s="4217"/>
      <c r="F117" s="4217"/>
      <c r="G117" s="4217"/>
      <c r="H117" s="4217"/>
      <c r="I117" s="4217"/>
      <c r="J117" s="4217"/>
      <c r="K117" s="784"/>
      <c r="L117" s="5858">
        <v>0.25</v>
      </c>
      <c r="M117" s="5859"/>
      <c r="N117" s="5860"/>
      <c r="O117" s="4237"/>
      <c r="P117" s="4213"/>
      <c r="Q117" s="2570"/>
      <c r="R117" s="4213"/>
      <c r="S117" s="4276"/>
      <c r="T117" s="4275"/>
      <c r="U117" s="4276"/>
      <c r="V117" s="4274"/>
      <c r="W117" s="4275"/>
      <c r="X117" s="112"/>
      <c r="Y117" s="2400"/>
      <c r="Z117" s="624"/>
      <c r="AA117" s="624"/>
      <c r="AB117" s="624"/>
      <c r="AC117" s="624"/>
      <c r="AD117" s="624"/>
      <c r="AE117" s="624"/>
      <c r="AF117" s="624"/>
      <c r="AG117" s="624"/>
      <c r="AH117" s="624"/>
      <c r="AI117" s="624"/>
      <c r="AJ117" s="4480" t="str">
        <f>"4/15/"&amp;TaxYear-2000</f>
        <v>4/15/16</v>
      </c>
      <c r="AK117" s="624"/>
      <c r="AL117" s="4480" t="str">
        <f>"6/15/"&amp;TaxYear-1999</f>
        <v>6/15/17</v>
      </c>
      <c r="AM117" s="624"/>
      <c r="AN117" s="4483" t="str">
        <f>"9/15/"&amp;TaxYear-2000</f>
        <v>9/15/16</v>
      </c>
      <c r="AO117" s="624"/>
      <c r="AP117" s="4480" t="str">
        <f>"1/15/"&amp;TaxYear+1-2000</f>
        <v>1/15/17</v>
      </c>
      <c r="AQ117" s="624"/>
      <c r="AR117" s="624"/>
      <c r="AS117" s="624"/>
    </row>
    <row r="118" spans="1:50" ht="13.5" customHeight="1" thickBot="1">
      <c r="A118" s="857"/>
      <c r="B118" s="4217"/>
      <c r="C118" s="4217"/>
      <c r="D118" s="2808" t="s">
        <v>3514</v>
      </c>
      <c r="E118" s="4217"/>
      <c r="F118" s="4217"/>
      <c r="G118" s="4217"/>
      <c r="H118" s="4217"/>
      <c r="I118" s="4217"/>
      <c r="J118" s="4217"/>
      <c r="K118" s="4217"/>
      <c r="L118" s="4205"/>
      <c r="M118" s="4205"/>
      <c r="N118" s="2753" t="s">
        <v>730</v>
      </c>
      <c r="O118" s="4285">
        <v>18</v>
      </c>
      <c r="P118" s="5717" t="str">
        <f>IF(AJ118&lt;&gt;"",ROUND(AJ118,0),IF(NOT($W$80),"",IF($B$61,P195,$L$117*$U$46)))</f>
        <v/>
      </c>
      <c r="Q118" s="5719"/>
      <c r="R118" s="5717" t="str">
        <f>IF(AL118&lt;&gt;"",ROUND(AL118,0),IF(NOT($W$80),"",IF($B$61,R195,$L$117*$U$46)))</f>
        <v/>
      </c>
      <c r="S118" s="5719"/>
      <c r="T118" s="5717" t="str">
        <f>IF(AN118&lt;&gt;"",ROUND(AN118,0),IF(NOT($W$80),"",IF($B$61,T195,$L$117*$U$46)))</f>
        <v/>
      </c>
      <c r="U118" s="5719"/>
      <c r="V118" s="5717" t="str">
        <f>IF(AP118&lt;&gt;"",ROUND(AP118,0),IF(NOT($W$80),"",IF($B$61,V195,$L$117*$U$46)))</f>
        <v/>
      </c>
      <c r="W118" s="5718"/>
      <c r="X118" s="112"/>
      <c r="Y118" s="2400"/>
      <c r="Z118" s="4476" t="s">
        <v>3756</v>
      </c>
      <c r="AA118" s="624"/>
      <c r="AB118" s="624"/>
      <c r="AC118" s="624"/>
      <c r="AD118" s="624"/>
      <c r="AE118" s="624"/>
      <c r="AF118" s="624"/>
      <c r="AG118" s="624"/>
      <c r="AH118" s="624"/>
      <c r="AI118" s="624"/>
      <c r="AJ118" s="4481"/>
      <c r="AK118" s="624"/>
      <c r="AL118" s="4482"/>
      <c r="AM118" s="624"/>
      <c r="AN118" s="4482"/>
      <c r="AO118" s="624"/>
      <c r="AP118" s="4482"/>
      <c r="AQ118" s="624"/>
      <c r="AR118" s="624"/>
      <c r="AS118" s="624"/>
    </row>
    <row r="119" spans="1:50" ht="13.5" customHeight="1">
      <c r="A119" s="857"/>
      <c r="B119" s="4217"/>
      <c r="C119" s="452">
        <v>19</v>
      </c>
      <c r="D119" s="2808" t="s">
        <v>3516</v>
      </c>
      <c r="E119" s="4217"/>
      <c r="F119" s="4217"/>
      <c r="G119" s="4217"/>
      <c r="H119" s="4217"/>
      <c r="I119" s="4217"/>
      <c r="J119" s="4217"/>
      <c r="K119" s="4217"/>
      <c r="L119" s="4205"/>
      <c r="M119" s="4205"/>
      <c r="N119" s="4205"/>
      <c r="O119" s="4284"/>
      <c r="P119" s="4213"/>
      <c r="Q119" s="2570"/>
      <c r="R119" s="4213"/>
      <c r="S119" s="4276"/>
      <c r="T119" s="4275"/>
      <c r="U119" s="4276"/>
      <c r="V119" s="4274"/>
      <c r="W119" s="4275"/>
      <c r="X119" s="112"/>
      <c r="Y119" s="2400"/>
      <c r="Z119" s="624"/>
      <c r="AA119" s="624"/>
      <c r="AB119" s="624"/>
      <c r="AC119" s="624"/>
      <c r="AD119" s="624"/>
      <c r="AE119" s="624"/>
      <c r="AF119" s="624"/>
      <c r="AG119" s="624"/>
      <c r="AH119" s="624"/>
      <c r="AI119" s="624"/>
      <c r="AJ119" s="624"/>
      <c r="AK119" s="624"/>
      <c r="AL119" s="624"/>
      <c r="AM119" s="624"/>
      <c r="AN119" s="624"/>
      <c r="AO119" s="624"/>
      <c r="AP119" s="624"/>
      <c r="AQ119" s="624"/>
      <c r="AR119" s="624"/>
      <c r="AS119" s="624"/>
    </row>
    <row r="120" spans="1:50" ht="13.5" customHeight="1">
      <c r="A120" s="857"/>
      <c r="B120" s="4217"/>
      <c r="C120" s="452"/>
      <c r="D120" s="2808" t="s">
        <v>3517</v>
      </c>
      <c r="E120" s="4217"/>
      <c r="F120" s="4217"/>
      <c r="G120" s="4217"/>
      <c r="H120" s="4217"/>
      <c r="I120" s="4217"/>
      <c r="J120" s="4217"/>
      <c r="K120" s="4217"/>
      <c r="L120" s="4205"/>
      <c r="M120" s="4205"/>
      <c r="N120" s="4205"/>
      <c r="O120" s="4237"/>
      <c r="P120" s="4213"/>
      <c r="Q120" s="2570"/>
      <c r="R120" s="4213"/>
      <c r="S120" s="4276"/>
      <c r="T120" s="4275"/>
      <c r="U120" s="4276"/>
      <c r="V120" s="4274"/>
      <c r="W120" s="4275"/>
      <c r="X120" s="112"/>
      <c r="Y120" s="2400"/>
      <c r="Z120" s="624"/>
      <c r="AA120" s="624"/>
      <c r="AB120" s="624"/>
      <c r="AC120" s="624"/>
      <c r="AD120" s="624"/>
      <c r="AE120" s="624"/>
      <c r="AF120" s="624"/>
      <c r="AG120" s="624"/>
      <c r="AH120" s="624"/>
      <c r="AI120" s="624"/>
      <c r="AJ120" s="624"/>
      <c r="AK120" s="624"/>
      <c r="AL120" s="624"/>
      <c r="AM120" s="624"/>
      <c r="AN120" s="624"/>
      <c r="AO120" s="624"/>
      <c r="AP120" s="624"/>
      <c r="AQ120" s="624"/>
      <c r="AR120" s="624"/>
      <c r="AS120" s="624"/>
    </row>
    <row r="121" spans="1:50" ht="13.5" customHeight="1">
      <c r="A121" s="857"/>
      <c r="B121" s="4217"/>
      <c r="C121" s="452"/>
      <c r="D121" s="4217" t="s">
        <v>3518</v>
      </c>
      <c r="E121" s="4217"/>
      <c r="F121" s="4217"/>
      <c r="G121" s="4217"/>
      <c r="H121" s="4217"/>
      <c r="I121" s="4217"/>
      <c r="J121" s="4217"/>
      <c r="K121" s="4217"/>
      <c r="L121" s="5861" t="b">
        <f>IF(AND(SUM(P124,R124,T124,V124)&gt;0,P124&gt;=P118,R124&gt;=R118,T124&gt;=T118,V124&gt;=V118),TRUE,FALSE)</f>
        <v>0</v>
      </c>
      <c r="M121" s="5862"/>
      <c r="N121" s="5863"/>
      <c r="O121" s="4237"/>
      <c r="P121" s="4213"/>
      <c r="Q121" s="2570"/>
      <c r="R121" s="4213"/>
      <c r="S121" s="4276"/>
      <c r="T121" s="4275"/>
      <c r="U121" s="4276"/>
      <c r="V121" s="4274"/>
      <c r="W121" s="4275"/>
      <c r="X121" s="112"/>
      <c r="Y121" s="2400"/>
      <c r="Z121" s="624"/>
      <c r="AA121" s="624"/>
      <c r="AB121" s="624"/>
      <c r="AC121" s="624"/>
      <c r="AD121" s="624"/>
      <c r="AE121" s="624"/>
      <c r="AF121" s="624"/>
      <c r="AG121" s="624"/>
      <c r="AH121" s="624"/>
      <c r="AI121" s="624"/>
      <c r="AJ121" s="624"/>
      <c r="AK121" s="624"/>
      <c r="AL121" s="624"/>
      <c r="AM121" s="624"/>
      <c r="AN121" s="624"/>
      <c r="AO121" s="624"/>
      <c r="AP121" s="624"/>
      <c r="AQ121" s="624"/>
      <c r="AR121" s="624"/>
      <c r="AS121" s="624"/>
      <c r="AT121" s="4207"/>
      <c r="AU121" s="4390"/>
      <c r="AV121" s="4390"/>
      <c r="AW121" s="4390"/>
    </row>
    <row r="122" spans="1:50" s="854" customFormat="1" ht="13.5" customHeight="1">
      <c r="A122" s="946"/>
      <c r="B122" s="579"/>
      <c r="C122" s="579"/>
      <c r="D122" s="1505" t="s">
        <v>3622</v>
      </c>
      <c r="E122" s="579"/>
      <c r="F122" s="579"/>
      <c r="G122" s="579"/>
      <c r="H122" s="579"/>
      <c r="I122" s="5853" t="s">
        <v>3623</v>
      </c>
      <c r="J122" s="5854"/>
      <c r="K122" s="579" t="s">
        <v>3624</v>
      </c>
      <c r="L122" s="4324"/>
      <c r="M122" s="4325"/>
      <c r="N122" s="4326"/>
      <c r="O122" s="4286"/>
      <c r="P122" s="4277"/>
      <c r="Q122" s="4278"/>
      <c r="R122" s="4277"/>
      <c r="S122" s="4276"/>
      <c r="T122" s="4275"/>
      <c r="U122" s="4276"/>
      <c r="V122" s="4274"/>
      <c r="W122" s="4275"/>
      <c r="X122" s="965"/>
      <c r="Y122" s="4439"/>
      <c r="Z122" s="624"/>
      <c r="AA122" s="624"/>
      <c r="AB122" s="624"/>
      <c r="AC122" s="624"/>
      <c r="AD122" s="624"/>
      <c r="AE122" s="624"/>
      <c r="AF122" s="624"/>
      <c r="AG122" s="624"/>
      <c r="AH122" s="624"/>
      <c r="AI122" s="624"/>
      <c r="AJ122" s="4300" t="str">
        <f>AJ116</f>
        <v>(a)</v>
      </c>
      <c r="AK122" s="624"/>
      <c r="AL122" s="4300" t="str">
        <f>AL116</f>
        <v>(b)</v>
      </c>
      <c r="AM122" s="624"/>
      <c r="AN122" s="4300" t="str">
        <f>AN116</f>
        <v>(c)</v>
      </c>
      <c r="AO122" s="624"/>
      <c r="AP122" s="4300" t="str">
        <f>AP116</f>
        <v>(d)</v>
      </c>
      <c r="AQ122" s="624"/>
      <c r="AR122" s="624"/>
      <c r="AS122" s="624"/>
      <c r="AT122"/>
      <c r="AU122"/>
      <c r="AV122"/>
      <c r="AW122"/>
      <c r="AX122" s="4392"/>
    </row>
    <row r="123" spans="1:50" ht="13.5" customHeight="1" thickBot="1">
      <c r="A123" s="857"/>
      <c r="B123" s="4217"/>
      <c r="C123" s="452"/>
      <c r="D123" s="2808" t="s">
        <v>3542</v>
      </c>
      <c r="E123" s="4217"/>
      <c r="F123" s="4217"/>
      <c r="G123" s="2754" t="s">
        <v>3543</v>
      </c>
      <c r="H123" s="4217"/>
      <c r="I123" s="4217"/>
      <c r="J123" s="4217"/>
      <c r="K123" s="4217"/>
      <c r="L123" s="4205"/>
      <c r="M123" s="4205"/>
      <c r="N123" s="4205"/>
      <c r="O123" s="4237"/>
      <c r="P123" s="4213"/>
      <c r="Q123" s="2570"/>
      <c r="R123" s="4280"/>
      <c r="S123" s="4327" t="b">
        <f>IF(AND(P124="",R124&lt;&gt;""),TRUE,FALSE)</f>
        <v>0</v>
      </c>
      <c r="T123" s="4329"/>
      <c r="U123" s="4327" t="b">
        <f>IF(AND(R124="",T124&lt;&gt;""),TRUE,FALSE)</f>
        <v>0</v>
      </c>
      <c r="V123" s="4328"/>
      <c r="W123" s="4394" t="b">
        <f>IF(AND(T124="",V124&lt;&gt;""),TRUE,FALSE)</f>
        <v>0</v>
      </c>
      <c r="X123" s="112"/>
      <c r="Y123" s="2400"/>
      <c r="Z123" s="624"/>
      <c r="AA123" s="624"/>
      <c r="AB123" s="624"/>
      <c r="AC123" s="624"/>
      <c r="AD123" s="624"/>
      <c r="AE123" s="624"/>
      <c r="AF123" s="624"/>
      <c r="AG123" s="624"/>
      <c r="AH123" s="624"/>
      <c r="AI123" s="624"/>
      <c r="AJ123" s="4480" t="str">
        <f>"4/15/"&amp;TaxYear-2000</f>
        <v>4/15/16</v>
      </c>
      <c r="AK123" s="624"/>
      <c r="AL123" s="4480" t="str">
        <f>"6/15/"&amp;TaxYear-1999</f>
        <v>6/15/17</v>
      </c>
      <c r="AM123" s="624"/>
      <c r="AN123" s="4483" t="str">
        <f>"9/15/"&amp;TaxYear-2000</f>
        <v>9/15/16</v>
      </c>
      <c r="AO123" s="624"/>
      <c r="AP123" s="4480" t="str">
        <f>"1/15/"&amp;TaxYear+1-2000</f>
        <v>1/15/17</v>
      </c>
      <c r="AQ123" s="624"/>
      <c r="AR123" s="624"/>
      <c r="AS123" s="624"/>
    </row>
    <row r="124" spans="1:50" ht="13.5" customHeight="1" thickBot="1">
      <c r="A124" s="857"/>
      <c r="B124" s="4217"/>
      <c r="C124" s="452"/>
      <c r="D124" s="2754" t="s">
        <v>3519</v>
      </c>
      <c r="E124" s="4217"/>
      <c r="F124" s="4217"/>
      <c r="G124" s="4217"/>
      <c r="H124" s="4217"/>
      <c r="I124" s="4217"/>
      <c r="J124" s="4217"/>
      <c r="K124" s="4217"/>
      <c r="L124" s="4205"/>
      <c r="M124" s="4205"/>
      <c r="N124" s="2753" t="s">
        <v>999</v>
      </c>
      <c r="O124" s="4285">
        <v>19</v>
      </c>
      <c r="P124" s="5717" t="str">
        <f>IF(AJ124&lt;&gt;"",ROUND(AJ124,0),IF(NOT($W$80),"",IF($S$278="","",LOOKUP(LOOKUP(P$115,$Q$278:$Q$332,$O$278:$O$332),$O278:$O332,$U$278:$U$332))))</f>
        <v/>
      </c>
      <c r="Q124" s="5719"/>
      <c r="R124" s="5717" t="str">
        <f>IF(AL124&lt;&gt;"",ROUND(AL124,0),IF(NOT($W$80),"",IF($S$278="","",LOOKUP(LOOKUP(R$115,$Q$278:$Q$332,$O$278:$O$332),$O278:$O332,$U$278:$U$332)-P$124)))</f>
        <v/>
      </c>
      <c r="S124" s="5719"/>
      <c r="T124" s="5717" t="str">
        <f>IF(AN124&lt;&gt;"",ROUND(AN124,0),IF(NOT($W$80),"",IF($S$278="","",LOOKUP(LOOKUP(T$115,$Q$278:$Q$332,$O$278:$O$332),$O278:$O332,$U$278:$U$332)-R$124-P$124)))</f>
        <v/>
      </c>
      <c r="U124" s="5719"/>
      <c r="V124" s="5717" t="str">
        <f>IF(AP124&lt;&gt;"",ROUND(AP124,0),IF(NOT($W$80),"",IF($S$278="","",LOOKUP(LOOKUP(V$115,$Q$278:$Q$332,$O$278:$O$332),$O278:$O332,$U$278:$U$332)-T$124-R$124-P$124)))</f>
        <v/>
      </c>
      <c r="W124" s="5718"/>
      <c r="X124" s="112"/>
      <c r="Y124" s="2400"/>
      <c r="Z124" s="4476" t="s">
        <v>3756</v>
      </c>
      <c r="AA124" s="624"/>
      <c r="AB124" s="624"/>
      <c r="AC124" s="624"/>
      <c r="AD124" s="624"/>
      <c r="AE124" s="624"/>
      <c r="AF124" s="624"/>
      <c r="AG124" s="624"/>
      <c r="AH124" s="624"/>
      <c r="AI124" s="624"/>
      <c r="AJ124" s="4481"/>
      <c r="AK124" s="624"/>
      <c r="AL124" s="4482"/>
      <c r="AM124" s="624"/>
      <c r="AN124" s="4482"/>
      <c r="AO124" s="624"/>
      <c r="AP124" s="4482"/>
      <c r="AQ124" s="624"/>
      <c r="AR124" s="624"/>
      <c r="AS124" s="624"/>
    </row>
    <row r="125" spans="1:50" ht="13.5" customHeight="1">
      <c r="A125" s="857"/>
      <c r="B125" s="4217"/>
      <c r="C125" s="4217"/>
      <c r="D125" s="4296" t="s">
        <v>3520</v>
      </c>
      <c r="E125" s="4217"/>
      <c r="F125" s="4217"/>
      <c r="G125" s="4217"/>
      <c r="H125" s="4217"/>
      <c r="I125" s="4217"/>
      <c r="J125" s="4217"/>
      <c r="K125" s="4217"/>
      <c r="L125" s="4205"/>
      <c r="M125" s="4205"/>
      <c r="N125" s="4205"/>
      <c r="O125" s="4237"/>
      <c r="P125" s="1493"/>
      <c r="Q125" s="4287"/>
      <c r="R125" s="4213"/>
      <c r="S125" s="4276"/>
      <c r="T125" s="4275"/>
      <c r="U125" s="4276"/>
      <c r="V125" s="4274"/>
      <c r="W125" s="4275"/>
      <c r="X125" s="112"/>
      <c r="Y125" s="2400"/>
      <c r="Z125" s="624"/>
      <c r="AA125" s="624"/>
      <c r="AB125" s="624"/>
      <c r="AC125" s="624"/>
      <c r="AD125" s="624"/>
      <c r="AE125" s="624"/>
      <c r="AF125" s="624"/>
      <c r="AG125" s="624"/>
      <c r="AH125" s="624"/>
      <c r="AI125" s="624"/>
      <c r="AJ125" s="624"/>
      <c r="AK125" s="624"/>
      <c r="AL125" s="624"/>
      <c r="AM125" s="624"/>
      <c r="AN125" s="624"/>
      <c r="AO125" s="624"/>
      <c r="AP125" s="624"/>
      <c r="AQ125" s="624"/>
      <c r="AR125" s="624"/>
      <c r="AS125" s="624"/>
    </row>
    <row r="126" spans="1:50" ht="13.5" customHeight="1">
      <c r="A126" s="857"/>
      <c r="B126" s="4217"/>
      <c r="C126" s="452"/>
      <c r="D126" s="4296" t="s">
        <v>3521</v>
      </c>
      <c r="E126" s="4217"/>
      <c r="F126" s="4217"/>
      <c r="G126" s="4217"/>
      <c r="H126" s="4217"/>
      <c r="I126" s="4217"/>
      <c r="J126" s="4217"/>
      <c r="K126" s="4217"/>
      <c r="L126" s="5855" t="b">
        <f>IF(OR(S123,U123,W123),TRUE,FALSE)</f>
        <v>0</v>
      </c>
      <c r="M126" s="5856"/>
      <c r="N126" s="5857"/>
      <c r="O126" s="4286"/>
      <c r="P126" s="1493"/>
      <c r="Q126" s="4287"/>
      <c r="R126" s="4213"/>
      <c r="S126" s="4276"/>
      <c r="T126" s="4275"/>
      <c r="U126" s="4276"/>
      <c r="V126" s="4274"/>
      <c r="W126" s="4275"/>
      <c r="X126" s="112"/>
      <c r="Y126" s="2400"/>
      <c r="Z126" s="624"/>
      <c r="AA126" s="624"/>
      <c r="AB126" s="624"/>
      <c r="AC126" s="624"/>
      <c r="AD126" s="624"/>
      <c r="AE126" s="624"/>
      <c r="AF126" s="624"/>
      <c r="AG126" s="624"/>
      <c r="AH126" s="624"/>
      <c r="AI126" s="624"/>
      <c r="AJ126" s="624"/>
      <c r="AK126" s="624"/>
      <c r="AL126" s="624"/>
      <c r="AM126" s="624"/>
      <c r="AN126" s="624"/>
      <c r="AO126" s="624"/>
      <c r="AP126" s="624"/>
      <c r="AQ126" s="624"/>
      <c r="AR126" s="624"/>
      <c r="AS126" s="624"/>
    </row>
    <row r="127" spans="1:50" ht="13.5" customHeight="1">
      <c r="A127" s="857"/>
      <c r="B127" s="4217"/>
      <c r="C127" s="452">
        <v>20</v>
      </c>
      <c r="D127" s="4217" t="s">
        <v>3522</v>
      </c>
      <c r="E127" s="4217"/>
      <c r="F127" s="4217"/>
      <c r="G127" s="4217"/>
      <c r="H127" s="4217"/>
      <c r="I127" s="4217"/>
      <c r="J127" s="4217"/>
      <c r="K127" s="4217"/>
      <c r="L127" s="4205"/>
      <c r="M127" s="4205"/>
      <c r="N127" s="4205"/>
      <c r="O127" s="4237"/>
      <c r="P127" s="1493"/>
      <c r="Q127" s="4287"/>
      <c r="R127" s="4213"/>
      <c r="S127" s="4276"/>
      <c r="T127" s="4275"/>
      <c r="U127" s="4276"/>
      <c r="V127" s="4274"/>
      <c r="W127" s="4275"/>
      <c r="X127" s="112"/>
      <c r="Y127" s="2400"/>
      <c r="Z127" s="624"/>
      <c r="AA127" s="624"/>
      <c r="AB127" s="624"/>
      <c r="AC127" s="624"/>
      <c r="AD127" s="624"/>
      <c r="AE127" s="624"/>
      <c r="AF127" s="624"/>
      <c r="AG127" s="624"/>
      <c r="AH127" s="624"/>
      <c r="AI127" s="624"/>
      <c r="AJ127" s="624"/>
      <c r="AK127" s="624"/>
      <c r="AL127" s="624"/>
      <c r="AM127" s="624"/>
      <c r="AN127" s="624"/>
      <c r="AO127" s="624"/>
      <c r="AP127" s="624"/>
      <c r="AQ127" s="624"/>
      <c r="AR127" s="624"/>
      <c r="AS127" s="624"/>
    </row>
    <row r="128" spans="1:50" ht="13.5" customHeight="1">
      <c r="A128" s="857"/>
      <c r="B128" s="4217"/>
      <c r="C128" s="452"/>
      <c r="D128" s="4217" t="s">
        <v>3523</v>
      </c>
      <c r="E128" s="4217"/>
      <c r="F128" s="4217"/>
      <c r="G128" s="4217"/>
      <c r="H128" s="4217"/>
      <c r="I128" s="4217"/>
      <c r="J128" s="4217"/>
      <c r="K128" s="4217"/>
      <c r="L128" s="4205"/>
      <c r="M128" s="4205"/>
      <c r="N128" s="2753" t="s">
        <v>3524</v>
      </c>
      <c r="O128" s="4285">
        <v>20</v>
      </c>
      <c r="P128" s="4288"/>
      <c r="Q128" s="4289"/>
      <c r="R128" s="5717" t="str">
        <f>IF(AND($B$66,$W$80,NOT($L$121),R124&lt;&gt;""),P141,"")</f>
        <v/>
      </c>
      <c r="S128" s="5719"/>
      <c r="T128" s="5717" t="str">
        <f>IF(AND($B$66,$W$80,NOT($L$121),T124&lt;&gt;""),R141,"")</f>
        <v/>
      </c>
      <c r="U128" s="5719"/>
      <c r="V128" s="5717" t="str">
        <f>IF(AND($B$66,$W$80,NOT($L$121),V124&lt;&gt;""),T141,"")</f>
        <v/>
      </c>
      <c r="W128" s="5718"/>
      <c r="X128" s="112"/>
      <c r="Y128" s="2400"/>
      <c r="Z128" s="624"/>
      <c r="AA128" s="624"/>
      <c r="AB128" s="624"/>
      <c r="AC128" s="624"/>
      <c r="AD128" s="624"/>
      <c r="AE128" s="624"/>
      <c r="AF128" s="624"/>
      <c r="AG128" s="624"/>
      <c r="AH128" s="624"/>
      <c r="AI128" s="624"/>
      <c r="AJ128" s="624"/>
      <c r="AK128" s="624"/>
      <c r="AL128" s="624"/>
      <c r="AM128" s="624"/>
      <c r="AN128" s="624"/>
      <c r="AO128" s="624"/>
      <c r="AP128" s="624"/>
      <c r="AQ128" s="624"/>
      <c r="AR128" s="624"/>
      <c r="AS128" s="624"/>
    </row>
    <row r="129" spans="1:49" ht="13.5" customHeight="1">
      <c r="A129" s="857"/>
      <c r="B129" s="4217"/>
      <c r="C129" s="452">
        <v>21</v>
      </c>
      <c r="D129" s="4217" t="s">
        <v>1725</v>
      </c>
      <c r="E129" s="4217"/>
      <c r="F129" s="4217"/>
      <c r="G129" s="4217"/>
      <c r="H129" s="4217"/>
      <c r="I129" s="4217"/>
      <c r="J129" s="4217"/>
      <c r="K129" s="4217"/>
      <c r="L129" s="4205"/>
      <c r="M129" s="4205"/>
      <c r="N129" s="2753" t="s">
        <v>1659</v>
      </c>
      <c r="O129" s="4285">
        <v>21</v>
      </c>
      <c r="P129" s="4290"/>
      <c r="Q129" s="4291"/>
      <c r="R129" s="5717" t="str">
        <f>IF(AND($B$66,$W$80,NOT($L$121),R124&lt;&gt;""),SUM(R124,R128),"")</f>
        <v/>
      </c>
      <c r="S129" s="5719"/>
      <c r="T129" s="5772" t="str">
        <f>IF(AND($B$66,$W$80,NOT($L$121),T124&lt;&gt;""),SUM(T124,T128),"")</f>
        <v/>
      </c>
      <c r="U129" s="5848"/>
      <c r="V129" s="5772" t="str">
        <f>IF(AND($B$66,$W$80,NOT($L$121),V124&lt;&gt;""),SUM(V124,V128),"")</f>
        <v/>
      </c>
      <c r="W129" s="5773"/>
      <c r="X129" s="112"/>
      <c r="Y129" s="2400"/>
      <c r="Z129" s="624"/>
      <c r="AA129" s="624"/>
      <c r="AB129" s="624"/>
      <c r="AC129" s="624"/>
      <c r="AD129" s="624"/>
      <c r="AE129" s="624"/>
      <c r="AF129" s="624"/>
      <c r="AG129" s="624"/>
      <c r="AH129" s="624"/>
      <c r="AI129" s="624"/>
      <c r="AJ129" s="624"/>
      <c r="AK129" s="624"/>
      <c r="AL129" s="624"/>
      <c r="AM129" s="624"/>
      <c r="AN129" s="624"/>
      <c r="AO129" s="624"/>
      <c r="AP129" s="624"/>
      <c r="AQ129" s="624"/>
      <c r="AR129" s="624"/>
      <c r="AS129" s="624"/>
    </row>
    <row r="130" spans="1:49" ht="13.5" customHeight="1">
      <c r="A130" s="857"/>
      <c r="B130" s="4217"/>
      <c r="C130" s="452">
        <v>22</v>
      </c>
      <c r="D130" s="2808" t="s">
        <v>3627</v>
      </c>
      <c r="E130" s="4217"/>
      <c r="F130" s="4217"/>
      <c r="G130" s="4217"/>
      <c r="H130" s="4217"/>
      <c r="I130" s="4217"/>
      <c r="J130" s="4217"/>
      <c r="K130" s="4217"/>
      <c r="L130" s="4205"/>
      <c r="M130" s="4205"/>
      <c r="N130" s="4205"/>
      <c r="O130" s="4237"/>
      <c r="P130" s="1493"/>
      <c r="Q130" s="4287"/>
      <c r="R130" s="4213"/>
      <c r="S130" s="4276"/>
      <c r="T130" s="4275"/>
      <c r="U130" s="4276"/>
      <c r="V130" s="4274"/>
      <c r="W130" s="4275"/>
      <c r="X130" s="112"/>
      <c r="Y130" s="2400"/>
      <c r="Z130" s="624"/>
      <c r="AA130" s="624"/>
      <c r="AB130" s="624"/>
      <c r="AC130" s="624"/>
      <c r="AD130" s="624"/>
      <c r="AE130" s="624"/>
      <c r="AF130" s="624"/>
      <c r="AG130" s="624"/>
      <c r="AH130" s="624"/>
      <c r="AI130" s="624"/>
      <c r="AJ130" s="624"/>
      <c r="AK130" s="624"/>
      <c r="AL130" s="624"/>
      <c r="AM130" s="624"/>
      <c r="AN130" s="624"/>
      <c r="AO130" s="624"/>
      <c r="AP130" s="624"/>
      <c r="AQ130" s="624"/>
      <c r="AR130" s="624"/>
      <c r="AS130" s="624"/>
    </row>
    <row r="131" spans="1:49" ht="13.5" customHeight="1">
      <c r="A131" s="857"/>
      <c r="B131" s="4217"/>
      <c r="C131" s="452"/>
      <c r="D131" s="4217" t="s">
        <v>3523</v>
      </c>
      <c r="E131" s="4217"/>
      <c r="F131" s="4217"/>
      <c r="G131" s="4217"/>
      <c r="H131" s="4217"/>
      <c r="I131" s="4217"/>
      <c r="J131" s="4217"/>
      <c r="K131" s="4217"/>
      <c r="L131" s="4205"/>
      <c r="M131" s="4205"/>
      <c r="N131" s="2753" t="s">
        <v>3524</v>
      </c>
      <c r="O131" s="4285">
        <v>22</v>
      </c>
      <c r="P131" s="4288"/>
      <c r="Q131" s="4289"/>
      <c r="R131" s="5717" t="str">
        <f>IF(AND($B$66,$W$80,NOT($L$121),R124&lt;&gt;""),IF(P138="",0,P138),"")</f>
        <v/>
      </c>
      <c r="S131" s="5719"/>
      <c r="T131" s="5717" t="str">
        <f>IF(AND($B$66,$W$80,NOT($L$121),T124&lt;&gt;""),IF(R138="",R135,SUM(R135,R138)),"")</f>
        <v/>
      </c>
      <c r="U131" s="5719"/>
      <c r="V131" s="5717" t="str">
        <f>IF(AND($B$66,$W$80,NOT($L$121),V124&lt;&gt;""),IF(T138="",T135,SUM(T135,T138)),"")</f>
        <v/>
      </c>
      <c r="W131" s="5718"/>
      <c r="X131" s="112"/>
      <c r="Y131" s="2400"/>
      <c r="Z131" s="624"/>
      <c r="AA131" s="624"/>
      <c r="AB131" s="624"/>
      <c r="AC131" s="624"/>
      <c r="AD131" s="624"/>
      <c r="AE131" s="624"/>
      <c r="AF131" s="624"/>
      <c r="AG131" s="624"/>
      <c r="AH131" s="624"/>
      <c r="AI131" s="624"/>
      <c r="AJ131" s="624"/>
      <c r="AK131" s="624"/>
      <c r="AL131" s="624"/>
      <c r="AM131" s="624"/>
      <c r="AN131" s="624"/>
      <c r="AO131" s="624"/>
      <c r="AP131" s="624"/>
      <c r="AQ131" s="624"/>
      <c r="AR131" s="624"/>
      <c r="AS131" s="624"/>
    </row>
    <row r="132" spans="1:49" ht="13.5" customHeight="1">
      <c r="A132" s="945"/>
      <c r="B132" s="4217"/>
      <c r="C132" s="452">
        <v>23</v>
      </c>
      <c r="D132" s="2808" t="s">
        <v>3525</v>
      </c>
      <c r="E132" s="4217"/>
      <c r="F132" s="4217"/>
      <c r="G132" s="4217"/>
      <c r="H132" s="4217"/>
      <c r="I132" s="4217"/>
      <c r="J132" s="4217"/>
      <c r="K132" s="4217"/>
      <c r="L132" s="4205"/>
      <c r="M132" s="4205"/>
      <c r="N132" s="4205"/>
      <c r="O132" s="4284"/>
      <c r="P132" s="4213"/>
      <c r="Q132" s="2570"/>
      <c r="R132" s="4213"/>
      <c r="S132" s="4276"/>
      <c r="T132" s="4275"/>
      <c r="U132" s="4276"/>
      <c r="V132" s="4274"/>
      <c r="W132" s="4275"/>
      <c r="X132" s="112"/>
      <c r="Y132" s="2400"/>
      <c r="Z132" s="624"/>
      <c r="AA132" s="624"/>
      <c r="AB132" s="624"/>
      <c r="AC132" s="624"/>
      <c r="AD132" s="624"/>
      <c r="AE132" s="624"/>
      <c r="AF132" s="624"/>
      <c r="AG132" s="624"/>
      <c r="AH132" s="624"/>
      <c r="AI132" s="624"/>
      <c r="AJ132" s="624"/>
      <c r="AK132" s="624"/>
      <c r="AL132" s="624"/>
      <c r="AM132" s="624"/>
      <c r="AN132" s="624"/>
      <c r="AO132" s="624"/>
      <c r="AP132" s="624"/>
      <c r="AQ132" s="624"/>
      <c r="AR132" s="624"/>
      <c r="AS132" s="624"/>
    </row>
    <row r="133" spans="1:49" ht="13.5" customHeight="1">
      <c r="A133" s="857"/>
      <c r="B133" s="4217"/>
      <c r="C133" s="452"/>
      <c r="D133" s="2808" t="s">
        <v>3526</v>
      </c>
      <c r="E133" s="4217"/>
      <c r="F133" s="4217"/>
      <c r="G133" s="4217"/>
      <c r="H133" s="4217"/>
      <c r="I133" s="4217"/>
      <c r="J133" s="4217"/>
      <c r="K133" s="4217"/>
      <c r="L133" s="4205"/>
      <c r="M133" s="4205"/>
      <c r="N133" s="2753"/>
      <c r="O133" s="4285">
        <v>23</v>
      </c>
      <c r="P133" s="5717" t="str">
        <f>IF(AND($B$66,$W$80,NOT($L$121),P124&lt;&gt;""),P124,"")</f>
        <v/>
      </c>
      <c r="Q133" s="5719"/>
      <c r="R133" s="5717" t="str">
        <f>IF(AND($B$66,$W$80,NOT($L$121),R124&lt;&gt;"",R131&lt;&gt;""),IF(SUM(R129,-R131)&lt;=0,0,SUM(R129,-R131)),"")</f>
        <v/>
      </c>
      <c r="S133" s="5719"/>
      <c r="T133" s="5717" t="str">
        <f>IF(AND($B$66,$W$80,NOT($L$121),T124&lt;&gt;"",T131&lt;&gt;""),IF(SUM(T129,-T131)&lt;=0,0,SUM(T129,-T131)),"")</f>
        <v/>
      </c>
      <c r="U133" s="5719"/>
      <c r="V133" s="5717" t="str">
        <f>IF(AND($B$66,$W$80,NOT($L$121),V124&lt;&gt;"",V131&lt;&gt;""),IF(SUM(V129,-V131)&lt;=0,0,SUM(V129,-V131)),"")</f>
        <v/>
      </c>
      <c r="W133" s="5718"/>
      <c r="X133" s="112"/>
      <c r="Y133" s="2400"/>
      <c r="Z133" s="624"/>
      <c r="AA133" s="624"/>
      <c r="AB133" s="624"/>
      <c r="AC133" s="624"/>
      <c r="AD133" s="624"/>
      <c r="AE133" s="624"/>
      <c r="AF133" s="624"/>
      <c r="AG133" s="624"/>
      <c r="AH133" s="624"/>
      <c r="AI133" s="624"/>
      <c r="AJ133" s="624"/>
      <c r="AK133" s="624"/>
      <c r="AL133" s="624"/>
      <c r="AM133" s="624"/>
      <c r="AN133" s="624"/>
      <c r="AO133" s="624"/>
      <c r="AP133" s="624"/>
      <c r="AQ133" s="624"/>
      <c r="AR133" s="624"/>
      <c r="AS133" s="624"/>
    </row>
    <row r="134" spans="1:49" ht="13.5" customHeight="1">
      <c r="A134" s="945"/>
      <c r="B134" s="4217"/>
      <c r="C134" s="452">
        <v>24</v>
      </c>
      <c r="D134" s="2808" t="s">
        <v>3527</v>
      </c>
      <c r="E134" s="4217"/>
      <c r="F134" s="4217"/>
      <c r="G134" s="4217"/>
      <c r="H134" s="4217"/>
      <c r="I134" s="4217"/>
      <c r="J134" s="4217"/>
      <c r="K134" s="4217"/>
      <c r="L134" s="4205"/>
      <c r="M134" s="4205"/>
      <c r="N134" s="4205"/>
      <c r="O134" s="4284"/>
      <c r="P134" s="4294"/>
      <c r="Q134" s="4295"/>
      <c r="R134" s="4213"/>
      <c r="S134" s="4276"/>
      <c r="T134" s="4275"/>
      <c r="U134" s="4276"/>
      <c r="V134" s="4294"/>
      <c r="W134" s="4322"/>
      <c r="X134" s="112"/>
      <c r="Y134" s="2400"/>
      <c r="Z134" s="624"/>
      <c r="AA134" s="624"/>
      <c r="AB134" s="624"/>
      <c r="AC134" s="624"/>
      <c r="AD134" s="624"/>
      <c r="AE134" s="624"/>
      <c r="AF134" s="624"/>
      <c r="AG134" s="624"/>
      <c r="AH134" s="624"/>
      <c r="AI134" s="624"/>
      <c r="AJ134" s="624"/>
      <c r="AK134" s="624"/>
      <c r="AL134" s="624"/>
      <c r="AM134" s="624"/>
      <c r="AN134" s="624"/>
      <c r="AO134" s="624"/>
      <c r="AP134" s="624"/>
      <c r="AQ134" s="624"/>
      <c r="AR134" s="624"/>
      <c r="AS134" s="624"/>
    </row>
    <row r="135" spans="1:49" ht="13.5" customHeight="1">
      <c r="A135" s="857"/>
      <c r="B135" s="4217"/>
      <c r="C135" s="452"/>
      <c r="D135" s="2808" t="s">
        <v>3528</v>
      </c>
      <c r="E135" s="4217"/>
      <c r="F135" s="4217"/>
      <c r="G135" s="4217"/>
      <c r="H135" s="4217"/>
      <c r="I135" s="4217"/>
      <c r="J135" s="4217"/>
      <c r="K135" s="4217"/>
      <c r="L135" s="4205"/>
      <c r="M135" s="4205"/>
      <c r="N135" s="2753" t="s">
        <v>1659</v>
      </c>
      <c r="O135" s="4285">
        <v>24</v>
      </c>
      <c r="P135" s="4288"/>
      <c r="Q135" s="4289"/>
      <c r="R135" s="5717" t="str">
        <f>IF(AND($B$66,$W$80,NOT($L$121),R124&lt;&gt;""),IF(R133=0,SUM(R131,-R129),0),"")</f>
        <v/>
      </c>
      <c r="S135" s="5719"/>
      <c r="T135" s="5717" t="str">
        <f>IF(AND($B$66,$W$80,NOT($L$121),T124&lt;&gt;""),IF(T133=0,SUM(T131,-T129),0),"")</f>
        <v/>
      </c>
      <c r="U135" s="5719"/>
      <c r="V135" s="4288"/>
      <c r="W135" s="4323"/>
      <c r="X135" s="112"/>
      <c r="Y135" s="2400"/>
      <c r="Z135" s="624"/>
      <c r="AA135" s="614"/>
      <c r="AB135" s="624"/>
      <c r="AC135" s="624"/>
      <c r="AD135" s="624"/>
      <c r="AE135" s="624"/>
      <c r="AF135" s="624"/>
      <c r="AG135" s="624"/>
      <c r="AH135" s="624"/>
      <c r="AI135" s="624"/>
      <c r="AJ135" s="624"/>
      <c r="AK135" s="624"/>
      <c r="AL135" s="624"/>
      <c r="AM135" s="624"/>
      <c r="AN135" s="624"/>
      <c r="AO135" s="624"/>
      <c r="AP135" s="624"/>
      <c r="AQ135" s="624"/>
      <c r="AR135" s="624"/>
      <c r="AS135" s="624"/>
    </row>
    <row r="136" spans="1:49" ht="13.5" customHeight="1">
      <c r="A136" s="857"/>
      <c r="B136" s="4217"/>
      <c r="C136" s="452">
        <v>25</v>
      </c>
      <c r="D136" s="2808" t="s">
        <v>3530</v>
      </c>
      <c r="E136" s="4217"/>
      <c r="F136" s="4217"/>
      <c r="G136" s="4217"/>
      <c r="H136" s="4217"/>
      <c r="I136" s="4217"/>
      <c r="J136" s="4217"/>
      <c r="K136" s="4217"/>
      <c r="L136" s="4205"/>
      <c r="M136" s="4205"/>
      <c r="N136" s="4205"/>
      <c r="O136" s="4237"/>
      <c r="P136" s="4213"/>
      <c r="Q136" s="2570"/>
      <c r="R136" s="4213"/>
      <c r="S136" s="4276"/>
      <c r="T136" s="4275"/>
      <c r="U136" s="4276"/>
      <c r="V136" s="4274"/>
      <c r="W136" s="4275"/>
      <c r="X136" s="112"/>
      <c r="Y136" s="2400"/>
      <c r="Z136" s="624"/>
      <c r="AA136" s="614"/>
      <c r="AB136" s="624"/>
      <c r="AC136" s="624"/>
      <c r="AD136" s="624"/>
      <c r="AE136" s="624"/>
      <c r="AF136" s="624"/>
      <c r="AG136" s="624"/>
      <c r="AH136" s="624"/>
      <c r="AI136" s="624"/>
      <c r="AJ136" s="4300" t="str">
        <f>AJ116</f>
        <v>(a)</v>
      </c>
      <c r="AK136" s="624"/>
      <c r="AL136" s="4300" t="str">
        <f>AL116</f>
        <v>(b)</v>
      </c>
      <c r="AM136" s="624"/>
      <c r="AN136" s="4300" t="str">
        <f>AN116</f>
        <v>(c)</v>
      </c>
      <c r="AO136" s="624"/>
      <c r="AP136" s="4300" t="str">
        <f>AP116</f>
        <v>(d)</v>
      </c>
      <c r="AQ136" s="624"/>
      <c r="AR136" s="624"/>
      <c r="AS136" s="624"/>
    </row>
    <row r="137" spans="1:49" ht="13.5" customHeight="1" thickBot="1">
      <c r="A137" s="857"/>
      <c r="B137" s="4217"/>
      <c r="C137" s="57"/>
      <c r="D137" s="2808" t="s">
        <v>3529</v>
      </c>
      <c r="E137" s="4217"/>
      <c r="F137" s="4217"/>
      <c r="G137" s="4217"/>
      <c r="H137" s="4217"/>
      <c r="I137" s="4217"/>
      <c r="J137" s="4217"/>
      <c r="K137" s="784"/>
      <c r="L137" s="4205"/>
      <c r="M137" s="4205"/>
      <c r="N137" s="4205"/>
      <c r="O137" s="4237"/>
      <c r="P137" s="4213"/>
      <c r="Q137" s="2570"/>
      <c r="R137" s="4213"/>
      <c r="S137" s="4276"/>
      <c r="T137" s="4275"/>
      <c r="U137" s="4276"/>
      <c r="V137" s="4274"/>
      <c r="W137" s="4275"/>
      <c r="X137" s="112"/>
      <c r="Y137" s="2400"/>
      <c r="Z137" s="624"/>
      <c r="AA137" s="614"/>
      <c r="AB137" s="624"/>
      <c r="AC137" s="624"/>
      <c r="AD137" s="624"/>
      <c r="AE137" s="624"/>
      <c r="AF137" s="624"/>
      <c r="AG137" s="624"/>
      <c r="AH137" s="624"/>
      <c r="AI137" s="624"/>
      <c r="AJ137" s="4480" t="str">
        <f>"4/15/"&amp;TaxYear-2000</f>
        <v>4/15/16</v>
      </c>
      <c r="AK137" s="624"/>
      <c r="AL137" s="4480" t="str">
        <f>"6/15/"&amp;TaxYear-1999</f>
        <v>6/15/17</v>
      </c>
      <c r="AM137" s="624"/>
      <c r="AN137" s="4483" t="str">
        <f>"9/15/"&amp;TaxYear-2000</f>
        <v>9/15/16</v>
      </c>
      <c r="AO137" s="624"/>
      <c r="AP137" s="4480" t="str">
        <f>"1/15/"&amp;TaxYear+1-2000</f>
        <v>1/15/17</v>
      </c>
      <c r="AQ137" s="624"/>
      <c r="AR137" s="624"/>
      <c r="AS137" s="624"/>
    </row>
    <row r="138" spans="1:49" ht="13.5" customHeight="1" thickBot="1">
      <c r="A138" s="857"/>
      <c r="B138" s="4217"/>
      <c r="C138" s="4217"/>
      <c r="D138" s="2808" t="s">
        <v>3626</v>
      </c>
      <c r="E138" s="4217"/>
      <c r="F138" s="4217"/>
      <c r="G138" s="4217"/>
      <c r="H138" s="4217"/>
      <c r="I138" s="4217"/>
      <c r="J138" s="4217"/>
      <c r="K138" s="4217"/>
      <c r="L138" s="4205"/>
      <c r="M138" s="4205"/>
      <c r="N138" s="2753" t="s">
        <v>931</v>
      </c>
      <c r="O138" s="4285">
        <v>25</v>
      </c>
      <c r="P138" s="5717" t="str">
        <f>IF(AJ138&lt;&gt;"",ROUND(AJ138,0),IF(AND($B$66,$W$80,NOT($L$121),P124&lt;&gt;""),IF(P118&gt;=P133,SUM(P118,-P133),""),""))</f>
        <v/>
      </c>
      <c r="Q138" s="5719"/>
      <c r="R138" s="5717" t="str">
        <f>IF(AL138&lt;&gt;"",ROUND(AL138,0),IF(AND($B$66,$W$80,NOT($L$121),R124&lt;&gt;""),IF(R118&gt;=R133,SUM(R118,-R133),""),""))</f>
        <v/>
      </c>
      <c r="S138" s="5719"/>
      <c r="T138" s="5717" t="str">
        <f>IF(AN138&lt;&gt;"",ROUND(AN138,0),IF(AND($B$66,$W$80,NOT($L$121),T124&lt;&gt;""),IF(T118&gt;=T133,SUM(T118,-T133),""),""))</f>
        <v/>
      </c>
      <c r="U138" s="5719"/>
      <c r="V138" s="5717" t="str">
        <f>IF(AP138&lt;&gt;"",ROUND(AP138,0),IF(AND($B$66,$W$80,NOT($L$121),V124&lt;&gt;""),IF(V118&gt;=V133,SUM(V118,-V133),""),""))</f>
        <v/>
      </c>
      <c r="W138" s="5718"/>
      <c r="X138" s="112"/>
      <c r="Y138" s="2400"/>
      <c r="Z138" s="4476" t="s">
        <v>3756</v>
      </c>
      <c r="AA138" s="614"/>
      <c r="AB138" s="624"/>
      <c r="AC138" s="624"/>
      <c r="AD138" s="624"/>
      <c r="AE138" s="624"/>
      <c r="AF138" s="624"/>
      <c r="AG138" s="624"/>
      <c r="AH138" s="624"/>
      <c r="AI138" s="624"/>
      <c r="AJ138" s="4481"/>
      <c r="AK138" s="624"/>
      <c r="AL138" s="4482"/>
      <c r="AM138" s="624"/>
      <c r="AN138" s="4482"/>
      <c r="AO138" s="624"/>
      <c r="AP138" s="4482"/>
      <c r="AQ138" s="624"/>
      <c r="AR138" s="624"/>
      <c r="AS138" s="624"/>
      <c r="AT138" s="1374"/>
      <c r="AU138" s="1374"/>
      <c r="AV138" s="1374"/>
      <c r="AW138" s="1374"/>
    </row>
    <row r="139" spans="1:49" ht="13.5" customHeight="1">
      <c r="A139" s="857"/>
      <c r="B139" s="4217"/>
      <c r="C139" s="452">
        <v>26</v>
      </c>
      <c r="D139" s="2808" t="s">
        <v>3712</v>
      </c>
      <c r="E139" s="4217"/>
      <c r="F139" s="4217"/>
      <c r="G139" s="4217"/>
      <c r="H139" s="4217"/>
      <c r="I139" s="4217"/>
      <c r="J139" s="4217"/>
      <c r="K139" s="4217"/>
      <c r="L139" s="4205"/>
      <c r="M139" s="4205"/>
      <c r="N139" s="4205"/>
      <c r="O139" s="4237"/>
      <c r="P139" s="4213"/>
      <c r="Q139" s="2570"/>
      <c r="R139" s="4213"/>
      <c r="S139" s="4276"/>
      <c r="T139" s="4275"/>
      <c r="U139" s="4276"/>
      <c r="V139" s="4274"/>
      <c r="W139" s="4275"/>
      <c r="X139" s="112"/>
      <c r="Y139" s="2400"/>
      <c r="Z139" s="624"/>
      <c r="AA139" s="614"/>
      <c r="AB139" s="624"/>
      <c r="AC139" s="624"/>
      <c r="AD139" s="624"/>
      <c r="AE139" s="624"/>
      <c r="AF139" s="624"/>
      <c r="AG139" s="624"/>
      <c r="AH139" s="624"/>
      <c r="AI139" s="624"/>
      <c r="AJ139" s="624"/>
      <c r="AK139" s="624"/>
      <c r="AL139" s="624"/>
      <c r="AM139" s="624"/>
      <c r="AN139" s="624"/>
      <c r="AO139" s="624"/>
      <c r="AP139" s="624"/>
      <c r="AQ139" s="624"/>
      <c r="AR139" s="624"/>
      <c r="AS139" s="624"/>
    </row>
    <row r="140" spans="1:49" ht="13.5" customHeight="1" thickBot="1">
      <c r="A140" s="857"/>
      <c r="B140" s="4217"/>
      <c r="C140" s="57"/>
      <c r="D140" s="2808" t="s">
        <v>3531</v>
      </c>
      <c r="E140" s="4217"/>
      <c r="F140" s="4217"/>
      <c r="G140" s="4217"/>
      <c r="H140" s="4217"/>
      <c r="I140" s="4217"/>
      <c r="J140" s="4217"/>
      <c r="K140" s="784"/>
      <c r="L140" s="4205"/>
      <c r="M140" s="4205"/>
      <c r="N140" s="4205"/>
      <c r="O140" s="4237"/>
      <c r="P140" s="4213"/>
      <c r="Q140" s="2570"/>
      <c r="R140" s="4213"/>
      <c r="S140" s="4276"/>
      <c r="T140" s="4275"/>
      <c r="U140" s="4276"/>
      <c r="V140" s="4274"/>
      <c r="W140" s="4275"/>
      <c r="X140" s="112"/>
      <c r="Y140" s="2400"/>
      <c r="Z140" s="624"/>
      <c r="AA140" s="614"/>
      <c r="AB140" s="624"/>
      <c r="AC140" s="624"/>
      <c r="AD140" s="624"/>
      <c r="AE140" s="624"/>
      <c r="AF140" s="624"/>
      <c r="AG140" s="624"/>
      <c r="AH140" s="624"/>
      <c r="AI140" s="624"/>
      <c r="AJ140" s="624"/>
      <c r="AK140" s="624"/>
      <c r="AL140" s="624"/>
      <c r="AM140" s="624"/>
      <c r="AN140" s="624"/>
      <c r="AO140" s="624"/>
      <c r="AP140" s="624"/>
      <c r="AQ140" s="624"/>
      <c r="AR140" s="624"/>
      <c r="AS140" s="624"/>
    </row>
    <row r="141" spans="1:49" ht="13.5" customHeight="1" thickBot="1">
      <c r="A141" s="857"/>
      <c r="B141" s="4217"/>
      <c r="C141" s="4217"/>
      <c r="D141" s="2808" t="s">
        <v>3532</v>
      </c>
      <c r="E141" s="4217"/>
      <c r="F141" s="4217"/>
      <c r="G141" s="4217"/>
      <c r="H141" s="4217"/>
      <c r="I141" s="4217"/>
      <c r="J141" s="4217"/>
      <c r="K141" s="4217"/>
      <c r="L141" s="4205"/>
      <c r="M141" s="4205"/>
      <c r="N141" s="2753" t="s">
        <v>596</v>
      </c>
      <c r="O141" s="4292">
        <v>26</v>
      </c>
      <c r="P141" s="5849" t="str">
        <f>IF(AJ141&lt;&gt;"",ROUND(AJ141,0),IF(AND($B$66,$W$80,NOT($L$121),P124&lt;&gt;""),IF(P133&gt;P118,SUM(P133,-P118),""),""))</f>
        <v/>
      </c>
      <c r="Q141" s="5850"/>
      <c r="R141" s="5849" t="str">
        <f>IF(AL141&lt;&gt;"",ROUND(AL141,0),IF(AND($B$66,$W$80,NOT($L$121),R124&lt;&gt;""),IF(R133&gt;R118,SUM(R133,-R118),""),""))</f>
        <v/>
      </c>
      <c r="S141" s="5850"/>
      <c r="T141" s="5849" t="str">
        <f>IF(AN141&lt;&gt;"",ROUND(AN141,0),IF(AND($B$66,$W$80,NOT($L$121),T124&lt;&gt;""),IF(T133&gt;T118,SUM(T133,-T118),""),""))</f>
        <v/>
      </c>
      <c r="U141" s="5850"/>
      <c r="V141" s="5717" t="str">
        <f>IF(AP141&lt;&gt;"",ROUND(AP141,0),IF(AND($B$66,$W$80,NOT($L$121),V124&lt;&gt;""),IF(V133&gt;V118,SUM(V133,-V118),""),""))</f>
        <v/>
      </c>
      <c r="W141" s="5718"/>
      <c r="X141" s="112"/>
      <c r="Y141" s="2400"/>
      <c r="Z141" s="4476" t="s">
        <v>3756</v>
      </c>
      <c r="AA141" s="614"/>
      <c r="AB141" s="624"/>
      <c r="AC141" s="624"/>
      <c r="AD141" s="624"/>
      <c r="AE141" s="624"/>
      <c r="AF141" s="624"/>
      <c r="AG141" s="624"/>
      <c r="AH141" s="624"/>
      <c r="AI141" s="624"/>
      <c r="AJ141" s="4481"/>
      <c r="AK141" s="624"/>
      <c r="AL141" s="4482"/>
      <c r="AM141" s="624"/>
      <c r="AN141" s="4482"/>
      <c r="AO141" s="624"/>
      <c r="AP141" s="4482"/>
      <c r="AQ141" s="624"/>
      <c r="AR141" s="624"/>
      <c r="AS141" s="624"/>
    </row>
    <row r="142" spans="1:49" ht="14.25" customHeight="1">
      <c r="A142" s="945"/>
      <c r="B142" s="4218"/>
      <c r="C142" s="4293" t="s">
        <v>3538</v>
      </c>
      <c r="D142" s="4293"/>
      <c r="E142" s="4218"/>
      <c r="F142" s="4218"/>
      <c r="G142" s="4218"/>
      <c r="H142" s="4218"/>
      <c r="I142" s="4218"/>
      <c r="J142" s="4218"/>
      <c r="K142" s="4218"/>
      <c r="L142" s="4218"/>
      <c r="M142" s="4218"/>
      <c r="N142" s="4218"/>
      <c r="O142" s="4218"/>
      <c r="P142" s="4218"/>
      <c r="Q142" s="4218"/>
      <c r="R142" s="4218"/>
      <c r="S142" s="4218"/>
      <c r="T142" s="4218"/>
      <c r="U142" s="4218"/>
      <c r="V142" s="4218"/>
      <c r="W142" s="4218"/>
      <c r="X142" s="112"/>
      <c r="Y142" s="2400"/>
      <c r="Z142" s="614"/>
      <c r="AA142" s="614"/>
      <c r="AB142" s="624"/>
      <c r="AC142" s="624"/>
      <c r="AD142" s="624"/>
      <c r="AE142" s="624"/>
      <c r="AF142" s="624"/>
      <c r="AG142" s="624"/>
      <c r="AH142" s="624"/>
      <c r="AI142" s="624"/>
      <c r="AJ142" s="624"/>
      <c r="AK142" s="624"/>
      <c r="AL142" s="624"/>
      <c r="AM142" s="624"/>
      <c r="AN142" s="624"/>
      <c r="AO142" s="624"/>
      <c r="AP142" s="624"/>
      <c r="AQ142" s="624"/>
      <c r="AR142" s="624"/>
      <c r="AS142" s="624"/>
    </row>
    <row r="143" spans="1:49" ht="14.25" customHeight="1">
      <c r="A143" s="945"/>
      <c r="B143" s="4279"/>
      <c r="C143" s="4279" t="s">
        <v>3533</v>
      </c>
      <c r="D143" s="4279"/>
      <c r="E143" s="4279"/>
      <c r="F143" s="4279"/>
      <c r="G143" s="4279"/>
      <c r="H143" s="4279"/>
      <c r="I143" s="4279"/>
      <c r="J143" s="4279"/>
      <c r="K143" s="4279"/>
      <c r="L143" s="4279"/>
      <c r="M143" s="4279"/>
      <c r="N143" s="4279"/>
      <c r="O143" s="4279"/>
      <c r="P143" s="4279"/>
      <c r="Q143" s="4279"/>
      <c r="R143" s="4279"/>
      <c r="S143" s="4279"/>
      <c r="T143" s="4279"/>
      <c r="U143" s="4279"/>
      <c r="V143" s="4279"/>
      <c r="W143" s="4279"/>
      <c r="X143" s="112"/>
      <c r="Y143" s="2400"/>
      <c r="Z143" s="614"/>
      <c r="AA143" s="614"/>
      <c r="AB143" s="624"/>
      <c r="AC143" s="624"/>
      <c r="AD143" s="624"/>
      <c r="AE143" s="624"/>
      <c r="AF143" s="624"/>
      <c r="AG143" s="624"/>
      <c r="AH143" s="624"/>
      <c r="AI143" s="624"/>
      <c r="AJ143" s="624"/>
      <c r="AK143" s="624"/>
      <c r="AL143" s="624"/>
      <c r="AM143" s="624"/>
      <c r="AN143" s="624"/>
      <c r="AO143" s="624"/>
      <c r="AP143" s="624"/>
      <c r="AQ143" s="624"/>
      <c r="AR143" s="624"/>
      <c r="AS143" s="624"/>
    </row>
    <row r="144" spans="1:49" ht="14.25" customHeight="1">
      <c r="A144" s="945"/>
      <c r="B144" s="4217"/>
      <c r="C144" s="452">
        <v>27</v>
      </c>
      <c r="D144" s="2808" t="s">
        <v>3536</v>
      </c>
      <c r="E144" s="4217"/>
      <c r="F144" s="4217"/>
      <c r="G144" s="4217"/>
      <c r="H144" s="4217"/>
      <c r="I144" s="4217"/>
      <c r="J144" s="4217"/>
      <c r="K144" s="4217"/>
      <c r="L144" s="4205"/>
      <c r="M144" s="4205"/>
      <c r="N144" s="4205"/>
      <c r="O144" s="4205"/>
      <c r="P144" s="4205"/>
      <c r="Q144" s="4205"/>
      <c r="R144" s="4205"/>
      <c r="S144" s="4205"/>
      <c r="T144" s="4284"/>
      <c r="U144" s="4205"/>
      <c r="V144" s="4205"/>
      <c r="W144" s="4205"/>
      <c r="X144" s="112"/>
      <c r="Y144" s="2400"/>
      <c r="Z144" s="614"/>
      <c r="AA144" s="614"/>
      <c r="AB144" s="624"/>
      <c r="AC144" s="624"/>
      <c r="AD144" s="624"/>
      <c r="AE144" s="624"/>
      <c r="AF144" s="624"/>
      <c r="AG144" s="624"/>
      <c r="AH144" s="624"/>
      <c r="AI144" s="624"/>
      <c r="AJ144" s="624"/>
      <c r="AK144" s="624"/>
      <c r="AL144" s="624"/>
      <c r="AM144" s="624"/>
      <c r="AN144" s="624"/>
      <c r="AO144" s="624"/>
      <c r="AP144" s="624"/>
      <c r="AQ144" s="624"/>
      <c r="AR144" s="624"/>
      <c r="AS144" s="624"/>
    </row>
    <row r="145" spans="1:49" ht="14.25" customHeight="1">
      <c r="A145" s="945"/>
      <c r="B145" s="4217"/>
      <c r="C145" s="452"/>
      <c r="D145" s="2808" t="s">
        <v>3537</v>
      </c>
      <c r="E145" s="4217"/>
      <c r="F145" s="4217"/>
      <c r="G145" s="4217"/>
      <c r="H145" s="4217"/>
      <c r="I145" s="4217"/>
      <c r="J145" s="4217"/>
      <c r="K145" s="4217"/>
      <c r="L145" s="4205"/>
      <c r="M145" s="4205"/>
      <c r="N145" s="4205"/>
      <c r="O145" s="4205"/>
      <c r="P145" s="4205"/>
      <c r="Q145" s="4205"/>
      <c r="R145" s="4205"/>
      <c r="S145" s="4205"/>
      <c r="T145" s="4237"/>
      <c r="U145" s="4205"/>
      <c r="V145" s="4205"/>
      <c r="W145" s="4205"/>
      <c r="X145" s="112"/>
      <c r="Y145" s="2400"/>
      <c r="Z145" s="614"/>
      <c r="AA145" s="614"/>
      <c r="AB145" s="624"/>
      <c r="AC145" s="624"/>
      <c r="AD145" s="624"/>
      <c r="AE145" s="624"/>
      <c r="AF145" s="624"/>
      <c r="AG145" s="624"/>
      <c r="AH145" s="624"/>
      <c r="AI145" s="624"/>
      <c r="AJ145" s="624"/>
      <c r="AK145" s="624"/>
      <c r="AL145" s="624"/>
      <c r="AM145" s="624"/>
      <c r="AN145" s="624"/>
      <c r="AO145" s="624"/>
      <c r="AP145" s="624"/>
      <c r="AQ145" s="624"/>
      <c r="AR145" s="624"/>
      <c r="AS145" s="624"/>
    </row>
    <row r="146" spans="1:49" ht="14.25" customHeight="1" thickBot="1">
      <c r="A146" s="945"/>
      <c r="B146" s="4217"/>
      <c r="C146" s="452"/>
      <c r="D146" s="2808" t="s">
        <v>3544</v>
      </c>
      <c r="E146" s="4217"/>
      <c r="F146" s="4217"/>
      <c r="G146" s="4217"/>
      <c r="H146" s="4217"/>
      <c r="I146" s="4217"/>
      <c r="J146" s="4217"/>
      <c r="K146" s="2754" t="s">
        <v>3545</v>
      </c>
      <c r="L146" s="4205"/>
      <c r="M146" s="4205"/>
      <c r="N146" s="4205"/>
      <c r="O146" s="4205"/>
      <c r="P146" s="4205"/>
      <c r="Q146" s="4205"/>
      <c r="R146" s="4205"/>
      <c r="S146" s="4205"/>
      <c r="T146" s="4237"/>
      <c r="U146" s="4205"/>
      <c r="V146" s="4205"/>
      <c r="W146" s="4205"/>
      <c r="X146" s="112"/>
      <c r="Y146" s="2400"/>
      <c r="Z146" s="614"/>
      <c r="AA146" s="614"/>
      <c r="AB146" s="624"/>
      <c r="AC146" s="624"/>
      <c r="AD146" s="624"/>
      <c r="AE146" s="624"/>
      <c r="AF146" s="624"/>
      <c r="AG146" s="624"/>
      <c r="AH146" s="624"/>
      <c r="AI146" s="624"/>
      <c r="AJ146" s="624"/>
      <c r="AK146" s="624"/>
      <c r="AL146" s="624"/>
      <c r="AM146" s="624"/>
      <c r="AN146" s="624"/>
      <c r="AO146" s="624"/>
      <c r="AP146" s="624"/>
      <c r="AQ146" s="624"/>
      <c r="AR146" s="624"/>
      <c r="AS146" s="624"/>
    </row>
    <row r="147" spans="1:49" ht="14.25" customHeight="1" thickBot="1">
      <c r="A147" s="945"/>
      <c r="B147" s="4217"/>
      <c r="C147" s="452"/>
      <c r="D147" s="2754" t="s">
        <v>3534</v>
      </c>
      <c r="E147" s="4217"/>
      <c r="F147" s="4217"/>
      <c r="G147" s="4217"/>
      <c r="H147" s="4217"/>
      <c r="I147" s="4217"/>
      <c r="J147" s="4217"/>
      <c r="K147" s="4217"/>
      <c r="L147" s="4205"/>
      <c r="M147" s="4205"/>
      <c r="N147" s="4205"/>
      <c r="O147" s="4205"/>
      <c r="P147" s="4205"/>
      <c r="Q147" s="4205"/>
      <c r="R147" s="4205"/>
      <c r="S147" s="2753" t="s">
        <v>3004</v>
      </c>
      <c r="T147" s="450">
        <v>27</v>
      </c>
      <c r="U147" s="5601">
        <f>IF(Z147&lt;&gt;"",ROUND(Z147,0),IF(AND($B$66,$W$80,NOT($L$121),V124&lt;&gt;""),V265,0))</f>
        <v>0</v>
      </c>
      <c r="V147" s="5602"/>
      <c r="W147" s="5602"/>
      <c r="X147" s="112"/>
      <c r="Y147" s="2400"/>
      <c r="Z147" s="566"/>
      <c r="AA147" s="614"/>
      <c r="AB147" s="624"/>
      <c r="AC147" s="624"/>
      <c r="AD147" s="624"/>
      <c r="AE147" s="624"/>
      <c r="AF147" s="624"/>
      <c r="AG147" s="624"/>
      <c r="AH147" s="624"/>
      <c r="AI147" s="624"/>
      <c r="AJ147" s="624"/>
      <c r="AK147" s="624"/>
      <c r="AL147" s="624"/>
      <c r="AM147" s="624"/>
      <c r="AN147" s="624"/>
      <c r="AO147" s="624"/>
      <c r="AP147" s="624"/>
      <c r="AQ147" s="624"/>
      <c r="AR147" s="624"/>
      <c r="AS147" s="624"/>
    </row>
    <row r="148" spans="1:49" s="1374" customFormat="1" ht="17.25" customHeight="1">
      <c r="A148" s="1368"/>
      <c r="B148" s="4243"/>
      <c r="C148" s="4249"/>
      <c r="D148" s="4244"/>
      <c r="E148" s="4243"/>
      <c r="F148" s="4243"/>
      <c r="G148" s="4243"/>
      <c r="H148" s="4243"/>
      <c r="I148" s="4243"/>
      <c r="J148" s="4243"/>
      <c r="K148" s="4243"/>
      <c r="L148" s="4243"/>
      <c r="M148" s="4243"/>
      <c r="N148" s="4243"/>
      <c r="O148" s="4243"/>
      <c r="P148" s="4243"/>
      <c r="Q148" s="4245"/>
      <c r="R148" s="4246"/>
      <c r="S148" s="4243"/>
      <c r="T148" s="4243"/>
      <c r="U148" s="4247"/>
      <c r="V148" s="4247" t="s">
        <v>3461</v>
      </c>
      <c r="W148" s="4247" t="str">
        <f>"("&amp;TaxYear&amp;")"</f>
        <v>(2016)</v>
      </c>
      <c r="X148" s="1372"/>
      <c r="Y148" s="2146"/>
      <c r="Z148" s="614"/>
      <c r="AA148" s="614"/>
      <c r="AB148" s="624"/>
      <c r="AC148" s="624"/>
      <c r="AD148" s="624"/>
      <c r="AE148" s="624"/>
      <c r="AF148" s="624"/>
      <c r="AG148" s="624"/>
      <c r="AH148" s="624"/>
      <c r="AI148" s="624"/>
      <c r="AJ148" s="624"/>
      <c r="AK148" s="624"/>
      <c r="AL148" s="624"/>
      <c r="AM148" s="624"/>
      <c r="AN148" s="624"/>
      <c r="AO148" s="624"/>
      <c r="AP148" s="624"/>
      <c r="AQ148" s="624"/>
      <c r="AR148" s="624"/>
      <c r="AS148" s="624"/>
      <c r="AT148"/>
      <c r="AU148"/>
      <c r="AV148"/>
      <c r="AW148"/>
    </row>
    <row r="149" spans="1:49" ht="20.25" customHeight="1" thickBot="1">
      <c r="A149" s="857"/>
      <c r="B149" s="67"/>
      <c r="C149" s="3119" t="str">
        <f>"Form 2210 ("&amp;TaxYear&amp;")"</f>
        <v>Form 2210 (2016)</v>
      </c>
      <c r="D149" s="451"/>
      <c r="E149" s="52"/>
      <c r="F149" s="52"/>
      <c r="G149" s="52"/>
      <c r="H149" s="52"/>
      <c r="I149" s="52"/>
      <c r="J149" s="52"/>
      <c r="K149" s="52"/>
      <c r="L149" s="52"/>
      <c r="M149" s="52"/>
      <c r="N149" s="52"/>
      <c r="O149" s="52"/>
      <c r="P149" s="52"/>
      <c r="Q149" s="42"/>
      <c r="R149" s="618"/>
      <c r="S149" s="52"/>
      <c r="T149" s="52"/>
      <c r="U149" s="52"/>
      <c r="V149" s="4250"/>
      <c r="W149" s="4281" t="s">
        <v>3535</v>
      </c>
      <c r="X149" s="112"/>
      <c r="Y149" s="2400"/>
      <c r="Z149" s="614"/>
      <c r="AA149" s="614"/>
      <c r="AB149" s="5985" t="s">
        <v>3754</v>
      </c>
      <c r="AC149" s="5986"/>
      <c r="AD149" s="5986"/>
      <c r="AE149" s="5986"/>
      <c r="AF149" s="5986"/>
      <c r="AG149" s="5986"/>
      <c r="AH149" s="5986"/>
      <c r="AI149" s="5986"/>
      <c r="AJ149" s="5986"/>
      <c r="AK149" s="5986"/>
      <c r="AL149" s="5986"/>
      <c r="AM149" s="5986"/>
      <c r="AN149" s="5986"/>
      <c r="AO149" s="5986"/>
      <c r="AP149" s="5986"/>
      <c r="AQ149" s="5986"/>
      <c r="AR149" s="5987"/>
      <c r="AS149" s="624"/>
    </row>
    <row r="150" spans="1:49" ht="18.75" customHeight="1">
      <c r="A150" s="945"/>
      <c r="B150" s="4302"/>
      <c r="C150" s="4303" t="s">
        <v>3546</v>
      </c>
      <c r="D150" s="4302"/>
      <c r="E150" s="4302"/>
      <c r="F150" s="4302"/>
      <c r="G150" s="4302"/>
      <c r="H150" s="4302"/>
      <c r="I150" s="4302"/>
      <c r="J150" s="4302"/>
      <c r="K150" s="4302"/>
      <c r="L150" s="4302"/>
      <c r="M150" s="4302"/>
      <c r="N150" s="4302"/>
      <c r="O150" s="4302"/>
      <c r="P150" s="4302"/>
      <c r="Q150" s="4302"/>
      <c r="R150" s="4302"/>
      <c r="S150" s="4302"/>
      <c r="T150" s="4302"/>
      <c r="U150" s="4302"/>
      <c r="V150" s="4302"/>
      <c r="W150" s="4302"/>
      <c r="X150" s="112"/>
      <c r="Y150" s="2400"/>
      <c r="Z150" s="614"/>
      <c r="AA150" s="614"/>
      <c r="AB150" s="5988"/>
      <c r="AC150" s="5989"/>
      <c r="AD150" s="5989"/>
      <c r="AE150" s="5989"/>
      <c r="AF150" s="5989"/>
      <c r="AG150" s="5989"/>
      <c r="AH150" s="5989"/>
      <c r="AI150" s="5989"/>
      <c r="AJ150" s="5989"/>
      <c r="AK150" s="5989"/>
      <c r="AL150" s="5989"/>
      <c r="AM150" s="5989"/>
      <c r="AN150" s="5989"/>
      <c r="AO150" s="5989"/>
      <c r="AP150" s="5989"/>
      <c r="AQ150" s="5989"/>
      <c r="AR150" s="5990"/>
      <c r="AS150" s="624"/>
    </row>
    <row r="151" spans="1:49" ht="11.25" customHeight="1" thickBot="1">
      <c r="A151" s="857"/>
      <c r="B151" s="4205"/>
      <c r="C151" s="858" t="s">
        <v>3547</v>
      </c>
      <c r="D151" s="4205"/>
      <c r="E151" s="4205"/>
      <c r="F151" s="4205"/>
      <c r="G151" s="4205"/>
      <c r="H151" s="4205"/>
      <c r="I151" s="4205"/>
      <c r="J151" s="4205"/>
      <c r="K151" s="4205"/>
      <c r="L151" s="4205"/>
      <c r="M151" s="4205"/>
      <c r="N151" s="4205"/>
      <c r="O151" s="4304"/>
      <c r="P151" s="5759" t="s">
        <v>1860</v>
      </c>
      <c r="Q151" s="5760"/>
      <c r="R151" s="5759" t="s">
        <v>1862</v>
      </c>
      <c r="S151" s="5760"/>
      <c r="T151" s="5759" t="s">
        <v>1865</v>
      </c>
      <c r="U151" s="5761"/>
      <c r="V151" s="5759" t="s">
        <v>1549</v>
      </c>
      <c r="W151" s="5760"/>
      <c r="X151" s="112"/>
      <c r="Y151" s="2400"/>
      <c r="Z151" s="614"/>
      <c r="AA151" s="614"/>
      <c r="AB151" s="5991"/>
      <c r="AC151" s="5992"/>
      <c r="AD151" s="5992"/>
      <c r="AE151" s="5992"/>
      <c r="AF151" s="5992"/>
      <c r="AG151" s="5992"/>
      <c r="AH151" s="5992"/>
      <c r="AI151" s="5992"/>
      <c r="AJ151" s="5992"/>
      <c r="AK151" s="5992"/>
      <c r="AL151" s="5992"/>
      <c r="AM151" s="5992"/>
      <c r="AN151" s="5992"/>
      <c r="AO151" s="5992"/>
      <c r="AP151" s="5992"/>
      <c r="AQ151" s="5992"/>
      <c r="AR151" s="5993"/>
      <c r="AS151" s="624"/>
    </row>
    <row r="152" spans="1:49" ht="11.25" customHeight="1" thickBot="1">
      <c r="A152" s="857"/>
      <c r="B152" s="98"/>
      <c r="C152" s="858" t="s">
        <v>3548</v>
      </c>
      <c r="D152" s="4205"/>
      <c r="E152" s="4205"/>
      <c r="F152" s="4205"/>
      <c r="G152" s="4205"/>
      <c r="H152" s="4205"/>
      <c r="I152" s="4205"/>
      <c r="J152" s="4205"/>
      <c r="K152" s="4205"/>
      <c r="L152" s="4205"/>
      <c r="M152" s="4205"/>
      <c r="N152" s="4205"/>
      <c r="O152" s="4305"/>
      <c r="P152" s="5757" t="str">
        <f>"1/1/"&amp;TaxYear-2000&amp;"–3/31/"&amp;TaxYear-2000</f>
        <v>1/1/16–3/31/16</v>
      </c>
      <c r="Q152" s="5758"/>
      <c r="R152" s="5757" t="str">
        <f>"1/1/"&amp;TaxYear-2000&amp;"–5/31/"&amp;TaxYear-2000</f>
        <v>1/1/16–5/31/16</v>
      </c>
      <c r="S152" s="5758"/>
      <c r="T152" s="5757" t="str">
        <f>"1/1/"&amp;TaxYear-2000&amp;"–8/31/"&amp;TaxYear-2000</f>
        <v>1/1/16–8/31/16</v>
      </c>
      <c r="U152" s="5758"/>
      <c r="V152" s="5757" t="str">
        <f>"1/1/"&amp;TaxYear-2000&amp;"–12/31/"&amp;TaxYear-2000</f>
        <v>1/1/16–12/31/16</v>
      </c>
      <c r="W152" s="5758"/>
      <c r="X152" s="112"/>
      <c r="Y152" s="2400"/>
      <c r="Z152" s="614"/>
      <c r="AA152" s="614"/>
      <c r="AB152" s="2870"/>
      <c r="AC152" s="3027"/>
      <c r="AD152" s="3027"/>
      <c r="AE152" s="3027"/>
      <c r="AF152" s="3027"/>
      <c r="AG152" s="3027"/>
      <c r="AH152" s="3027"/>
      <c r="AI152" s="3027"/>
      <c r="AJ152" s="3027"/>
      <c r="AK152" s="3027"/>
      <c r="AL152" s="3027"/>
      <c r="AM152" s="3027"/>
      <c r="AN152" s="3027"/>
      <c r="AO152" s="3027"/>
      <c r="AP152" s="3027"/>
      <c r="AQ152" s="3027"/>
      <c r="AR152" s="3028"/>
      <c r="AS152" s="624"/>
    </row>
    <row r="153" spans="1:49" ht="16.5" customHeight="1">
      <c r="A153" s="857"/>
      <c r="B153" s="4240" t="s">
        <v>3455</v>
      </c>
      <c r="C153" s="4231"/>
      <c r="D153" s="4231"/>
      <c r="E153" s="4260" t="s">
        <v>3549</v>
      </c>
      <c r="F153" s="4232"/>
      <c r="G153" s="4232"/>
      <c r="H153" s="4232"/>
      <c r="I153" s="4232"/>
      <c r="J153" s="4232"/>
      <c r="K153" s="4433" t="str">
        <f>IF(B61,"","Schedule AI should only be completed if Box C is check in Part II.")</f>
        <v>Schedule AI should only be completed if Box C is check in Part II.</v>
      </c>
      <c r="L153" s="4232"/>
      <c r="M153" s="4232"/>
      <c r="N153" s="4232"/>
      <c r="O153" s="4232"/>
      <c r="P153" s="4232"/>
      <c r="Q153" s="4232"/>
      <c r="R153" s="4232"/>
      <c r="S153" s="4232"/>
      <c r="T153" s="4232"/>
      <c r="U153" s="4232"/>
      <c r="V153" s="4232"/>
      <c r="W153" s="4232"/>
      <c r="X153" s="962"/>
      <c r="Y153" s="4440"/>
      <c r="Z153" s="614"/>
      <c r="AA153" s="614"/>
      <c r="AB153" s="2873"/>
      <c r="AC153" s="3032"/>
      <c r="AD153" s="3032"/>
      <c r="AE153" s="3032"/>
      <c r="AF153" s="3032"/>
      <c r="AG153" s="3032"/>
      <c r="AH153" s="3032"/>
      <c r="AI153" s="5759" t="s">
        <v>1860</v>
      </c>
      <c r="AJ153" s="5760"/>
      <c r="AK153" s="5759" t="s">
        <v>1862</v>
      </c>
      <c r="AL153" s="5760"/>
      <c r="AM153" s="5759" t="s">
        <v>1865</v>
      </c>
      <c r="AN153" s="5761"/>
      <c r="AO153" s="5759" t="s">
        <v>1549</v>
      </c>
      <c r="AP153" s="5760"/>
      <c r="AQ153" s="3032"/>
      <c r="AR153" s="3033"/>
      <c r="AS153" s="624"/>
    </row>
    <row r="154" spans="1:49">
      <c r="A154" s="857"/>
      <c r="B154" s="4224"/>
      <c r="C154" s="452">
        <v>1</v>
      </c>
      <c r="D154" s="4205" t="s">
        <v>3550</v>
      </c>
      <c r="E154" s="4205"/>
      <c r="F154" s="4205"/>
      <c r="G154" s="4205"/>
      <c r="H154" s="4205"/>
      <c r="I154" s="4205"/>
      <c r="J154" s="4205"/>
      <c r="K154" s="4205"/>
      <c r="L154" s="4205"/>
      <c r="M154" s="4205"/>
      <c r="N154" s="4205"/>
      <c r="O154" s="4237"/>
      <c r="P154" s="4213"/>
      <c r="Q154" s="2570"/>
      <c r="R154" s="4213"/>
      <c r="S154" s="4276"/>
      <c r="T154" s="4275"/>
      <c r="U154" s="4276"/>
      <c r="V154" s="4274"/>
      <c r="W154" s="4275"/>
      <c r="X154" s="112"/>
      <c r="Y154" s="2400"/>
      <c r="Z154" s="614"/>
      <c r="AA154" s="614"/>
      <c r="AB154" s="2873"/>
      <c r="AC154" s="3032"/>
      <c r="AD154" s="3032"/>
      <c r="AE154" s="3032"/>
      <c r="AF154" s="3032"/>
      <c r="AG154" s="3032"/>
      <c r="AH154" s="3032"/>
      <c r="AI154" s="5757" t="str">
        <f>"1/1/"&amp;TaxYear-2000&amp;"–3/31/"&amp;TaxYear-2000</f>
        <v>1/1/16–3/31/16</v>
      </c>
      <c r="AJ154" s="5758"/>
      <c r="AK154" s="5757" t="str">
        <f>"1/1/"&amp;TaxYear-2000&amp;"–5/31/"&amp;TaxYear-2000</f>
        <v>1/1/16–5/31/16</v>
      </c>
      <c r="AL154" s="5758"/>
      <c r="AM154" s="5757" t="str">
        <f>"1/1/"&amp;TaxYear-2000&amp;"–8/31/"&amp;TaxYear-2000</f>
        <v>1/1/16–8/31/16</v>
      </c>
      <c r="AN154" s="5758"/>
      <c r="AO154" s="5757" t="str">
        <f>"1/1/"&amp;TaxYear-2000&amp;"–12/31/"&amp;TaxYear-2000</f>
        <v>1/1/16–12/31/16</v>
      </c>
      <c r="AP154" s="5758"/>
      <c r="AQ154" s="3032"/>
      <c r="AR154" s="3033"/>
      <c r="AS154" s="624"/>
    </row>
    <row r="155" spans="1:49">
      <c r="A155" s="857"/>
      <c r="B155" s="4205"/>
      <c r="C155" s="73"/>
      <c r="D155" s="4205" t="s">
        <v>3551</v>
      </c>
      <c r="E155" s="4205"/>
      <c r="F155" s="4205"/>
      <c r="G155" s="4205"/>
      <c r="H155" s="4205"/>
      <c r="I155" s="4205"/>
      <c r="J155" s="4205"/>
      <c r="K155" s="4205"/>
      <c r="L155" s="4205"/>
      <c r="M155" s="4205"/>
      <c r="N155" s="4205"/>
      <c r="O155" s="4237"/>
      <c r="P155" s="4213"/>
      <c r="Q155" s="2570"/>
      <c r="R155" s="4213"/>
      <c r="S155" s="4276"/>
      <c r="T155" s="4275"/>
      <c r="U155" s="4276"/>
      <c r="V155" s="4274"/>
      <c r="W155" s="4275"/>
      <c r="X155" s="112"/>
      <c r="Y155" s="2400"/>
      <c r="Z155" s="614"/>
      <c r="AA155" s="614"/>
      <c r="AB155" s="4420"/>
      <c r="AC155" s="4421"/>
      <c r="AD155" s="4421"/>
      <c r="AE155" s="4421"/>
      <c r="AF155" s="4421"/>
      <c r="AG155" s="4421"/>
      <c r="AH155" s="4421"/>
      <c r="AI155" s="4421"/>
      <c r="AJ155" s="4421"/>
      <c r="AK155" s="4421"/>
      <c r="AL155" s="4421"/>
      <c r="AM155" s="4421"/>
      <c r="AN155" s="4421"/>
      <c r="AO155" s="4421"/>
      <c r="AP155" s="4421"/>
      <c r="AQ155" s="4421"/>
      <c r="AR155" s="4422"/>
      <c r="AS155" s="624"/>
    </row>
    <row r="156" spans="1:49" ht="12" customHeight="1">
      <c r="A156" s="857"/>
      <c r="B156" s="4205"/>
      <c r="C156" s="73"/>
      <c r="D156" s="4205" t="s">
        <v>3552</v>
      </c>
      <c r="E156" s="4205"/>
      <c r="F156" s="4205"/>
      <c r="G156" s="4205"/>
      <c r="H156" s="4205"/>
      <c r="I156" s="4205"/>
      <c r="J156" s="4205"/>
      <c r="K156" s="4205"/>
      <c r="L156" s="4205"/>
      <c r="M156" s="4205"/>
      <c r="N156" s="2753" t="s">
        <v>931</v>
      </c>
      <c r="O156" s="4285">
        <v>1</v>
      </c>
      <c r="P156" s="5726"/>
      <c r="Q156" s="5727"/>
      <c r="R156" s="5726"/>
      <c r="S156" s="5727"/>
      <c r="T156" s="5726"/>
      <c r="U156" s="5727"/>
      <c r="V156" s="5726"/>
      <c r="W156" s="5741"/>
      <c r="X156" s="112"/>
      <c r="Y156" s="2400"/>
      <c r="Z156" s="820" t="str">
        <f>IF($U$184&gt;$U$174,"Line 15 cannot","")</f>
        <v/>
      </c>
      <c r="AA156" s="614"/>
      <c r="AB156" s="4419" t="s">
        <v>476</v>
      </c>
      <c r="AC156" s="3032" t="s">
        <v>3707</v>
      </c>
      <c r="AD156" s="3032"/>
      <c r="AE156" s="3032"/>
      <c r="AF156" s="3032"/>
      <c r="AG156" s="3032"/>
      <c r="AH156" s="3032"/>
      <c r="AI156" s="2879" t="s">
        <v>476</v>
      </c>
      <c r="AJ156" s="4410">
        <f>P161</f>
        <v>0</v>
      </c>
      <c r="AK156" s="3032"/>
      <c r="AL156" s="4410">
        <f>R161</f>
        <v>0</v>
      </c>
      <c r="AM156" s="3032"/>
      <c r="AN156" s="4410">
        <f>T161</f>
        <v>0</v>
      </c>
      <c r="AO156" s="3032"/>
      <c r="AP156" s="4410">
        <f>V161</f>
        <v>0</v>
      </c>
      <c r="AQ156" s="3032"/>
      <c r="AR156" s="3033"/>
      <c r="AS156" s="624"/>
    </row>
    <row r="157" spans="1:49" ht="15" customHeight="1">
      <c r="A157" s="857"/>
      <c r="B157" s="4205"/>
      <c r="C157" s="452">
        <v>2</v>
      </c>
      <c r="D157" s="368" t="s">
        <v>3553</v>
      </c>
      <c r="E157" s="4205"/>
      <c r="F157" s="4205"/>
      <c r="G157" s="4205"/>
      <c r="H157" s="4205"/>
      <c r="I157" s="4205"/>
      <c r="J157" s="4205"/>
      <c r="K157" s="4205"/>
      <c r="L157" s="4205"/>
      <c r="M157" s="4205"/>
      <c r="N157" s="4205"/>
      <c r="O157" s="4285">
        <v>2</v>
      </c>
      <c r="P157" s="5866">
        <v>4</v>
      </c>
      <c r="Q157" s="5867"/>
      <c r="R157" s="5870">
        <v>2.4</v>
      </c>
      <c r="S157" s="5871"/>
      <c r="T157" s="5851">
        <v>1.5</v>
      </c>
      <c r="U157" s="5852"/>
      <c r="V157" s="5934">
        <v>1</v>
      </c>
      <c r="W157" s="5935"/>
      <c r="X157" s="112"/>
      <c r="Y157" s="2400"/>
      <c r="Z157" s="820" t="str">
        <f>IF($U$184&gt;$U$174,"be more than","")</f>
        <v/>
      </c>
      <c r="AA157" s="614"/>
      <c r="AB157" s="2873"/>
      <c r="AC157" s="3032"/>
      <c r="AD157" s="3032"/>
      <c r="AE157" s="3032"/>
      <c r="AF157" s="3032"/>
      <c r="AG157" s="3032"/>
      <c r="AH157" s="3032"/>
      <c r="AI157" s="3032"/>
      <c r="AJ157" s="3032"/>
      <c r="AK157" s="3032"/>
      <c r="AL157" s="3032"/>
      <c r="AM157" s="3032"/>
      <c r="AN157" s="3032"/>
      <c r="AO157" s="3032"/>
      <c r="AP157" s="3032"/>
      <c r="AQ157" s="3032"/>
      <c r="AR157" s="3033"/>
      <c r="AS157" s="624"/>
    </row>
    <row r="158" spans="1:49" ht="12" customHeight="1">
      <c r="A158" s="857"/>
      <c r="B158" s="4205"/>
      <c r="C158" s="73">
        <v>3</v>
      </c>
      <c r="D158" s="4224" t="s">
        <v>3554</v>
      </c>
      <c r="E158" s="4205"/>
      <c r="F158" s="4205"/>
      <c r="G158" s="4205"/>
      <c r="H158" s="4205"/>
      <c r="I158" s="4205"/>
      <c r="J158" s="4205"/>
      <c r="K158" s="4205"/>
      <c r="L158" s="4205"/>
      <c r="M158" s="4205"/>
      <c r="N158" s="2753" t="s">
        <v>931</v>
      </c>
      <c r="O158" s="4285">
        <v>3</v>
      </c>
      <c r="P158" s="5717" t="str">
        <f>IF(NOT($B$61),"",P156*P157)</f>
        <v/>
      </c>
      <c r="Q158" s="5719"/>
      <c r="R158" s="5717" t="str">
        <f>IF(NOT($B$61),"",R156*R157)</f>
        <v/>
      </c>
      <c r="S158" s="5719"/>
      <c r="T158" s="5717" t="str">
        <f>IF(NOT($B$61),"",T156*T157)</f>
        <v/>
      </c>
      <c r="U158" s="5719"/>
      <c r="V158" s="5772" t="str">
        <f>IF(NOT($B$61),"",V156*V157)</f>
        <v/>
      </c>
      <c r="W158" s="5773"/>
      <c r="X158" s="112"/>
      <c r="Y158" s="2400"/>
      <c r="Z158" s="820" t="str">
        <f>IF($U$184&gt;$U$174,"Line 15 cannot","")</f>
        <v/>
      </c>
      <c r="AA158" s="614"/>
      <c r="AB158" s="4419" t="s">
        <v>0</v>
      </c>
      <c r="AC158" s="3032" t="s">
        <v>3706</v>
      </c>
      <c r="AD158" s="3032"/>
      <c r="AE158" s="3032"/>
      <c r="AF158" s="3032"/>
      <c r="AG158" s="3032"/>
      <c r="AH158" s="3032"/>
      <c r="AI158" s="3032"/>
      <c r="AJ158" s="3032"/>
      <c r="AK158" s="3032"/>
      <c r="AL158" s="3032"/>
      <c r="AM158" s="3032"/>
      <c r="AN158" s="3032"/>
      <c r="AO158" s="3032"/>
      <c r="AP158" s="3032"/>
      <c r="AQ158" s="3032"/>
      <c r="AR158" s="3033"/>
      <c r="AS158" s="624"/>
    </row>
    <row r="159" spans="1:49">
      <c r="A159" s="857"/>
      <c r="B159" s="4224"/>
      <c r="C159" s="452">
        <v>4</v>
      </c>
      <c r="D159" s="4208" t="s">
        <v>3555</v>
      </c>
      <c r="E159" s="4205"/>
      <c r="F159" s="4205"/>
      <c r="G159" s="4205"/>
      <c r="H159" s="4205"/>
      <c r="I159" s="4205"/>
      <c r="J159" s="4205"/>
      <c r="K159" s="4205"/>
      <c r="L159" s="4205"/>
      <c r="M159" s="4205"/>
      <c r="N159" s="4205"/>
      <c r="O159" s="4237"/>
      <c r="P159" s="4213"/>
      <c r="Q159" s="2570"/>
      <c r="R159" s="4213"/>
      <c r="S159" s="4276"/>
      <c r="T159" s="4275"/>
      <c r="U159" s="4276"/>
      <c r="V159" s="4274"/>
      <c r="W159" s="4275"/>
      <c r="X159" s="112"/>
      <c r="Y159" s="2400"/>
      <c r="Z159" s="614"/>
      <c r="AA159" s="614"/>
      <c r="AB159" s="2873"/>
      <c r="AC159" s="3032" t="s">
        <v>3705</v>
      </c>
      <c r="AD159" s="3032"/>
      <c r="AE159" s="3032"/>
      <c r="AF159" s="3032"/>
      <c r="AG159" s="3032"/>
      <c r="AH159" s="3032"/>
      <c r="AI159" s="3032"/>
      <c r="AJ159" s="3032"/>
      <c r="AK159" s="3032"/>
      <c r="AL159" s="3032"/>
      <c r="AM159" s="3032"/>
      <c r="AN159" s="3032"/>
      <c r="AO159" s="3032"/>
      <c r="AP159" s="3032"/>
      <c r="AQ159" s="3032"/>
      <c r="AR159" s="3033"/>
      <c r="AS159" s="624"/>
    </row>
    <row r="160" spans="1:49">
      <c r="A160" s="857"/>
      <c r="B160" s="4205"/>
      <c r="C160" s="73"/>
      <c r="D160" s="4224" t="s">
        <v>3651</v>
      </c>
      <c r="E160" s="4205"/>
      <c r="F160" s="4205"/>
      <c r="G160" s="4205"/>
      <c r="H160" s="4205"/>
      <c r="I160" s="4205"/>
      <c r="J160" s="4205"/>
      <c r="K160" s="4205"/>
      <c r="L160" s="4205"/>
      <c r="M160" s="4205"/>
      <c r="N160" s="4205"/>
      <c r="O160" s="4237"/>
      <c r="P160" s="4213"/>
      <c r="Q160" s="2570"/>
      <c r="R160" s="4213"/>
      <c r="S160" s="4276"/>
      <c r="T160" s="4275"/>
      <c r="U160" s="4276"/>
      <c r="V160" s="4274"/>
      <c r="W160" s="4275"/>
      <c r="X160" s="112"/>
      <c r="Y160" s="2400"/>
      <c r="Z160" s="614"/>
      <c r="AA160" s="614"/>
      <c r="AB160" s="2873"/>
      <c r="AC160" s="3032" t="s">
        <v>3704</v>
      </c>
      <c r="AD160" s="3032"/>
      <c r="AE160" s="3032"/>
      <c r="AF160" s="3032"/>
      <c r="AG160" s="3032"/>
      <c r="AH160" s="3032"/>
      <c r="AI160" s="3032"/>
      <c r="AJ160" s="3032"/>
      <c r="AK160" s="3032"/>
      <c r="AL160" s="3032"/>
      <c r="AM160" s="3032"/>
      <c r="AN160" s="3032"/>
      <c r="AO160" s="3032"/>
      <c r="AP160" s="3032"/>
      <c r="AQ160" s="3032"/>
      <c r="AR160" s="3033"/>
      <c r="AS160" s="624"/>
    </row>
    <row r="161" spans="1:58" ht="12" customHeight="1">
      <c r="A161" s="857"/>
      <c r="B161" s="4205"/>
      <c r="C161" s="73"/>
      <c r="D161" s="4428" t="s">
        <v>3556</v>
      </c>
      <c r="E161" s="4205"/>
      <c r="F161" s="4205"/>
      <c r="G161" s="4205"/>
      <c r="H161" s="4205"/>
      <c r="I161" s="4205"/>
      <c r="J161" s="4205"/>
      <c r="K161" s="4205"/>
      <c r="L161" s="4205"/>
      <c r="M161" s="4205"/>
      <c r="N161" s="2753" t="s">
        <v>2021</v>
      </c>
      <c r="O161" s="4285">
        <v>4</v>
      </c>
      <c r="P161" s="5726"/>
      <c r="Q161" s="5727"/>
      <c r="R161" s="5726"/>
      <c r="S161" s="5727"/>
      <c r="T161" s="5726"/>
      <c r="U161" s="5727"/>
      <c r="V161" s="5726"/>
      <c r="W161" s="5741"/>
      <c r="X161" s="112"/>
      <c r="Y161" s="2400"/>
      <c r="Z161" s="820" t="str">
        <f>IF($U$184&gt;$U$174,"Line 15 cannot","")</f>
        <v/>
      </c>
      <c r="AA161" s="614"/>
      <c r="AB161" s="2873"/>
      <c r="AC161" s="3032" t="s">
        <v>3703</v>
      </c>
      <c r="AD161" s="3032"/>
      <c r="AE161" s="3032"/>
      <c r="AF161" s="3032"/>
      <c r="AG161" s="3032"/>
      <c r="AH161" s="3032"/>
      <c r="AI161" s="2879" t="s">
        <v>0</v>
      </c>
      <c r="AJ161" s="3617"/>
      <c r="AK161" s="3032"/>
      <c r="AL161" s="3617"/>
      <c r="AM161" s="3032"/>
      <c r="AN161" s="3617"/>
      <c r="AO161" s="3032"/>
      <c r="AP161" s="3617"/>
      <c r="AQ161" s="3032"/>
      <c r="AR161" s="3033"/>
      <c r="AS161" s="624"/>
    </row>
    <row r="162" spans="1:58" ht="14.25" customHeight="1">
      <c r="A162" s="857"/>
      <c r="B162" s="4205"/>
      <c r="C162" s="452">
        <v>5</v>
      </c>
      <c r="D162" s="368" t="s">
        <v>3553</v>
      </c>
      <c r="E162" s="4205"/>
      <c r="F162" s="4205"/>
      <c r="G162" s="4205"/>
      <c r="H162" s="4205"/>
      <c r="I162" s="4205"/>
      <c r="J162" s="4205"/>
      <c r="K162" s="4205"/>
      <c r="L162" s="4205"/>
      <c r="M162" s="4205"/>
      <c r="N162" s="4205"/>
      <c r="O162" s="4285">
        <v>5</v>
      </c>
      <c r="P162" s="5866">
        <v>4</v>
      </c>
      <c r="Q162" s="5867"/>
      <c r="R162" s="5870">
        <v>2.4</v>
      </c>
      <c r="S162" s="5871"/>
      <c r="T162" s="5851">
        <v>1.5</v>
      </c>
      <c r="U162" s="5852"/>
      <c r="V162" s="5934">
        <v>1</v>
      </c>
      <c r="W162" s="5935"/>
      <c r="X162" s="112"/>
      <c r="Y162" s="2400"/>
      <c r="Z162" s="820" t="str">
        <f>IF($U$184&gt;$U$174,"be more than","")</f>
        <v/>
      </c>
      <c r="AA162" s="614"/>
      <c r="AB162" s="2873"/>
      <c r="AC162" s="3032"/>
      <c r="AD162" s="3032"/>
      <c r="AE162" s="3032"/>
      <c r="AF162" s="3032"/>
      <c r="AG162" s="3032"/>
      <c r="AH162" s="3032"/>
      <c r="AI162" s="3032"/>
      <c r="AJ162" s="3032"/>
      <c r="AK162" s="3032"/>
      <c r="AL162" s="3032"/>
      <c r="AM162" s="3032"/>
      <c r="AN162" s="3032"/>
      <c r="AO162" s="3032"/>
      <c r="AP162" s="3032"/>
      <c r="AQ162" s="3032"/>
      <c r="AR162" s="3033"/>
      <c r="AS162" s="624"/>
    </row>
    <row r="163" spans="1:58" ht="14.25" customHeight="1" thickBot="1">
      <c r="A163" s="857"/>
      <c r="B163" s="4205"/>
      <c r="C163" s="452">
        <v>6</v>
      </c>
      <c r="D163" s="369" t="str">
        <f>"Multiply line 4 by line 5 (see instructions if line 3 is more than "&amp;TEXT(P164,"$0,000")&amp;")"</f>
        <v>Multiply line 4 by line 5 (see instructions if line 3 is more than $155,650)</v>
      </c>
      <c r="E163" s="4205"/>
      <c r="F163" s="4205"/>
      <c r="G163" s="4205"/>
      <c r="H163" s="4205"/>
      <c r="I163" s="4205"/>
      <c r="J163" s="4205"/>
      <c r="K163" s="4205"/>
      <c r="L163" s="4205"/>
      <c r="M163" s="4205"/>
      <c r="N163" s="4205"/>
      <c r="O163" s="4285">
        <v>6</v>
      </c>
      <c r="P163" s="5717" t="str">
        <f>IF(NOT($B$61),"",IF(P158&lt;=P164,ROUND(P161*P162,0), IF(OR(AJ169,AJ190),AJ167,IF(OR(P156="",P161=0,P161=""),""))))</f>
        <v/>
      </c>
      <c r="Q163" s="5719"/>
      <c r="R163" s="5717" t="str">
        <f>IF(NOT($B$61),"",IF(R158&lt;=R164,ROUND(R161*R162,0), IF(OR(AL169,AL190),AL167,IF(OR(R156="",R161=0,R161=""),""))))</f>
        <v/>
      </c>
      <c r="S163" s="5719"/>
      <c r="T163" s="5717" t="str">
        <f>IF(NOT($B$61),"",IF(T158&lt;=T164,ROUND(T161*T162,0), IF(OR(AN169,AN190),AN167,IF(OR(T156="",T161=0,T161=""),""))))</f>
        <v/>
      </c>
      <c r="U163" s="5719"/>
      <c r="V163" s="5772" t="str">
        <f>IF(NOT($B$61),"",IF(V158&lt;=V164,ROUND(V161*V162,0), IF(OR(AP169,AP190),AP167,IF(OR(V156="",V161=0,V161=""),""))))</f>
        <v/>
      </c>
      <c r="W163" s="5773"/>
      <c r="X163" s="112"/>
      <c r="Y163" s="2400"/>
      <c r="Z163" s="614"/>
      <c r="AA163" s="614"/>
      <c r="AB163" s="4419" t="s">
        <v>1</v>
      </c>
      <c r="AC163" s="3032" t="s">
        <v>1411</v>
      </c>
      <c r="AD163" s="3032"/>
      <c r="AE163" s="3032"/>
      <c r="AF163" s="3032"/>
      <c r="AG163" s="3032"/>
      <c r="AH163" s="3032"/>
      <c r="AI163" s="2879" t="s">
        <v>1</v>
      </c>
      <c r="AJ163" s="4410">
        <f>SUM(AJ156,-AJ161)</f>
        <v>0</v>
      </c>
      <c r="AK163" s="3032"/>
      <c r="AL163" s="4410">
        <f>SUM(AL156,-AL161)</f>
        <v>0</v>
      </c>
      <c r="AM163" s="3032"/>
      <c r="AN163" s="4410">
        <f>SUM(AN156,-AN161)</f>
        <v>0</v>
      </c>
      <c r="AO163" s="3032"/>
      <c r="AP163" s="4410">
        <f>SUM(AP156,-AP161)</f>
        <v>0</v>
      </c>
      <c r="AQ163" s="3032"/>
      <c r="AR163" s="3033"/>
      <c r="AS163" s="624"/>
      <c r="AX163" s="338" t="s">
        <v>3653</v>
      </c>
      <c r="AY163" s="64"/>
      <c r="AZ163" s="64"/>
      <c r="BA163" s="64"/>
      <c r="BB163" s="64"/>
      <c r="BC163" s="64"/>
      <c r="BD163" s="64"/>
      <c r="BE163" s="64"/>
      <c r="BF163" s="64"/>
    </row>
    <row r="164" spans="1:58" ht="14.25" customHeight="1">
      <c r="A164" s="857"/>
      <c r="B164" s="102"/>
      <c r="C164" s="452">
        <v>7</v>
      </c>
      <c r="D164" s="4224" t="s">
        <v>3557</v>
      </c>
      <c r="E164" s="4205"/>
      <c r="F164" s="4205"/>
      <c r="G164" s="4205"/>
      <c r="H164" s="4205"/>
      <c r="I164" s="4205"/>
      <c r="J164" s="4205"/>
      <c r="K164" s="4205"/>
      <c r="L164" s="4205"/>
      <c r="M164" s="4205"/>
      <c r="N164" s="4205"/>
      <c r="O164" s="4237"/>
      <c r="P164" s="5864">
        <v>155650</v>
      </c>
      <c r="Q164" s="5865"/>
      <c r="R164" s="4213"/>
      <c r="S164" s="4276"/>
      <c r="T164" s="4275"/>
      <c r="U164" s="4276"/>
      <c r="V164" s="4274"/>
      <c r="W164" s="4275"/>
      <c r="X164" s="112"/>
      <c r="Y164" s="2400"/>
      <c r="Z164" s="614"/>
      <c r="AA164" s="614"/>
      <c r="AB164" s="2873"/>
      <c r="AC164" s="3032"/>
      <c r="AD164" s="3032"/>
      <c r="AE164" s="3032"/>
      <c r="AF164" s="3032"/>
      <c r="AG164" s="3032"/>
      <c r="AH164" s="3032"/>
      <c r="AI164" s="3032"/>
      <c r="AJ164" s="3032"/>
      <c r="AK164" s="3032"/>
      <c r="AL164" s="3032"/>
      <c r="AM164" s="3032"/>
      <c r="AN164" s="3032"/>
      <c r="AO164" s="3032"/>
      <c r="AP164" s="3032"/>
      <c r="AQ164" s="3032"/>
      <c r="AR164" s="3033"/>
      <c r="AS164" s="624"/>
      <c r="AX164" s="4396" t="str">
        <f>P174</f>
        <v/>
      </c>
      <c r="AY164" s="771"/>
      <c r="AZ164" s="771"/>
      <c r="BA164" s="771"/>
      <c r="BB164" s="771"/>
      <c r="BC164" s="771"/>
      <c r="BD164" s="771"/>
      <c r="BE164" s="771"/>
      <c r="BF164" s="772"/>
    </row>
    <row r="165" spans="1:58" ht="14.25" customHeight="1">
      <c r="A165" s="857"/>
      <c r="B165" s="4224"/>
      <c r="C165" s="452"/>
      <c r="D165" s="4205" t="s">
        <v>3558</v>
      </c>
      <c r="E165" s="4205"/>
      <c r="F165" s="4205"/>
      <c r="G165" s="4205"/>
      <c r="H165" s="4205"/>
      <c r="I165" s="4205"/>
      <c r="J165" s="4205"/>
      <c r="K165" s="4205"/>
      <c r="L165" s="4205"/>
      <c r="M165" s="4205"/>
      <c r="N165" s="4205"/>
      <c r="O165" s="4237"/>
      <c r="P165" s="4213"/>
      <c r="Q165" s="2570"/>
      <c r="R165" s="4213"/>
      <c r="S165" s="4276"/>
      <c r="T165" s="4275"/>
      <c r="U165" s="4276"/>
      <c r="V165" s="4274"/>
      <c r="W165" s="4275"/>
      <c r="X165" s="112"/>
      <c r="Y165" s="2400"/>
      <c r="Z165" s="614"/>
      <c r="AA165" s="614"/>
      <c r="AB165" s="4419" t="s">
        <v>642</v>
      </c>
      <c r="AC165" s="3032" t="s">
        <v>3702</v>
      </c>
      <c r="AD165" s="3032"/>
      <c r="AE165" s="3032"/>
      <c r="AF165" s="3032"/>
      <c r="AG165" s="3032"/>
      <c r="AH165" s="3032"/>
      <c r="AI165" s="2879" t="s">
        <v>642</v>
      </c>
      <c r="AJ165" s="4410">
        <f>P162</f>
        <v>4</v>
      </c>
      <c r="AK165" s="3032"/>
      <c r="AL165" s="4410">
        <f>R162</f>
        <v>2.4</v>
      </c>
      <c r="AM165" s="3032"/>
      <c r="AN165" s="4410">
        <f>T162</f>
        <v>1.5</v>
      </c>
      <c r="AO165" s="3032"/>
      <c r="AP165" s="4410">
        <f>V162</f>
        <v>1</v>
      </c>
      <c r="AQ165" s="3032"/>
      <c r="AR165" s="3033"/>
      <c r="AS165" s="624"/>
      <c r="AX165" s="773" t="str">
        <f>IF(AX164&lt;&gt;"",ROUND(AX164,0),"")</f>
        <v/>
      </c>
      <c r="AY165" s="774" t="s">
        <v>124</v>
      </c>
      <c r="AZ165" s="1491" t="s">
        <v>894</v>
      </c>
      <c r="BA165" s="656" t="s">
        <v>739</v>
      </c>
      <c r="BB165" s="656" t="s">
        <v>740</v>
      </c>
      <c r="BC165" s="656" t="s">
        <v>124</v>
      </c>
      <c r="BD165" s="1491" t="s">
        <v>894</v>
      </c>
      <c r="BE165" s="656" t="s">
        <v>739</v>
      </c>
      <c r="BF165" s="659" t="s">
        <v>740</v>
      </c>
    </row>
    <row r="166" spans="1:58" ht="14.25" customHeight="1">
      <c r="A166" s="857"/>
      <c r="B166" s="4205"/>
      <c r="C166" s="73"/>
      <c r="D166" s="4224" t="s">
        <v>3559</v>
      </c>
      <c r="E166" s="4205"/>
      <c r="F166" s="4205"/>
      <c r="G166" s="4205"/>
      <c r="H166" s="4205"/>
      <c r="I166" s="4205"/>
      <c r="J166" s="4205"/>
      <c r="K166" s="4205"/>
      <c r="L166" s="4205"/>
      <c r="M166" s="4205"/>
      <c r="N166" s="4205"/>
      <c r="O166" s="4237"/>
      <c r="P166" s="5715" t="str">
        <f>IF(OR(File_Marr_Sep&lt;&gt;"",File_Single&lt;&gt;""),SD_Single,IF(OR(File_Qual_Widow&lt;&gt;"",File_Marr_Joint&lt;&gt;""),SD_MFJW,IF(File_Head&lt;&gt;"",SD_Head,"")))</f>
        <v/>
      </c>
      <c r="Q166" s="5716"/>
      <c r="R166" s="4213"/>
      <c r="S166" s="4276"/>
      <c r="T166" s="4275"/>
      <c r="U166" s="4276"/>
      <c r="V166" s="4274"/>
      <c r="W166" s="4275"/>
      <c r="X166" s="112"/>
      <c r="Y166" s="2400"/>
      <c r="Z166" s="614"/>
      <c r="AA166" s="614"/>
      <c r="AB166" s="2873"/>
      <c r="AC166" s="3032"/>
      <c r="AD166" s="3032"/>
      <c r="AE166" s="3032"/>
      <c r="AF166" s="3032"/>
      <c r="AG166" s="3032"/>
      <c r="AH166" s="3032"/>
      <c r="AI166" s="3032"/>
      <c r="AJ166" s="3032"/>
      <c r="AK166" s="3032"/>
      <c r="AL166" s="3032"/>
      <c r="AM166" s="3032"/>
      <c r="AN166" s="3032"/>
      <c r="AO166" s="3032"/>
      <c r="AP166" s="3032"/>
      <c r="AQ166" s="3032"/>
      <c r="AR166" s="3033"/>
      <c r="AS166" s="624"/>
      <c r="AX166" s="773" t="str">
        <f>IF(AX164="","",IF(AX164&gt;=3000,INT(AX165/50),IF(AX164&gt;=25,INT(AX165/25),IF(AX164&gt;=5,INT((AX165+5)/10),0))))</f>
        <v/>
      </c>
      <c r="AY166" s="876" t="e">
        <f>LOOKUP(AX167,'Tax Table'!$A$2:$A$2063,'Tax Table'!$C$2:$C$2063)</f>
        <v>#N/A</v>
      </c>
      <c r="AZ166" s="876" t="e">
        <f>LOOKUP(AX167,'Tax Table'!$A$2:$A$2063,'Tax Table'!$D$2:$D$2063)</f>
        <v>#N/A</v>
      </c>
      <c r="BA166" s="876" t="e">
        <f>LOOKUP(AX167,'Tax Table'!$A$2:$A$2063,'Tax Table'!$E$2:$E$2063)</f>
        <v>#N/A</v>
      </c>
      <c r="BB166" s="876" t="e">
        <f>LOOKUP(AX167,'Tax Table'!$A$2:$A$2063,'Tax Table'!$F$2:$F$2063)</f>
        <v>#N/A</v>
      </c>
      <c r="BC166" s="876" t="str">
        <f>"---"</f>
        <v>---</v>
      </c>
      <c r="BD166" s="876" t="str">
        <f>"---"</f>
        <v>---</v>
      </c>
      <c r="BE166" s="876" t="str">
        <f>"---"</f>
        <v>---</v>
      </c>
      <c r="BF166" s="877" t="str">
        <f>"---"</f>
        <v>---</v>
      </c>
    </row>
    <row r="167" spans="1:58" ht="14.25" customHeight="1">
      <c r="A167" s="857"/>
      <c r="B167" s="4205"/>
      <c r="C167" s="73"/>
      <c r="D167" s="4224" t="s">
        <v>3652</v>
      </c>
      <c r="E167" s="4205"/>
      <c r="F167" s="4205"/>
      <c r="G167" s="4205"/>
      <c r="H167" s="4205"/>
      <c r="I167" s="4205"/>
      <c r="J167" s="4205"/>
      <c r="K167" s="4205"/>
      <c r="L167" s="4205"/>
      <c r="M167" s="4205"/>
      <c r="N167" s="2753" t="s">
        <v>2021</v>
      </c>
      <c r="O167" s="4285">
        <v>7</v>
      </c>
      <c r="P167" s="5717" t="str">
        <f>IF(NOT($B$61),"",IF(OR(P156="",P161=""),"",$P$166))</f>
        <v/>
      </c>
      <c r="Q167" s="5719"/>
      <c r="R167" s="5717" t="str">
        <f>IF(NOT($B$61),"",IF(OR(R156="",R161=""),"",$P$166))</f>
        <v/>
      </c>
      <c r="S167" s="5719"/>
      <c r="T167" s="5717" t="str">
        <f>IF(NOT($B$61),"",IF(OR(T156="",T161=""),"",$P$166))</f>
        <v/>
      </c>
      <c r="U167" s="5719"/>
      <c r="V167" s="5717" t="str">
        <f>IF(NOT($B$61),"",IF(OR(V156="",V161=""),"",$P$166))</f>
        <v/>
      </c>
      <c r="W167" s="5718"/>
      <c r="X167" s="112"/>
      <c r="Y167" s="2400"/>
      <c r="Z167" s="820" t="str">
        <f>IF($U$184&gt;$U$174,"Line 15 cannot","")</f>
        <v/>
      </c>
      <c r="AA167" s="614"/>
      <c r="AB167" s="4419" t="s">
        <v>53</v>
      </c>
      <c r="AC167" s="3032" t="s">
        <v>3701</v>
      </c>
      <c r="AD167" s="3032"/>
      <c r="AE167" s="3032"/>
      <c r="AF167" s="3032"/>
      <c r="AG167" s="3032"/>
      <c r="AH167" s="3032"/>
      <c r="AI167" s="2879" t="s">
        <v>53</v>
      </c>
      <c r="AJ167" s="4410">
        <f>AJ156*AJ165</f>
        <v>0</v>
      </c>
      <c r="AK167" s="3032"/>
      <c r="AL167" s="4410">
        <f>AL156*AL165</f>
        <v>0</v>
      </c>
      <c r="AM167" s="3032"/>
      <c r="AN167" s="4410">
        <f>AN156*AN165</f>
        <v>0</v>
      </c>
      <c r="AO167" s="3032"/>
      <c r="AP167" s="4410">
        <f>AP156*AP165</f>
        <v>0</v>
      </c>
      <c r="AQ167" s="3032"/>
      <c r="AR167" s="3033"/>
      <c r="AS167" s="624"/>
      <c r="AX167" s="775" t="str">
        <f>IF(AX166="","",IF(AX165&gt;=3000,50*AX166,IF(AX165&gt;=25,25*AX166,IF(AX165&gt;=5,(10*AX166)-5,AX165))))</f>
        <v/>
      </c>
      <c r="AY167" s="876" t="e">
        <f>LOOKUP(AX167,'Tax Table'!$A$2:$A$2063,'Tax Table'!$C$2:$C$2063)</f>
        <v>#N/A</v>
      </c>
      <c r="AZ167" s="876" t="e">
        <f>LOOKUP(AX167,'Tax Table'!$A$2:$A$2063,'Tax Table'!$D$2:$D$2063)</f>
        <v>#N/A</v>
      </c>
      <c r="BA167" s="876" t="e">
        <f>LOOKUP(AX167,'Tax Table'!$A$2:$A$2063,'Tax Table'!$E$2:$E$2063)</f>
        <v>#N/A</v>
      </c>
      <c r="BB167" s="876" t="e">
        <f>LOOKUP(AX167,'Tax Table'!$A$2:$A$2063,'Tax Table'!$F$2:$F$2063)</f>
        <v>#N/A</v>
      </c>
      <c r="BC167" s="876" t="e">
        <f>IF(AX164&lt;SectA_a3,"---",IF(AX164&lt;=SectA_a4,ROUND((AX164*(SectA_b4/100)-SectA_d4),0),IF(AX164&lt;=SectA_a5,ROUND((AX164*(SectA_b5/100)-SectA_d5),0),IF(AX164&lt;=SectA_a6,ROUND((AX164*(SectA_b6/100)-SectA_d6),0),ROUND((AX164*(SectA_b7/100)-SectA_d7),0)))))</f>
        <v>#VALUE!</v>
      </c>
      <c r="BD167" s="876" t="e">
        <f>IF(AX164&lt;SectB_a2,"---",IF(AX164&lt;=SectB_a3,ROUND((AX164*(SectB_b3/100)-SectB_d3),0),IF(AX164&lt;=SectB_a4,ROUND((AX164*(SectB_b4/100)-SectB_d4),0),IF(AX164&lt;=SectB_a5,ROUND((AX164*(SectB_b5/100)-SectB_d5),0),IF(AX164&lt;=SectB_a6,ROUND((AX164*(SectB_b6/100)-SectB_d6),0),ROUND((AX164*(SectB_b7/100)-SectB_d7),0))))))</f>
        <v>#VALUE!</v>
      </c>
      <c r="BE167" s="876" t="e">
        <f>IF(AX164&lt;SectC_a2,"---",IF(AX164&lt;=SectC_a3,ROUND((AX164*(SectC_b3/100)-SectC_d3),0),IF(AX164&lt;=SectC_a4,ROUND((AX164*(SectC_b4/100)-SectC_d4),0),IF(AX164&lt;=SectC_a5,ROUND((AX164*(SectC_b5/100)-SectC_d5),0),ROUND((AX164*(SectC_b6/100)-SectC_d6),0)))))</f>
        <v>#VALUE!</v>
      </c>
      <c r="BF167" s="877" t="e">
        <f>IF(AX164&lt;SectD_a2,"---",IF(AX164&lt;=SectD_a3,ROUND((AX164*(SectD_b3/100)-SectD_d3),0),IF(AX164&lt;=SectD_a4,ROUND((AX164*(SectD_b4/100)-SectD_d4),0),IF(AX164&lt;=SectD_a5,ROUND((AX164*(SectD_b5/100)-SectD_d5),0),IF(AX164&lt;=SectD_a6,ROUND((AX164*(SectD_b6/100)-SectD_d6),0),ROUND((AX164*(SectD_b7/100)-SectD_d7),0))))))</f>
        <v>#VALUE!</v>
      </c>
    </row>
    <row r="168" spans="1:58" ht="14.25" customHeight="1">
      <c r="A168" s="857"/>
      <c r="B168" s="4205"/>
      <c r="C168" s="452">
        <v>8</v>
      </c>
      <c r="D168" s="2809" t="s">
        <v>3560</v>
      </c>
      <c r="E168" s="4205"/>
      <c r="F168" s="4205"/>
      <c r="G168" s="4205"/>
      <c r="H168" s="4205"/>
      <c r="I168" s="4205"/>
      <c r="J168" s="4205"/>
      <c r="K168" s="4205"/>
      <c r="L168" s="4205"/>
      <c r="M168" s="4205"/>
      <c r="N168" s="2753" t="s">
        <v>1380</v>
      </c>
      <c r="O168" s="4285">
        <v>8</v>
      </c>
      <c r="P168" s="5717" t="str">
        <f>IF(NOT($B$61),"",IF(OR(P156="",P161=""),"",MAX(P163,P167)))</f>
        <v/>
      </c>
      <c r="Q168" s="5719"/>
      <c r="R168" s="5717" t="str">
        <f t="shared" ref="R168" si="0">IF(NOT($B$61),"",IF(OR(R156="",R161=""),"",MAX(R163,R167)))</f>
        <v/>
      </c>
      <c r="S168" s="5719"/>
      <c r="T168" s="5717" t="str">
        <f t="shared" ref="T168" si="1">IF(NOT($B$61),"",IF(OR(T156="",T161=""),"",MAX(T163,T167)))</f>
        <v/>
      </c>
      <c r="U168" s="5719"/>
      <c r="V168" s="5717" t="str">
        <f t="shared" ref="V168" si="2">IF(NOT($B$61),"",IF(OR(V156="",V161=""),"",MAX(V163,V167)))</f>
        <v/>
      </c>
      <c r="W168" s="5718"/>
      <c r="X168" s="112"/>
      <c r="Y168" s="2400"/>
      <c r="Z168" s="614"/>
      <c r="AA168" s="614"/>
      <c r="AB168" s="2873"/>
      <c r="AC168" s="3032"/>
      <c r="AD168" s="3032"/>
      <c r="AE168" s="3032"/>
      <c r="AF168" s="3032"/>
      <c r="AG168" s="3032"/>
      <c r="AH168" s="3032"/>
      <c r="AI168" s="3032"/>
      <c r="AJ168" s="3032"/>
      <c r="AK168" s="3032"/>
      <c r="AL168" s="3032"/>
      <c r="AM168" s="3032"/>
      <c r="AN168" s="3032"/>
      <c r="AO168" s="3032"/>
      <c r="AP168" s="3032"/>
      <c r="AQ168" s="3032"/>
      <c r="AR168" s="3033"/>
      <c r="AS168" s="624"/>
      <c r="AX168" s="658" t="str">
        <f>IF(File_Single&lt;&gt;"",AY167,IF(File_Marr_Joint&lt;&gt;"",AZ167,IF(File_Marr_Sep&lt;&gt;"", BA167,IF(File_Head&lt;&gt;"",BB167,IF(File_Qual_Widow&lt;&gt;"",AZ167,"Filing status?")))))</f>
        <v>Filing status?</v>
      </c>
      <c r="AY168" s="656" t="str">
        <f>"&lt;100k"</f>
        <v>&lt;100k</v>
      </c>
      <c r="AZ168" s="1190"/>
      <c r="BA168" s="1190"/>
      <c r="BB168" s="1190"/>
      <c r="BC168" s="1190"/>
      <c r="BD168" s="1190"/>
      <c r="BE168" s="656"/>
      <c r="BF168" s="659"/>
    </row>
    <row r="169" spans="1:58" ht="14.25" customHeight="1" thickBot="1">
      <c r="A169" s="857"/>
      <c r="B169" s="102"/>
      <c r="C169" s="452">
        <v>9</v>
      </c>
      <c r="D169" s="4205" t="s">
        <v>3561</v>
      </c>
      <c r="E169" s="4205"/>
      <c r="F169" s="4205"/>
      <c r="G169" s="4205"/>
      <c r="H169" s="4205"/>
      <c r="I169" s="4205"/>
      <c r="J169" s="4205"/>
      <c r="K169" s="4205"/>
      <c r="L169" s="4205"/>
      <c r="M169" s="4205"/>
      <c r="N169" s="2753" t="s">
        <v>1000</v>
      </c>
      <c r="O169" s="4285">
        <v>9</v>
      </c>
      <c r="P169" s="5717" t="str">
        <f>IF(NOT($B$61),"",IF(OR(P156="",P161=""),"",SUM(P158,-P168)))</f>
        <v/>
      </c>
      <c r="Q169" s="5719"/>
      <c r="R169" s="5717" t="str">
        <f t="shared" ref="R169" si="3">IF(NOT($B$61),"",IF(OR(R156="",R161=""),"",SUM(R158,-R168)))</f>
        <v/>
      </c>
      <c r="S169" s="5719"/>
      <c r="T169" s="5717" t="str">
        <f t="shared" ref="T169" si="4">IF(NOT($B$61),"",IF(OR(T156="",T161=""),"",SUM(T158,-T168)))</f>
        <v/>
      </c>
      <c r="U169" s="5719"/>
      <c r="V169" s="5717" t="str">
        <f t="shared" ref="V169" si="5">IF(NOT($B$61),"",IF(OR(V156="",V161=""),"",SUM(V158,-V168)))</f>
        <v/>
      </c>
      <c r="W169" s="5718"/>
      <c r="X169" s="112"/>
      <c r="Y169" s="2400"/>
      <c r="Z169" s="614"/>
      <c r="AA169" s="614"/>
      <c r="AB169" s="2873"/>
      <c r="AC169" s="3032" t="s">
        <v>3700</v>
      </c>
      <c r="AD169" s="3032"/>
      <c r="AE169" s="3032"/>
      <c r="AF169" s="3032"/>
      <c r="AG169" s="3032"/>
      <c r="AH169" s="3032"/>
      <c r="AI169" s="3032"/>
      <c r="AJ169" s="4393" t="b">
        <f>IF(AJ163&lt;=0,TRUE,FALSE)</f>
        <v>1</v>
      </c>
      <c r="AK169" s="4393"/>
      <c r="AL169" s="4393" t="b">
        <f>IF(AL163&lt;=0,TRUE,FALSE)</f>
        <v>1</v>
      </c>
      <c r="AM169" s="4393"/>
      <c r="AN169" s="4393" t="b">
        <f>IF(AN163&lt;=0,TRUE,FALSE)</f>
        <v>1</v>
      </c>
      <c r="AO169" s="4393"/>
      <c r="AP169" s="4393" t="b">
        <f>IF(AP163&lt;=0,TRUE,FALSE)</f>
        <v>1</v>
      </c>
      <c r="AQ169" s="3032"/>
      <c r="AR169" s="3033"/>
      <c r="AS169" s="624"/>
      <c r="AX169" s="657" t="str">
        <f>IF(File_Single&lt;&gt;"",BC167,IF(OR(File_Marr_Joint&lt;&gt;"",File_Qual_Widow&lt;&gt;""),BD167,IF(File_Marr_Sep&lt;&gt;"", BE167,IF(File_Head&lt;&gt;"",BF167,"Filing status?"))))</f>
        <v>Filing status?</v>
      </c>
      <c r="AY169" s="776" t="str">
        <f>"&gt;=100k"</f>
        <v>&gt;=100k</v>
      </c>
      <c r="AZ169" s="776"/>
      <c r="BA169" s="776"/>
      <c r="BB169" s="776"/>
      <c r="BC169" s="776"/>
      <c r="BD169" s="776"/>
      <c r="BE169" s="776"/>
      <c r="BF169" s="777"/>
    </row>
    <row r="170" spans="1:58" ht="14.25" customHeight="1">
      <c r="A170" s="857"/>
      <c r="B170" s="102"/>
      <c r="C170" s="452">
        <v>10</v>
      </c>
      <c r="D170" s="4224" t="str">
        <f>"In each column, multiply "&amp;TEXT(P170,"$0,000")&amp;" by the total number"</f>
        <v>In each column, multiply $4,050 by the total number</v>
      </c>
      <c r="E170" s="4205"/>
      <c r="F170" s="4205"/>
      <c r="G170" s="4205"/>
      <c r="H170" s="4205"/>
      <c r="I170" s="4205"/>
      <c r="J170" s="4205"/>
      <c r="K170" s="4205"/>
      <c r="L170" s="4205"/>
      <c r="M170" s="4205"/>
      <c r="N170" s="4205"/>
      <c r="O170" s="4237"/>
      <c r="P170" s="5864">
        <v>4050</v>
      </c>
      <c r="Q170" s="5865"/>
      <c r="R170" s="4213"/>
      <c r="S170" s="4276"/>
      <c r="T170" s="4275"/>
      <c r="U170" s="4276"/>
      <c r="V170" s="4274"/>
      <c r="W170" s="4275"/>
      <c r="X170" s="112"/>
      <c r="Y170" s="2400"/>
      <c r="Z170" s="614"/>
      <c r="AA170" s="614"/>
      <c r="AB170" s="2873"/>
      <c r="AC170" s="3032" t="s">
        <v>3699</v>
      </c>
      <c r="AD170" s="3032"/>
      <c r="AE170" s="3032"/>
      <c r="AF170" s="3032"/>
      <c r="AG170" s="3032"/>
      <c r="AH170" s="3032"/>
      <c r="AI170" s="3032"/>
      <c r="AJ170" s="4425" t="str">
        <f>IF(AJ169,"STOP","")</f>
        <v>STOP</v>
      </c>
      <c r="AK170" s="3032"/>
      <c r="AL170" s="4425" t="str">
        <f>IF(AL169,"STOP","")</f>
        <v>STOP</v>
      </c>
      <c r="AM170" s="3032"/>
      <c r="AN170" s="4425" t="str">
        <f>IF(AN169,"STOP","")</f>
        <v>STOP</v>
      </c>
      <c r="AO170" s="3032"/>
      <c r="AP170" s="4425" t="str">
        <f>IF(AP169,"STOP","")</f>
        <v>STOP</v>
      </c>
      <c r="AQ170" s="3032"/>
      <c r="AR170" s="3033"/>
      <c r="AS170" s="624"/>
    </row>
    <row r="171" spans="1:58" ht="14.25" customHeight="1" thickBot="1">
      <c r="A171" s="857"/>
      <c r="B171" s="4224"/>
      <c r="C171" s="452"/>
      <c r="D171" s="4224" t="s">
        <v>3562</v>
      </c>
      <c r="E171" s="4205"/>
      <c r="F171" s="4205"/>
      <c r="G171" s="4205"/>
      <c r="H171" s="4205"/>
      <c r="I171" s="4205"/>
      <c r="J171" s="4205"/>
      <c r="K171" s="4205"/>
      <c r="L171" s="4205"/>
      <c r="M171" s="4205"/>
      <c r="N171" s="4205"/>
      <c r="O171" s="4237"/>
      <c r="P171" s="4213"/>
      <c r="Q171" s="2570"/>
      <c r="R171" s="4213"/>
      <c r="S171" s="4276"/>
      <c r="T171" s="4275"/>
      <c r="U171" s="4276"/>
      <c r="V171" s="4274"/>
      <c r="W171" s="4275"/>
      <c r="X171" s="112"/>
      <c r="Y171" s="2400"/>
      <c r="Z171" s="614"/>
      <c r="AA171" s="614"/>
      <c r="AB171" s="2873"/>
      <c r="AC171" s="3032" t="s">
        <v>3698</v>
      </c>
      <c r="AD171" s="3032"/>
      <c r="AE171" s="3032"/>
      <c r="AF171" s="3032"/>
      <c r="AG171" s="3032"/>
      <c r="AH171" s="3032"/>
      <c r="AI171" s="3032"/>
      <c r="AJ171" s="3032"/>
      <c r="AK171" s="3032"/>
      <c r="AL171" s="3032"/>
      <c r="AM171" s="3032"/>
      <c r="AN171" s="3032"/>
      <c r="AO171" s="3032"/>
      <c r="AP171" s="3032"/>
      <c r="AQ171" s="3032"/>
      <c r="AR171" s="3033"/>
      <c r="AS171" s="624"/>
      <c r="AX171" s="338" t="s">
        <v>3654</v>
      </c>
      <c r="AY171" s="64"/>
      <c r="AZ171" s="64"/>
      <c r="BA171" s="64"/>
      <c r="BB171" s="64"/>
      <c r="BC171" s="64"/>
      <c r="BD171" s="64"/>
      <c r="BE171" s="64"/>
      <c r="BF171" s="64"/>
    </row>
    <row r="172" spans="1:58" ht="14.25" customHeight="1">
      <c r="A172" s="857"/>
      <c r="B172" s="4205"/>
      <c r="C172" s="73"/>
      <c r="D172" s="4224" t="s">
        <v>3563</v>
      </c>
      <c r="E172" s="4205"/>
      <c r="F172" s="4205"/>
      <c r="G172" s="4205"/>
      <c r="H172" s="4205"/>
      <c r="I172" s="4205"/>
      <c r="J172" s="4205"/>
      <c r="K172" s="4205"/>
      <c r="L172" s="4205"/>
      <c r="M172" s="4205"/>
      <c r="N172" s="4205"/>
      <c r="O172" s="4237"/>
      <c r="P172" s="4213"/>
      <c r="Q172" s="2570"/>
      <c r="R172" s="4213"/>
      <c r="S172" s="4276"/>
      <c r="T172" s="4275"/>
      <c r="U172" s="4276"/>
      <c r="V172" s="4274"/>
      <c r="W172" s="4275"/>
      <c r="X172" s="112"/>
      <c r="Y172" s="2400"/>
      <c r="Z172" s="614"/>
      <c r="AA172" s="614"/>
      <c r="AB172" s="2873"/>
      <c r="AC172" s="3032"/>
      <c r="AD172" s="3032"/>
      <c r="AE172" s="3032"/>
      <c r="AF172" s="3032"/>
      <c r="AG172" s="3032"/>
      <c r="AH172" s="3032"/>
      <c r="AI172" s="3032"/>
      <c r="AJ172" s="3032"/>
      <c r="AK172" s="3032"/>
      <c r="AL172" s="3032"/>
      <c r="AM172" s="3032"/>
      <c r="AN172" s="3032"/>
      <c r="AO172" s="3032"/>
      <c r="AP172" s="3032"/>
      <c r="AQ172" s="3032"/>
      <c r="AR172" s="3033"/>
      <c r="AS172" s="624"/>
      <c r="AX172" s="4396" t="str">
        <f>R174</f>
        <v/>
      </c>
      <c r="AY172" s="771"/>
      <c r="AZ172" s="771"/>
      <c r="BA172" s="771"/>
      <c r="BB172" s="771"/>
      <c r="BC172" s="771"/>
      <c r="BD172" s="771"/>
      <c r="BE172" s="771"/>
      <c r="BF172" s="772"/>
    </row>
    <row r="173" spans="1:58" ht="14.25" customHeight="1">
      <c r="A173" s="857"/>
      <c r="B173" s="4205"/>
      <c r="C173" s="73"/>
      <c r="D173" s="4224" t="s">
        <v>3564</v>
      </c>
      <c r="E173" s="4205"/>
      <c r="F173" s="4205"/>
      <c r="G173" s="4205"/>
      <c r="H173" s="4205"/>
      <c r="I173" s="4205"/>
      <c r="J173" s="4205"/>
      <c r="K173" s="4205"/>
      <c r="L173" s="4205"/>
      <c r="M173" s="4205"/>
      <c r="N173" s="2753" t="s">
        <v>931</v>
      </c>
      <c r="O173" s="4285">
        <v>10</v>
      </c>
      <c r="P173" s="5717" t="str">
        <f>IF(NOT($B$61),"",IF(OR(P156="",P161=""),"",IF(AJ218,AJ251,$P$170*'1040'!$AG$37)))</f>
        <v/>
      </c>
      <c r="Q173" s="5719"/>
      <c r="R173" s="5717" t="str">
        <f>IF(NOT($B$61),"",IF(OR(R156="",R161=""),"",IF(AL218,AL251,$P$170*'1040'!$AG$37)))</f>
        <v/>
      </c>
      <c r="S173" s="5719"/>
      <c r="T173" s="5717" t="str">
        <f>IF(NOT($B$61),"",IF(OR(T156="",T161=""),"",IF(AN218,AN251,$P$170*'1040'!$AG$37)))</f>
        <v/>
      </c>
      <c r="U173" s="5719"/>
      <c r="V173" s="5717" t="str">
        <f>IF(NOT($B$61),"",IF(OR(V156="",V161=""),"",IF(AP218,AP251,$P$170*'1040'!$AG$37)))</f>
        <v/>
      </c>
      <c r="W173" s="5718"/>
      <c r="X173" s="112"/>
      <c r="Y173" s="2400"/>
      <c r="Z173" s="820" t="str">
        <f>IF($U$184&gt;$U$174,"Line 15 cannot","")</f>
        <v/>
      </c>
      <c r="AA173" s="614"/>
      <c r="AB173" s="4419" t="s">
        <v>122</v>
      </c>
      <c r="AC173" s="3032" t="s">
        <v>3689</v>
      </c>
      <c r="AD173" s="3032"/>
      <c r="AE173" s="3032"/>
      <c r="AF173" s="3032"/>
      <c r="AG173" s="3032"/>
      <c r="AH173" s="3032"/>
      <c r="AI173" s="2879" t="s">
        <v>122</v>
      </c>
      <c r="AJ173" s="4410" t="str">
        <f>IF(AJ$169,"",AJ163*AJ165)</f>
        <v/>
      </c>
      <c r="AK173" s="3032"/>
      <c r="AL173" s="4410" t="str">
        <f>IF(AL$169,"",AL163*AL165)</f>
        <v/>
      </c>
      <c r="AM173" s="3032"/>
      <c r="AN173" s="4410" t="str">
        <f>IF(AN$169,"",AN163*AN165)</f>
        <v/>
      </c>
      <c r="AO173" s="3032"/>
      <c r="AP173" s="4410" t="str">
        <f>IF(AP$169,"",AP163*AP165)</f>
        <v/>
      </c>
      <c r="AQ173" s="3032"/>
      <c r="AR173" s="3033"/>
      <c r="AS173" s="624"/>
      <c r="AX173" s="773" t="str">
        <f>IF(AX172&lt;&gt;"",ROUND(AX172,0),"")</f>
        <v/>
      </c>
      <c r="AY173" s="774" t="s">
        <v>124</v>
      </c>
      <c r="AZ173" s="1491" t="s">
        <v>894</v>
      </c>
      <c r="BA173" s="656" t="s">
        <v>739</v>
      </c>
      <c r="BB173" s="656" t="s">
        <v>740</v>
      </c>
      <c r="BC173" s="656" t="s">
        <v>124</v>
      </c>
      <c r="BD173" s="1491" t="s">
        <v>894</v>
      </c>
      <c r="BE173" s="656" t="s">
        <v>739</v>
      </c>
      <c r="BF173" s="659" t="s">
        <v>740</v>
      </c>
    </row>
    <row r="174" spans="1:58" ht="14.25" customHeight="1">
      <c r="A174" s="857"/>
      <c r="B174" s="4205"/>
      <c r="C174" s="452">
        <v>11</v>
      </c>
      <c r="D174" s="4225" t="s">
        <v>1773</v>
      </c>
      <c r="E174" s="4205"/>
      <c r="F174" s="4205"/>
      <c r="G174" s="4205"/>
      <c r="H174" s="4205"/>
      <c r="I174" s="4205"/>
      <c r="J174" s="4205"/>
      <c r="K174" s="4205"/>
      <c r="L174" s="4205"/>
      <c r="M174" s="4205"/>
      <c r="N174" s="2753" t="s">
        <v>1379</v>
      </c>
      <c r="O174" s="4285">
        <v>11</v>
      </c>
      <c r="P174" s="5717" t="str">
        <f>IF(NOT($B$61),"",IF(OR(P156="",P161=""),"",IF(SUM(P169,-P173)&lt;=0,0,SUM(P169,-P173))))</f>
        <v/>
      </c>
      <c r="Q174" s="5719"/>
      <c r="R174" s="5717" t="str">
        <f t="shared" ref="R174" si="6">IF(NOT($B$61),"",IF(OR(R156="",R161=""),"",IF(SUM(R169,-R173)&lt;=0,0,SUM(R169,-R173))))</f>
        <v/>
      </c>
      <c r="S174" s="5719"/>
      <c r="T174" s="5717" t="str">
        <f t="shared" ref="T174" si="7">IF(NOT($B$61),"",IF(OR(T156="",T161=""),"",IF(SUM(T169,-T173)&lt;=0,0,SUM(T169,-T173))))</f>
        <v/>
      </c>
      <c r="U174" s="5719"/>
      <c r="V174" s="5717" t="str">
        <f t="shared" ref="V174" si="8">IF(NOT($B$61),"",IF(OR(V156="",V161=""),"",IF(SUM(V169,-V173)&lt;=0,0,SUM(V169,-V173))))</f>
        <v/>
      </c>
      <c r="W174" s="5718"/>
      <c r="X174" s="112"/>
      <c r="Y174" s="2400"/>
      <c r="Z174" s="614"/>
      <c r="AA174" s="614"/>
      <c r="AB174" s="2873"/>
      <c r="AC174" s="3032"/>
      <c r="AD174" s="3032"/>
      <c r="AE174" s="3032"/>
      <c r="AF174" s="3032"/>
      <c r="AG174" s="3032"/>
      <c r="AH174" s="3032"/>
      <c r="AI174" s="3032"/>
      <c r="AJ174" s="3032"/>
      <c r="AK174" s="3032"/>
      <c r="AL174" s="3032"/>
      <c r="AM174" s="3032"/>
      <c r="AN174" s="3032"/>
      <c r="AO174" s="3032"/>
      <c r="AP174" s="3032"/>
      <c r="AQ174" s="3032"/>
      <c r="AR174" s="3033"/>
      <c r="AS174" s="624"/>
      <c r="AX174" s="773" t="str">
        <f>IF(AX172="","",IF(AX172&gt;=3000,INT(AX173/50),IF(AX172&gt;=25,INT(AX173/25),IF(AX172&gt;=5,INT((AX173+5)/10),0))))</f>
        <v/>
      </c>
      <c r="AY174" s="876" t="e">
        <f>LOOKUP(AX175,'Tax Table'!$A$2:$A$2063,'Tax Table'!$C$2:$C$2063)</f>
        <v>#N/A</v>
      </c>
      <c r="AZ174" s="876" t="e">
        <f>LOOKUP(AX175,'Tax Table'!$A$2:$A$2063,'Tax Table'!$D$2:$D$2063)</f>
        <v>#N/A</v>
      </c>
      <c r="BA174" s="876" t="e">
        <f>LOOKUP(AX175,'Tax Table'!$A$2:$A$2063,'Tax Table'!$E$2:$E$2063)</f>
        <v>#N/A</v>
      </c>
      <c r="BB174" s="876" t="e">
        <f>LOOKUP(AX175,'Tax Table'!$A$2:$A$2063,'Tax Table'!$F$2:$F$2063)</f>
        <v>#N/A</v>
      </c>
      <c r="BC174" s="876" t="str">
        <f>"---"</f>
        <v>---</v>
      </c>
      <c r="BD174" s="876" t="str">
        <f>"---"</f>
        <v>---</v>
      </c>
      <c r="BE174" s="876" t="str">
        <f>"---"</f>
        <v>---</v>
      </c>
      <c r="BF174" s="877" t="str">
        <f>"---"</f>
        <v>---</v>
      </c>
    </row>
    <row r="175" spans="1:58" ht="14.25" customHeight="1">
      <c r="A175" s="857"/>
      <c r="B175" s="4225"/>
      <c r="C175" s="452">
        <v>12</v>
      </c>
      <c r="D175" s="2809" t="s">
        <v>3565</v>
      </c>
      <c r="E175" s="4225"/>
      <c r="F175" s="4225"/>
      <c r="G175" s="4225"/>
      <c r="H175" s="4225"/>
      <c r="I175" s="4225"/>
      <c r="J175" s="4225"/>
      <c r="K175" s="4225"/>
      <c r="L175" s="4225"/>
      <c r="M175" s="4225"/>
      <c r="N175" s="2753" t="s">
        <v>1142</v>
      </c>
      <c r="O175" s="4285">
        <v>12</v>
      </c>
      <c r="P175" s="5717" t="str">
        <f>IF(NOT($B$61),"",IF(OR(P156="",P161=""),"",IF(P174&gt;=100000,AX169,AX168)))</f>
        <v/>
      </c>
      <c r="Q175" s="5719"/>
      <c r="R175" s="5717" t="str">
        <f>IF(NOT($B$61),"",IF(OR(R156="",R161=""),"",IF(R174&gt;=100000,AZ169,AZ168)))</f>
        <v/>
      </c>
      <c r="S175" s="5719"/>
      <c r="T175" s="5717" t="str">
        <f>IF(NOT($B$61),"",IF(OR(T156="",T161=""),"",IF(T174&gt;=100000,BB169,BB168)))</f>
        <v/>
      </c>
      <c r="U175" s="5719"/>
      <c r="V175" s="5717" t="str">
        <f>IF(NOT($B$61),"",IF(OR(V156="",V161=""),"",IF(V174&gt;=100000,BD169,BD168)))</f>
        <v/>
      </c>
      <c r="W175" s="5718"/>
      <c r="X175" s="112"/>
      <c r="Y175" s="2400"/>
      <c r="Z175" s="614"/>
      <c r="AA175" s="614"/>
      <c r="AB175" s="4419" t="s">
        <v>123</v>
      </c>
      <c r="AC175" s="3032" t="str">
        <f>"Multiply line 6 by "&amp;TEXT(AE176,"0%")&amp;" ("&amp;TEXT(AE176,"0.00")&amp;")"</f>
        <v>Multiply line 6 by 80% (0.80)</v>
      </c>
      <c r="AD175" s="3032"/>
      <c r="AE175" s="3032"/>
      <c r="AF175" s="3032"/>
      <c r="AG175" s="3032"/>
      <c r="AH175" s="3032"/>
      <c r="AI175" s="2879" t="s">
        <v>123</v>
      </c>
      <c r="AJ175" s="4410" t="str">
        <f>IF(AJ$169,"",AJ173*$AE$176)</f>
        <v/>
      </c>
      <c r="AK175" s="3032"/>
      <c r="AL175" s="4410" t="str">
        <f>IF(AL$169,"",AL173*$AE$176)</f>
        <v/>
      </c>
      <c r="AM175" s="3032"/>
      <c r="AN175" s="4410" t="str">
        <f>IF(AN$169,"",AN173*$AE$176)</f>
        <v/>
      </c>
      <c r="AO175" s="3032"/>
      <c r="AP175" s="4410" t="str">
        <f>IF(AP$169,"",AP173*$AE$176)</f>
        <v/>
      </c>
      <c r="AQ175" s="3032"/>
      <c r="AR175" s="3033"/>
      <c r="AS175" s="624"/>
      <c r="AX175" s="775" t="str">
        <f>IF(AX174="","",IF(AX173&gt;=3000,50*AX174,IF(AX173&gt;=25,25*AX174,IF(AX173&gt;=5,(10*AX174)-5,AX173))))</f>
        <v/>
      </c>
      <c r="AY175" s="876" t="e">
        <f>LOOKUP(AX175,'Tax Table'!$A$2:$A$2063,'Tax Table'!$C$2:$C$2063)</f>
        <v>#N/A</v>
      </c>
      <c r="AZ175" s="876" t="e">
        <f>LOOKUP(AX175,'Tax Table'!$A$2:$A$2063,'Tax Table'!$D$2:$D$2063)</f>
        <v>#N/A</v>
      </c>
      <c r="BA175" s="876" t="e">
        <f>LOOKUP(AX175,'Tax Table'!$A$2:$A$2063,'Tax Table'!$E$2:$E$2063)</f>
        <v>#N/A</v>
      </c>
      <c r="BB175" s="876" t="e">
        <f>LOOKUP(AX175,'Tax Table'!$A$2:$A$2063,'Tax Table'!$F$2:$F$2063)</f>
        <v>#N/A</v>
      </c>
      <c r="BC175" s="876" t="e">
        <f>IF(AX172&lt;SectA_a3,"---",IF(AX172&lt;=SectA_a4,ROUND((AX172*(SectA_b4/100)-SectA_d4),0),IF(AX172&lt;=SectA_a5,ROUND((AX172*(SectA_b5/100)-SectA_d5),0),IF(AX172&lt;=SectA_a6,ROUND((AX172*(SectA_b6/100)-SectA_d6),0),ROUND((AX172*(SectA_b7/100)-SectA_d7),0)))))</f>
        <v>#VALUE!</v>
      </c>
      <c r="BD175" s="876" t="e">
        <f>IF(AX172&lt;SectB_a2,"---",IF(AX172&lt;=SectB_a3,ROUND((AX172*(SectB_b3/100)-SectB_d3),0),IF(AX172&lt;=SectB_a4,ROUND((AX172*(SectB_b4/100)-SectB_d4),0),IF(AX172&lt;=SectB_a5,ROUND((AX172*(SectB_b5/100)-SectB_d5),0),IF(AX172&lt;=SectB_a6,ROUND((AX172*(SectB_b6/100)-SectB_d6),0),ROUND((AX172*(SectB_b7/100)-SectB_d7),0))))))</f>
        <v>#VALUE!</v>
      </c>
      <c r="BE175" s="876" t="e">
        <f>IF(AX172&lt;SectC_a2,"---",IF(AX172&lt;=SectC_a3,ROUND((AX172*(SectC_b3/100)-SectC_d3),0),IF(AX172&lt;=SectC_a4,ROUND((AX172*(SectC_b4/100)-SectC_d4),0),IF(AX172&lt;=SectC_a5,ROUND((AX172*(SectC_b5/100)-SectC_d5),0),ROUND((AX172*(SectC_b6/100)-SectC_d6),0)))))</f>
        <v>#VALUE!</v>
      </c>
      <c r="BF175" s="877" t="e">
        <f>IF(AX172&lt;SectD_a2,"---",IF(AX172&lt;=SectD_a3,ROUND((AX172*(SectD_b3/100)-SectD_d3),0),IF(AX172&lt;=SectD_a4,ROUND((AX172*(SectD_b4/100)-SectD_d4),0),IF(AX172&lt;=SectD_a5,ROUND((AX172*(SectD_b5/100)-SectD_d5),0),IF(AX172&lt;=SectD_a6,ROUND((AX172*(SectD_b6/100)-SectD_d6),0),ROUND((AX172*(SectD_b7/100)-SectD_d7),0))))))</f>
        <v>#VALUE!</v>
      </c>
    </row>
    <row r="176" spans="1:58" ht="14.25" customHeight="1">
      <c r="A176" s="857"/>
      <c r="B176" s="102"/>
      <c r="C176" s="452">
        <v>13</v>
      </c>
      <c r="D176" s="4229" t="s">
        <v>3566</v>
      </c>
      <c r="E176" s="4225"/>
      <c r="F176" s="4225"/>
      <c r="G176" s="4225"/>
      <c r="H176" s="4225"/>
      <c r="I176" s="4225"/>
      <c r="J176" s="4225"/>
      <c r="K176" s="4225"/>
      <c r="L176" s="4225"/>
      <c r="M176" s="4225"/>
      <c r="N176" s="2753" t="s">
        <v>1142</v>
      </c>
      <c r="O176" s="4285">
        <v>13</v>
      </c>
      <c r="P176" s="5717" t="str">
        <f>IF(NOT($B$61),"",IF(OR(P156="",P161=""),"",P208))</f>
        <v/>
      </c>
      <c r="Q176" s="5719"/>
      <c r="R176" s="5717" t="str">
        <f t="shared" ref="R176" si="9">IF(NOT($B$61),"",IF(OR(R156="",R161=""),"",R208))</f>
        <v/>
      </c>
      <c r="S176" s="5719"/>
      <c r="T176" s="5717" t="str">
        <f t="shared" ref="T176" si="10">IF(NOT($B$61),"",IF(OR(T156="",T161=""),"",T208))</f>
        <v/>
      </c>
      <c r="U176" s="5719"/>
      <c r="V176" s="5717" t="str">
        <f t="shared" ref="V176" si="11">IF(NOT($B$61),"",IF(OR(V156="",V161=""),"",V208))</f>
        <v/>
      </c>
      <c r="W176" s="5718"/>
      <c r="X176" s="112"/>
      <c r="Y176" s="2400"/>
      <c r="Z176" s="614"/>
      <c r="AA176" s="614"/>
      <c r="AB176" s="2873"/>
      <c r="AC176" s="3032"/>
      <c r="AD176" s="3032"/>
      <c r="AE176" s="4393">
        <v>0.8</v>
      </c>
      <c r="AF176" s="3032"/>
      <c r="AG176" s="3032"/>
      <c r="AH176" s="3032"/>
      <c r="AI176" s="3032"/>
      <c r="AJ176" s="3032"/>
      <c r="AK176" s="3032"/>
      <c r="AL176" s="3032"/>
      <c r="AM176" s="3032"/>
      <c r="AN176" s="3032"/>
      <c r="AO176" s="3032"/>
      <c r="AP176" s="3032"/>
      <c r="AQ176" s="3032"/>
      <c r="AR176" s="3033"/>
      <c r="AS176" s="624"/>
      <c r="AX176" s="658" t="str">
        <f>IF(File_Single&lt;&gt;"",AY175,IF(File_Marr_Joint&lt;&gt;"",AZ175,IF(File_Marr_Sep&lt;&gt;"", BA175,IF(File_Head&lt;&gt;"",BB175,IF(File_Qual_Widow&lt;&gt;"",AZ175,"Filing status?")))))</f>
        <v>Filing status?</v>
      </c>
      <c r="AY176" s="656" t="str">
        <f>"&lt;100k"</f>
        <v>&lt;100k</v>
      </c>
      <c r="AZ176" s="1190"/>
      <c r="BA176" s="1190"/>
      <c r="BB176" s="1190"/>
      <c r="BC176" s="1190"/>
      <c r="BD176" s="1190"/>
      <c r="BE176" s="656"/>
      <c r="BF176" s="659"/>
    </row>
    <row r="177" spans="1:58" ht="14.25" customHeight="1" thickBot="1">
      <c r="A177" s="857"/>
      <c r="B177" s="4229"/>
      <c r="C177" s="452">
        <v>14</v>
      </c>
      <c r="D177" s="4226" t="s">
        <v>3568</v>
      </c>
      <c r="E177" s="4225"/>
      <c r="F177" s="4225"/>
      <c r="G177" s="4225"/>
      <c r="H177" s="4225"/>
      <c r="I177" s="4225"/>
      <c r="J177" s="4225"/>
      <c r="K177" s="4225"/>
      <c r="L177" s="4225"/>
      <c r="M177" s="4225"/>
      <c r="N177" s="4225"/>
      <c r="O177" s="4237"/>
      <c r="P177" s="4227"/>
      <c r="Q177" s="2570"/>
      <c r="R177" s="4227"/>
      <c r="S177" s="4276"/>
      <c r="T177" s="4275"/>
      <c r="U177" s="4276"/>
      <c r="V177" s="4274"/>
      <c r="W177" s="4275"/>
      <c r="X177" s="112"/>
      <c r="Y177" s="2400"/>
      <c r="Z177" s="614"/>
      <c r="AA177" s="614"/>
      <c r="AB177" s="4419" t="s">
        <v>338</v>
      </c>
      <c r="AC177" s="3032" t="s">
        <v>3657</v>
      </c>
      <c r="AD177" s="3032"/>
      <c r="AE177" s="3032"/>
      <c r="AF177" s="3032"/>
      <c r="AG177" s="3032"/>
      <c r="AH177" s="3032"/>
      <c r="AI177" s="2879" t="s">
        <v>338</v>
      </c>
      <c r="AJ177" s="4410" t="str">
        <f>IF(AJ$169,"",P158)</f>
        <v/>
      </c>
      <c r="AK177" s="3032"/>
      <c r="AL177" s="4410" t="str">
        <f>IF(AL$169,"",R158)</f>
        <v/>
      </c>
      <c r="AM177" s="3032"/>
      <c r="AN177" s="4410" t="str">
        <f>IF(AN$169,"",T158)</f>
        <v/>
      </c>
      <c r="AO177" s="3032"/>
      <c r="AP177" s="4410" t="str">
        <f>IF(AP$169,"",V158)</f>
        <v/>
      </c>
      <c r="AQ177" s="3032"/>
      <c r="AR177" s="3033"/>
      <c r="AS177" s="624"/>
      <c r="AX177" s="657" t="str">
        <f>IF(File_Single&lt;&gt;"",BC175,IF(OR(File_Marr_Joint&lt;&gt;"",File_Qual_Widow&lt;&gt;""),BD175,IF(File_Marr_Sep&lt;&gt;"", BE175,IF(File_Head&lt;&gt;"",BF175,"Filing status?"))))</f>
        <v>Filing status?</v>
      </c>
      <c r="AY177" s="776" t="str">
        <f>"&gt;=100k"</f>
        <v>&gt;=100k</v>
      </c>
      <c r="AZ177" s="776"/>
      <c r="BA177" s="776"/>
      <c r="BB177" s="776"/>
      <c r="BC177" s="776"/>
      <c r="BD177" s="776"/>
      <c r="BE177" s="776"/>
      <c r="BF177" s="777"/>
    </row>
    <row r="178" spans="1:58" ht="14.25" customHeight="1">
      <c r="A178" s="857"/>
      <c r="B178" s="4225"/>
      <c r="C178" s="73"/>
      <c r="D178" s="4229" t="s">
        <v>3569</v>
      </c>
      <c r="E178" s="4225"/>
      <c r="F178" s="4225"/>
      <c r="G178" s="4225"/>
      <c r="H178" s="4225"/>
      <c r="I178" s="4225"/>
      <c r="J178" s="4225"/>
      <c r="K178" s="4225"/>
      <c r="L178" s="4225"/>
      <c r="M178" s="4225"/>
      <c r="N178" s="4225"/>
      <c r="O178" s="4237"/>
      <c r="P178" s="4227"/>
      <c r="Q178" s="2570"/>
      <c r="R178" s="4227"/>
      <c r="S178" s="4276"/>
      <c r="T178" s="4275"/>
      <c r="U178" s="4276"/>
      <c r="V178" s="4274"/>
      <c r="W178" s="4275"/>
      <c r="X178" s="112"/>
      <c r="Y178" s="2400"/>
      <c r="Z178" s="614"/>
      <c r="AA178" s="614"/>
      <c r="AB178" s="2873"/>
      <c r="AC178" s="3032"/>
      <c r="AD178" s="3032"/>
      <c r="AE178" s="3032"/>
      <c r="AF178" s="3032"/>
      <c r="AG178" s="3032"/>
      <c r="AH178" s="3032"/>
      <c r="AI178" s="3032"/>
      <c r="AJ178" s="3032"/>
      <c r="AK178" s="3032"/>
      <c r="AL178" s="3032"/>
      <c r="AM178" s="3032"/>
      <c r="AN178" s="3032"/>
      <c r="AO178" s="3032"/>
      <c r="AP178" s="3032"/>
      <c r="AQ178" s="3032"/>
      <c r="AR178" s="3033"/>
      <c r="AS178" s="624"/>
    </row>
    <row r="179" spans="1:58" ht="14.25" customHeight="1" thickBot="1">
      <c r="A179" s="857"/>
      <c r="B179" s="4225"/>
      <c r="C179" s="73"/>
      <c r="D179" s="4225" t="s">
        <v>3570</v>
      </c>
      <c r="E179" s="4225"/>
      <c r="F179" s="4225"/>
      <c r="G179" s="4225"/>
      <c r="H179" s="4225"/>
      <c r="I179" s="4225"/>
      <c r="J179" s="4225"/>
      <c r="K179" s="4225"/>
      <c r="L179" s="4225"/>
      <c r="M179" s="4225"/>
      <c r="N179" s="2753" t="s">
        <v>1379</v>
      </c>
      <c r="O179" s="4285">
        <v>14</v>
      </c>
      <c r="P179" s="5726"/>
      <c r="Q179" s="5727"/>
      <c r="R179" s="5726"/>
      <c r="S179" s="5727"/>
      <c r="T179" s="5726"/>
      <c r="U179" s="5727"/>
      <c r="V179" s="5806"/>
      <c r="W179" s="5807"/>
      <c r="X179" s="112"/>
      <c r="Y179" s="2400"/>
      <c r="Z179" s="820" t="str">
        <f>IF($U$184&gt;$U$174,"Line 15 cannot","")</f>
        <v/>
      </c>
      <c r="AA179" s="614"/>
      <c r="AB179" s="4419" t="s">
        <v>339</v>
      </c>
      <c r="AC179" s="2878" t="s">
        <v>3696</v>
      </c>
      <c r="AD179" s="2878"/>
      <c r="AE179" s="3032"/>
      <c r="AF179" s="3032"/>
      <c r="AG179" s="3032"/>
      <c r="AH179" s="3032"/>
      <c r="AI179" s="3032"/>
      <c r="AJ179" s="3032"/>
      <c r="AK179" s="3032"/>
      <c r="AL179" s="3032"/>
      <c r="AM179" s="3032"/>
      <c r="AN179" s="3032"/>
      <c r="AO179" s="3032"/>
      <c r="AP179" s="3032"/>
      <c r="AQ179" s="3032"/>
      <c r="AR179" s="3033"/>
      <c r="AS179" s="624"/>
      <c r="AX179" s="4397" t="s">
        <v>3655</v>
      </c>
      <c r="AY179" s="64"/>
      <c r="AZ179" s="64"/>
      <c r="BA179" s="64"/>
      <c r="BB179" s="64"/>
      <c r="BC179" s="64"/>
      <c r="BD179" s="64"/>
      <c r="BE179" s="64"/>
      <c r="BF179" s="64"/>
    </row>
    <row r="180" spans="1:58" ht="14.25" customHeight="1">
      <c r="A180" s="857"/>
      <c r="B180" s="4205"/>
      <c r="C180" s="452">
        <v>15</v>
      </c>
      <c r="D180" s="4229" t="s">
        <v>3571</v>
      </c>
      <c r="E180" s="4205"/>
      <c r="F180" s="4205"/>
      <c r="G180" s="4205"/>
      <c r="H180" s="4205"/>
      <c r="I180" s="4205"/>
      <c r="J180" s="4205"/>
      <c r="K180" s="4205"/>
      <c r="L180" s="4205"/>
      <c r="M180" s="4205"/>
      <c r="N180" s="2753" t="s">
        <v>1380</v>
      </c>
      <c r="O180" s="4285">
        <v>15</v>
      </c>
      <c r="P180" s="5717" t="str">
        <f>IF(NOT($B$61),"",IF(OR(P156="",P161=""),"",SUM(P175,P176,P179)))</f>
        <v/>
      </c>
      <c r="Q180" s="5719"/>
      <c r="R180" s="5717" t="str">
        <f t="shared" ref="R180" si="12">IF(NOT($B$61),"",IF(OR(R156="",R161=""),"",SUM(R175,R176,R179)))</f>
        <v/>
      </c>
      <c r="S180" s="5719"/>
      <c r="T180" s="5717" t="str">
        <f t="shared" ref="T180" si="13">IF(NOT($B$61),"",IF(OR(T156="",T161=""),"",SUM(T175,T176,T179)))</f>
        <v/>
      </c>
      <c r="U180" s="5719"/>
      <c r="V180" s="5772" t="str">
        <f t="shared" ref="V180" si="14">IF(NOT($B$61),"",IF(OR(V156="",V161=""),"",SUM(V175,V176,V179)))</f>
        <v/>
      </c>
      <c r="W180" s="5773"/>
      <c r="X180" s="112"/>
      <c r="Y180" s="2400"/>
      <c r="Z180" s="820" t="str">
        <f>IF($U$184&gt;$U$174,"Line 15 cannot","")</f>
        <v/>
      </c>
      <c r="AA180" s="614"/>
      <c r="AB180" s="4419"/>
      <c r="AC180" s="3032" t="s">
        <v>3697</v>
      </c>
      <c r="AD180" s="3032"/>
      <c r="AE180" s="3032"/>
      <c r="AF180" s="3032"/>
      <c r="AG180" s="3032"/>
      <c r="AH180" s="3032"/>
      <c r="AI180" s="3032"/>
      <c r="AJ180" s="3032"/>
      <c r="AK180" s="3032"/>
      <c r="AL180" s="3032"/>
      <c r="AM180" s="3032"/>
      <c r="AN180" s="3032"/>
      <c r="AO180" s="3032"/>
      <c r="AP180" s="3032"/>
      <c r="AQ180" s="3032"/>
      <c r="AR180" s="3033"/>
      <c r="AS180" s="624"/>
      <c r="AX180" s="4396" t="str">
        <f>T174</f>
        <v/>
      </c>
      <c r="AY180" s="771"/>
      <c r="AZ180" s="771"/>
      <c r="BA180" s="771"/>
      <c r="BB180" s="771"/>
      <c r="BC180" s="771"/>
      <c r="BD180" s="771"/>
      <c r="BE180" s="771"/>
      <c r="BF180" s="772"/>
    </row>
    <row r="181" spans="1:58" ht="14.25" customHeight="1">
      <c r="A181" s="857"/>
      <c r="B181" s="4225"/>
      <c r="C181" s="452">
        <v>16</v>
      </c>
      <c r="D181" s="4229" t="s">
        <v>3572</v>
      </c>
      <c r="E181" s="4225"/>
      <c r="F181" s="4225"/>
      <c r="G181" s="4225"/>
      <c r="H181" s="4225"/>
      <c r="I181" s="4225"/>
      <c r="J181" s="4225"/>
      <c r="K181" s="4225"/>
      <c r="L181" s="4225"/>
      <c r="M181" s="4225"/>
      <c r="N181" s="4225"/>
      <c r="O181" s="4237"/>
      <c r="P181" s="4227"/>
      <c r="Q181" s="2570"/>
      <c r="R181" s="4227"/>
      <c r="S181" s="4276"/>
      <c r="T181" s="4275"/>
      <c r="U181" s="4276"/>
      <c r="V181" s="4274"/>
      <c r="W181" s="4275"/>
      <c r="X181" s="112"/>
      <c r="Y181" s="2400"/>
      <c r="Z181" s="614"/>
      <c r="AA181" s="614"/>
      <c r="AB181" s="2873"/>
      <c r="AC181" s="4399" t="s">
        <v>198</v>
      </c>
      <c r="AD181" s="4399"/>
      <c r="AE181" s="4400">
        <v>311300</v>
      </c>
      <c r="AF181" s="2878" t="s">
        <v>3659</v>
      </c>
      <c r="AG181" s="2878"/>
      <c r="AH181" s="2878"/>
      <c r="AI181" s="3032"/>
      <c r="AJ181" s="3032"/>
      <c r="AK181" s="3032"/>
      <c r="AL181" s="3032"/>
      <c r="AM181" s="3032"/>
      <c r="AN181" s="3032"/>
      <c r="AO181" s="3032"/>
      <c r="AP181" s="3032"/>
      <c r="AQ181" s="3032"/>
      <c r="AR181" s="3033"/>
      <c r="AS181" s="624"/>
      <c r="AX181" s="773" t="str">
        <f>IF(AX180&lt;&gt;"",ROUND(AX180,0),"")</f>
        <v/>
      </c>
      <c r="AY181" s="774" t="s">
        <v>124</v>
      </c>
      <c r="AZ181" s="1491" t="s">
        <v>894</v>
      </c>
      <c r="BA181" s="656" t="s">
        <v>739</v>
      </c>
      <c r="BB181" s="656" t="s">
        <v>740</v>
      </c>
      <c r="BC181" s="656" t="s">
        <v>124</v>
      </c>
      <c r="BD181" s="1491" t="s">
        <v>894</v>
      </c>
      <c r="BE181" s="656" t="s">
        <v>739</v>
      </c>
      <c r="BF181" s="659" t="s">
        <v>740</v>
      </c>
    </row>
    <row r="182" spans="1:58" ht="14.25" customHeight="1">
      <c r="A182" s="857"/>
      <c r="B182" s="4225"/>
      <c r="C182" s="73"/>
      <c r="D182" s="4225" t="s">
        <v>3573</v>
      </c>
      <c r="E182" s="4225"/>
      <c r="F182" s="4225"/>
      <c r="G182" s="4225"/>
      <c r="H182" s="4225"/>
      <c r="I182" s="4225"/>
      <c r="J182" s="4225"/>
      <c r="K182" s="4225"/>
      <c r="L182" s="4225"/>
      <c r="M182" s="4225"/>
      <c r="N182" s="2753" t="s">
        <v>1379</v>
      </c>
      <c r="O182" s="4285">
        <v>16</v>
      </c>
      <c r="P182" s="5717" t="str">
        <f>IF(NOT($B$61),"",IF(OR(P156="",P161=""),"",SUM($U$36,$U$39)))</f>
        <v/>
      </c>
      <c r="Q182" s="5719"/>
      <c r="R182" s="5717" t="str">
        <f t="shared" ref="R182" si="15">IF(NOT($B$61),"",IF(OR(R156="",R161=""),"",SUM($U$36,$U$39)))</f>
        <v/>
      </c>
      <c r="S182" s="5719"/>
      <c r="T182" s="5717" t="str">
        <f t="shared" ref="T182" si="16">IF(NOT($B$61),"",IF(OR(T156="",T161=""),"",SUM($U$36,$U$39)))</f>
        <v/>
      </c>
      <c r="U182" s="5719"/>
      <c r="V182" s="5717" t="str">
        <f t="shared" ref="V182" si="17">IF(NOT($B$61),"",IF(OR(V156="",V161=""),"",SUM($U$36,$U$39)))</f>
        <v/>
      </c>
      <c r="W182" s="5718"/>
      <c r="X182" s="112"/>
      <c r="Y182" s="2400"/>
      <c r="Z182" s="820" t="str">
        <f>IF($U$184&gt;$U$174,"Line 15 cannot","")</f>
        <v/>
      </c>
      <c r="AA182" s="614"/>
      <c r="AB182" s="2873"/>
      <c r="AC182" s="4399"/>
      <c r="AD182" s="4399"/>
      <c r="AE182" s="4400" t="s">
        <v>3695</v>
      </c>
      <c r="AF182" s="2878"/>
      <c r="AG182" s="2878"/>
      <c r="AH182" s="2878"/>
      <c r="AI182" s="3032"/>
      <c r="AJ182" s="3032"/>
      <c r="AK182" s="3032"/>
      <c r="AL182" s="3032"/>
      <c r="AM182" s="3032"/>
      <c r="AN182" s="3032"/>
      <c r="AO182" s="3032"/>
      <c r="AP182" s="3032"/>
      <c r="AQ182" s="3032"/>
      <c r="AR182" s="3033"/>
      <c r="AS182" s="624"/>
      <c r="AX182" s="773" t="str">
        <f>IF(AX180="","",IF(AX180&gt;=3000,INT(AX181/50),IF(AX180&gt;=25,INT(AX181/25),IF(AX180&gt;=5,INT((AX181+5)/10),0))))</f>
        <v/>
      </c>
      <c r="AY182" s="876" t="e">
        <f>LOOKUP(AX183,'Tax Table'!$A$2:$A$2063,'Tax Table'!$C$2:$C$2063)</f>
        <v>#N/A</v>
      </c>
      <c r="AZ182" s="876" t="e">
        <f>LOOKUP(AX183,'Tax Table'!$A$2:$A$2063,'Tax Table'!$D$2:$D$2063)</f>
        <v>#N/A</v>
      </c>
      <c r="BA182" s="876" t="e">
        <f>LOOKUP(AX183,'Tax Table'!$A$2:$A$2063,'Tax Table'!$E$2:$E$2063)</f>
        <v>#N/A</v>
      </c>
      <c r="BB182" s="876" t="e">
        <f>LOOKUP(AX183,'Tax Table'!$A$2:$A$2063,'Tax Table'!$F$2:$F$2063)</f>
        <v>#N/A</v>
      </c>
      <c r="BC182" s="876" t="str">
        <f>"---"</f>
        <v>---</v>
      </c>
      <c r="BD182" s="876" t="str">
        <f>"---"</f>
        <v>---</v>
      </c>
      <c r="BE182" s="876" t="str">
        <f>"---"</f>
        <v>---</v>
      </c>
      <c r="BF182" s="877" t="str">
        <f>"---"</f>
        <v>---</v>
      </c>
    </row>
    <row r="183" spans="1:58" ht="12.75" customHeight="1">
      <c r="A183" s="857"/>
      <c r="B183" s="4225"/>
      <c r="C183" s="452">
        <v>17</v>
      </c>
      <c r="D183" s="4229" t="s">
        <v>3574</v>
      </c>
      <c r="E183" s="4225"/>
      <c r="F183" s="4225"/>
      <c r="G183" s="4225"/>
      <c r="H183" s="4225"/>
      <c r="I183" s="4225"/>
      <c r="J183" s="4225"/>
      <c r="K183" s="4225"/>
      <c r="L183" s="4225"/>
      <c r="M183" s="4225"/>
      <c r="N183" s="2753" t="s">
        <v>1379</v>
      </c>
      <c r="O183" s="4285">
        <v>17</v>
      </c>
      <c r="P183" s="5717" t="str">
        <f>IF(OR(P$156="",NOT($B$61)),"",IF(SUM(P180,-P182)&lt;=0,0,SUM(P180,-P182)))</f>
        <v/>
      </c>
      <c r="Q183" s="5719"/>
      <c r="R183" s="5717" t="str">
        <f>IF(OR(R$156="",NOT($B$61)),"",IF(SUM(R180,-R182)&lt;=0,0,SUM(R180,-R182)))</f>
        <v/>
      </c>
      <c r="S183" s="5719"/>
      <c r="T183" s="5717" t="str">
        <f>IF(OR(T$156="",NOT($B$61)),"",IF(SUM(T180,-T182)&lt;=0,0,SUM(T180,-T182)))</f>
        <v/>
      </c>
      <c r="U183" s="5719"/>
      <c r="V183" s="5717" t="str">
        <f>IF(OR(P$156="",NOT($B$61)),"",IF(SUM(V180,-V182)&lt;=0,0,SUM(V180,-V182)))</f>
        <v/>
      </c>
      <c r="W183" s="5718"/>
      <c r="X183" s="112"/>
      <c r="Y183" s="2400"/>
      <c r="Z183" s="820" t="str">
        <f>IF($U$184&gt;$U$174,"Line 15 cannot","")</f>
        <v/>
      </c>
      <c r="AA183" s="614"/>
      <c r="AB183" s="4423"/>
      <c r="AC183" s="4399" t="s">
        <v>198</v>
      </c>
      <c r="AD183" s="4399"/>
      <c r="AE183" s="4400">
        <v>285350</v>
      </c>
      <c r="AF183" s="2878" t="s">
        <v>3661</v>
      </c>
      <c r="AG183" s="2878"/>
      <c r="AH183" s="2878"/>
      <c r="AI183" s="4311"/>
      <c r="AJ183" s="4311"/>
      <c r="AK183" s="4311"/>
      <c r="AL183" s="4311"/>
      <c r="AM183" s="4311"/>
      <c r="AN183" s="4311"/>
      <c r="AO183" s="4311"/>
      <c r="AP183" s="4311"/>
      <c r="AQ183" s="4311"/>
      <c r="AR183" s="4424"/>
      <c r="AS183" s="624"/>
      <c r="AX183" s="775" t="str">
        <f>IF(AX182="","",IF(AX181&gt;=3000,50*AX182,IF(AX181&gt;=25,25*AX182,IF(AX181&gt;=5,(10*AX182)-5,AX181))))</f>
        <v/>
      </c>
      <c r="AY183" s="876" t="e">
        <f>LOOKUP(AX183,'Tax Table'!$A$2:$A$2063,'Tax Table'!$C$2:$C$2063)</f>
        <v>#N/A</v>
      </c>
      <c r="AZ183" s="876" t="e">
        <f>LOOKUP(AX183,'Tax Table'!$A$2:$A$2063,'Tax Table'!$D$2:$D$2063)</f>
        <v>#N/A</v>
      </c>
      <c r="BA183" s="876" t="e">
        <f>LOOKUP(AX183,'Tax Table'!$A$2:$A$2063,'Tax Table'!$E$2:$E$2063)</f>
        <v>#N/A</v>
      </c>
      <c r="BB183" s="876" t="e">
        <f>LOOKUP(AX183,'Tax Table'!$A$2:$A$2063,'Tax Table'!$F$2:$F$2063)</f>
        <v>#N/A</v>
      </c>
      <c r="BC183" s="876" t="e">
        <f>IF(AX180&lt;SectA_a3,"---",IF(AX180&lt;=SectA_a4,ROUND((AX180*(SectA_b4/100)-SectA_d4),0),IF(AX180&lt;=SectA_a5,ROUND((AX180*(SectA_b5/100)-SectA_d5),0),IF(AX180&lt;=SectA_a6,ROUND((AX180*(SectA_b6/100)-SectA_d6),0),ROUND((AX180*(SectA_b7/100)-SectA_d7),0)))))</f>
        <v>#VALUE!</v>
      </c>
      <c r="BD183" s="876" t="e">
        <f>IF(AX180&lt;SectB_a2,"---",IF(AX180&lt;=SectB_a3,ROUND((AX180*(SectB_b3/100)-SectB_d3),0),IF(AX180&lt;=SectB_a4,ROUND((AX180*(SectB_b4/100)-SectB_d4),0),IF(AX180&lt;=SectB_a5,ROUND((AX180*(SectB_b5/100)-SectB_d5),0),IF(AX180&lt;=SectB_a6,ROUND((AX180*(SectB_b6/100)-SectB_d6),0),ROUND((AX180*(SectB_b7/100)-SectB_d7),0))))))</f>
        <v>#VALUE!</v>
      </c>
      <c r="BE183" s="876" t="e">
        <f>IF(AX180&lt;SectC_a2,"---",IF(AX180&lt;=SectC_a3,ROUND((AX180*(SectC_b3/100)-SectC_d3),0),IF(AX180&lt;=SectC_a4,ROUND((AX180*(SectC_b4/100)-SectC_d4),0),IF(AX180&lt;=SectC_a5,ROUND((AX180*(SectC_b5/100)-SectC_d5),0),ROUND((AX180*(SectC_b6/100)-SectC_d6),0)))))</f>
        <v>#VALUE!</v>
      </c>
      <c r="BF183" s="877" t="e">
        <f>IF(AX180&lt;SectD_a2,"---",IF(AX180&lt;=SectD_a3,ROUND((AX180*(SectD_b3/100)-SectD_d3),0),IF(AX180&lt;=SectD_a4,ROUND((AX180*(SectD_b4/100)-SectD_d4),0),IF(AX180&lt;=SectD_a5,ROUND((AX180*(SectD_b5/100)-SectD_d5),0),IF(AX180&lt;=SectD_a6,ROUND((AX180*(SectD_b6/100)-SectD_d6),0),ROUND((AX180*(SectD_b7/100)-SectD_d7),0))))))</f>
        <v>#VALUE!</v>
      </c>
    </row>
    <row r="184" spans="1:58" ht="12.75" customHeight="1">
      <c r="A184" s="857"/>
      <c r="B184" s="4225"/>
      <c r="C184" s="452">
        <v>18</v>
      </c>
      <c r="D184" s="4229" t="s">
        <v>3575</v>
      </c>
      <c r="E184" s="4225"/>
      <c r="F184" s="4225"/>
      <c r="G184" s="4225"/>
      <c r="H184" s="4225"/>
      <c r="I184" s="4225"/>
      <c r="J184" s="4225"/>
      <c r="K184" s="4225"/>
      <c r="L184" s="4225"/>
      <c r="M184" s="4225"/>
      <c r="N184" s="2753" t="s">
        <v>442</v>
      </c>
      <c r="O184" s="4285">
        <v>18</v>
      </c>
      <c r="P184" s="5795">
        <v>0.22500000000000001</v>
      </c>
      <c r="Q184" s="5796"/>
      <c r="R184" s="5872">
        <v>0.45</v>
      </c>
      <c r="S184" s="5873"/>
      <c r="T184" s="5795">
        <v>0.67500000000000004</v>
      </c>
      <c r="U184" s="5796"/>
      <c r="V184" s="5937">
        <v>0.9</v>
      </c>
      <c r="W184" s="5938"/>
      <c r="X184" s="112"/>
      <c r="Y184" s="2400"/>
      <c r="Z184" s="820" t="str">
        <f>IF($U$184&gt;$U$174,"Line 15 cannot","")</f>
        <v/>
      </c>
      <c r="AA184" s="614"/>
      <c r="AB184" s="2873"/>
      <c r="AC184" s="4399" t="s">
        <v>198</v>
      </c>
      <c r="AD184" s="4399"/>
      <c r="AE184" s="4400">
        <v>259400</v>
      </c>
      <c r="AF184" s="2878" t="s">
        <v>3662</v>
      </c>
      <c r="AG184" s="2878"/>
      <c r="AH184" s="2878"/>
      <c r="AI184" s="3032"/>
      <c r="AJ184" s="3032"/>
      <c r="AK184" s="3032"/>
      <c r="AL184" s="3032"/>
      <c r="AM184" s="3032"/>
      <c r="AN184" s="3032"/>
      <c r="AO184" s="3032"/>
      <c r="AP184" s="3032"/>
      <c r="AQ184" s="3032"/>
      <c r="AR184" s="3033"/>
      <c r="AS184" s="624"/>
      <c r="AX184" s="658" t="str">
        <f>IF(File_Single&lt;&gt;"",AY183,IF(File_Marr_Joint&lt;&gt;"",AZ183,IF(File_Marr_Sep&lt;&gt;"", BA183,IF(File_Head&lt;&gt;"",BB183,IF(File_Qual_Widow&lt;&gt;"",AZ183,"Filing status?")))))</f>
        <v>Filing status?</v>
      </c>
      <c r="AY184" s="656" t="str">
        <f>"&lt;100k"</f>
        <v>&lt;100k</v>
      </c>
      <c r="AZ184" s="1190"/>
      <c r="BA184" s="1190"/>
      <c r="BB184" s="1190"/>
      <c r="BC184" s="1190"/>
      <c r="BD184" s="1190"/>
      <c r="BE184" s="656"/>
      <c r="BF184" s="659"/>
    </row>
    <row r="185" spans="1:58" ht="12.75" customHeight="1" thickBot="1">
      <c r="A185" s="857"/>
      <c r="B185" s="4225"/>
      <c r="C185" s="452">
        <v>19</v>
      </c>
      <c r="D185" s="4229" t="s">
        <v>3576</v>
      </c>
      <c r="E185" s="4225"/>
      <c r="F185" s="4225"/>
      <c r="G185" s="4225"/>
      <c r="H185" s="4225"/>
      <c r="I185" s="4225"/>
      <c r="J185" s="4225"/>
      <c r="K185" s="4225"/>
      <c r="L185" s="4225"/>
      <c r="M185" s="4225"/>
      <c r="N185" s="2753" t="s">
        <v>999</v>
      </c>
      <c r="O185" s="4285">
        <v>19</v>
      </c>
      <c r="P185" s="5717" t="str">
        <f>IF(NOT($B$61),"",IF(OR(P156="",P161=""),"",P183*P184))</f>
        <v/>
      </c>
      <c r="Q185" s="5719"/>
      <c r="R185" s="5717" t="str">
        <f t="shared" ref="R185" si="18">IF(NOT($B$61),"",IF(OR(R156="",R161=""),"",R183*R184))</f>
        <v/>
      </c>
      <c r="S185" s="5719"/>
      <c r="T185" s="5717" t="str">
        <f t="shared" ref="T185" si="19">IF(NOT($B$61),"",IF(OR(T156="",T161=""),"",T183*T184))</f>
        <v/>
      </c>
      <c r="U185" s="5719"/>
      <c r="V185" s="5717" t="str">
        <f t="shared" ref="V185" si="20">IF(NOT($B$61),"",IF(OR(V156="",V161=""),"",V183*V184))</f>
        <v/>
      </c>
      <c r="W185" s="5718"/>
      <c r="X185" s="112"/>
      <c r="Y185" s="2400"/>
      <c r="Z185" s="820" t="str">
        <f>IF($U$184&gt;$U$174,"Line 15 cannot","")</f>
        <v/>
      </c>
      <c r="AA185" s="614"/>
      <c r="AB185" s="2873"/>
      <c r="AC185" s="4399" t="s">
        <v>198</v>
      </c>
      <c r="AD185" s="4399"/>
      <c r="AE185" s="4400">
        <v>155650</v>
      </c>
      <c r="AF185" s="2878" t="s">
        <v>3688</v>
      </c>
      <c r="AG185" s="2878"/>
      <c r="AH185" s="2878"/>
      <c r="AI185" s="2879" t="s">
        <v>339</v>
      </c>
      <c r="AJ185" s="4410" t="str">
        <f>IF(AJ$169,"",IF(OR(File_Marr_Joint&lt;&gt;"",File_Qual_Widow&lt;&gt;""),$AE$181,IF(File_Head&lt;&gt;"",$AE$183,IF(File_Single&lt;&gt;"",$AE$184,IF(File_Marr_Sep&lt;&gt;"",$AE$185,"")))))</f>
        <v/>
      </c>
      <c r="AK185" s="3032"/>
      <c r="AL185" s="4410" t="str">
        <f>IF(AL$169,"",IF(OR(File_Marr_Joint&lt;&gt;"",File_Qual_Widow&lt;&gt;""),$AE$181,IF(File_Head&lt;&gt;"",$AE$183,IF(File_Single&lt;&gt;"",$AE$184,IF(File_Marr_Sep&lt;&gt;"",$AE$185,"")))))</f>
        <v/>
      </c>
      <c r="AM185" s="3032"/>
      <c r="AN185" s="4410" t="str">
        <f>IF(AN$169,"",IF(OR(File_Marr_Joint&lt;&gt;"",File_Qual_Widow&lt;&gt;""),$AE$181,IF(File_Head&lt;&gt;"",$AE$183,IF(File_Single&lt;&gt;"",$AE$184,IF(File_Marr_Sep&lt;&gt;"",$AE$185,"")))))</f>
        <v/>
      </c>
      <c r="AO185" s="3032"/>
      <c r="AP185" s="4410" t="str">
        <f>IF(AP$169,"",IF(OR(File_Marr_Joint&lt;&gt;"",File_Qual_Widow&lt;&gt;""),$AE$181,IF(File_Head&lt;&gt;"",$AE$183,IF(File_Single&lt;&gt;"",$AE$184,IF(File_Marr_Sep&lt;&gt;"",$AE$185,"")))))</f>
        <v/>
      </c>
      <c r="AQ185" s="3032"/>
      <c r="AR185" s="3033"/>
      <c r="AS185" s="624"/>
      <c r="AX185" s="657" t="str">
        <f>IF(File_Single&lt;&gt;"",BC183,IF(OR(File_Marr_Joint&lt;&gt;"",File_Qual_Widow&lt;&gt;""),BD183,IF(File_Marr_Sep&lt;&gt;"", BE183,IF(File_Head&lt;&gt;"",BF183,"Filing status?"))))</f>
        <v>Filing status?</v>
      </c>
      <c r="AY185" s="776" t="str">
        <f>"&gt;=100k"</f>
        <v>&gt;=100k</v>
      </c>
      <c r="AZ185" s="776"/>
      <c r="BA185" s="776"/>
      <c r="BB185" s="776"/>
      <c r="BC185" s="776"/>
      <c r="BD185" s="776"/>
      <c r="BE185" s="776"/>
      <c r="BF185" s="777"/>
    </row>
    <row r="186" spans="1:58" ht="13.5" customHeight="1">
      <c r="A186" s="857"/>
      <c r="B186" s="4228"/>
      <c r="C186" s="4228"/>
      <c r="D186" s="4296" t="s">
        <v>3577</v>
      </c>
      <c r="E186" s="4228"/>
      <c r="F186" s="4228"/>
      <c r="G186" s="4228"/>
      <c r="H186" s="4228"/>
      <c r="I186" s="4228"/>
      <c r="J186" s="4228"/>
      <c r="K186" s="4228"/>
      <c r="L186" s="4225"/>
      <c r="M186" s="4225"/>
      <c r="N186" s="4225"/>
      <c r="O186" s="4237"/>
      <c r="P186" s="1493"/>
      <c r="Q186" s="4287"/>
      <c r="R186" s="4227"/>
      <c r="S186" s="4276"/>
      <c r="T186" s="4275"/>
      <c r="U186" s="4276"/>
      <c r="V186" s="4274"/>
      <c r="W186" s="4275"/>
      <c r="X186" s="112"/>
      <c r="Y186" s="2400"/>
      <c r="Z186" s="820" t="str">
        <f t="shared" ref="Z186:Z198" si="21">IF($U$184&gt;$U$174,"Line 15 cannot","")</f>
        <v/>
      </c>
      <c r="AA186" s="614"/>
      <c r="AB186" s="2873"/>
      <c r="AC186" s="3032"/>
      <c r="AD186" s="3032"/>
      <c r="AE186" s="3032"/>
      <c r="AF186" s="3032"/>
      <c r="AG186" s="3032"/>
      <c r="AH186" s="3032"/>
      <c r="AI186" s="3032"/>
      <c r="AJ186" s="3032"/>
      <c r="AK186" s="3032"/>
      <c r="AL186" s="3032"/>
      <c r="AM186" s="3032"/>
      <c r="AN186" s="3032"/>
      <c r="AO186" s="3032"/>
      <c r="AP186" s="3032"/>
      <c r="AQ186" s="3032"/>
      <c r="AR186" s="3033"/>
      <c r="AS186" s="624"/>
      <c r="AX186" s="4171"/>
      <c r="AY186" s="4172"/>
    </row>
    <row r="187" spans="1:58" ht="13.5" customHeight="1" thickBot="1">
      <c r="A187" s="857"/>
      <c r="B187" s="4228"/>
      <c r="C187" s="452"/>
      <c r="D187" s="4297" t="s">
        <v>3578</v>
      </c>
      <c r="E187" s="4228"/>
      <c r="F187" s="4228"/>
      <c r="G187" s="4228"/>
      <c r="H187" s="4228"/>
      <c r="I187" s="4228"/>
      <c r="J187" s="4228"/>
      <c r="K187" s="4228"/>
      <c r="L187" s="4225"/>
      <c r="M187" s="4225"/>
      <c r="N187" s="4225"/>
      <c r="O187" s="4286"/>
      <c r="P187" s="1493"/>
      <c r="Q187" s="4287"/>
      <c r="R187" s="4227"/>
      <c r="S187" s="4276"/>
      <c r="T187" s="4275"/>
      <c r="U187" s="4276"/>
      <c r="V187" s="4274"/>
      <c r="W187" s="4275"/>
      <c r="X187" s="112"/>
      <c r="Y187" s="2400"/>
      <c r="Z187" s="820" t="str">
        <f t="shared" si="21"/>
        <v/>
      </c>
      <c r="AA187" s="614"/>
      <c r="AB187" s="2873"/>
      <c r="AC187" s="3032"/>
      <c r="AD187" s="3032"/>
      <c r="AE187" s="3032"/>
      <c r="AF187" s="3032"/>
      <c r="AG187" s="3032"/>
      <c r="AH187" s="3032"/>
      <c r="AI187" s="3032"/>
      <c r="AJ187" s="3032"/>
      <c r="AK187" s="3032"/>
      <c r="AL187" s="3032"/>
      <c r="AM187" s="3032"/>
      <c r="AN187" s="3032"/>
      <c r="AO187" s="3032"/>
      <c r="AP187" s="3032"/>
      <c r="AQ187" s="3032"/>
      <c r="AR187" s="3033"/>
      <c r="AS187" s="624"/>
      <c r="AX187" s="338" t="s">
        <v>3656</v>
      </c>
      <c r="AY187" s="64"/>
      <c r="AZ187" s="64"/>
      <c r="BA187" s="64"/>
      <c r="BB187" s="64"/>
      <c r="BC187" s="64"/>
      <c r="BD187" s="64"/>
      <c r="BE187" s="64"/>
      <c r="BF187" s="64"/>
    </row>
    <row r="188" spans="1:58" ht="13.5" customHeight="1">
      <c r="A188" s="857"/>
      <c r="B188" s="4228"/>
      <c r="C188" s="452">
        <v>20</v>
      </c>
      <c r="D188" s="643" t="s">
        <v>3579</v>
      </c>
      <c r="E188" s="4228"/>
      <c r="F188" s="4228"/>
      <c r="G188" s="4228"/>
      <c r="H188" s="4228"/>
      <c r="I188" s="4228"/>
      <c r="J188" s="4228"/>
      <c r="K188" s="4228"/>
      <c r="L188" s="4225"/>
      <c r="M188" s="4225"/>
      <c r="N188" s="2753" t="s">
        <v>1142</v>
      </c>
      <c r="O188" s="4285">
        <v>20</v>
      </c>
      <c r="P188" s="4288"/>
      <c r="Q188" s="4289"/>
      <c r="R188" s="5717" t="str">
        <f>IF(OR(R$156="",NOT($B$61)),"",P195)</f>
        <v/>
      </c>
      <c r="S188" s="5719"/>
      <c r="T188" s="5717" t="str">
        <f>IF(OR(T$156="",NOT($B$61)),"",SUM(P195,R195))</f>
        <v/>
      </c>
      <c r="U188" s="5719"/>
      <c r="V188" s="5849" t="str">
        <f>IF(OR(V$156="",NOT($B$61)),"",SUM(P195,R195,T195))</f>
        <v/>
      </c>
      <c r="W188" s="5936"/>
      <c r="X188" s="112"/>
      <c r="Y188" s="2400"/>
      <c r="Z188" s="820" t="str">
        <f t="shared" si="21"/>
        <v/>
      </c>
      <c r="AA188" s="614"/>
      <c r="AB188" s="4398" t="s">
        <v>477</v>
      </c>
      <c r="AC188" s="2878" t="s">
        <v>3687</v>
      </c>
      <c r="AD188" s="2878"/>
      <c r="AE188" s="3032"/>
      <c r="AF188" s="3032"/>
      <c r="AG188" s="3032"/>
      <c r="AH188" s="3032"/>
      <c r="AI188" s="2879" t="s">
        <v>477</v>
      </c>
      <c r="AJ188" s="4410" t="str">
        <f>IF(AJ$169,"",SUM(AJ177,-AJ185))</f>
        <v/>
      </c>
      <c r="AK188" s="3032"/>
      <c r="AL188" s="4410" t="str">
        <f>IF(AL$169,"",SUM(AL177,-AL185))</f>
        <v/>
      </c>
      <c r="AM188" s="3032"/>
      <c r="AN188" s="4410" t="str">
        <f>IF(AN$169,"",SUM(AN177,-AN185))</f>
        <v/>
      </c>
      <c r="AO188" s="3032"/>
      <c r="AP188" s="4410" t="str">
        <f>IF(AP$169,"",SUM(AP177,-AP185))</f>
        <v/>
      </c>
      <c r="AQ188" s="3032"/>
      <c r="AR188" s="3033"/>
      <c r="AS188" s="624"/>
      <c r="AX188" s="4396" t="str">
        <f>V174</f>
        <v/>
      </c>
      <c r="AY188" s="771"/>
      <c r="AZ188" s="771"/>
      <c r="BA188" s="771"/>
      <c r="BB188" s="771"/>
      <c r="BC188" s="771"/>
      <c r="BD188" s="771"/>
      <c r="BE188" s="771"/>
      <c r="BF188" s="772"/>
    </row>
    <row r="189" spans="1:58" ht="12.75" customHeight="1">
      <c r="A189" s="857"/>
      <c r="B189" s="4225"/>
      <c r="C189" s="452">
        <v>21</v>
      </c>
      <c r="D189" s="4229" t="s">
        <v>3580</v>
      </c>
      <c r="E189" s="4225"/>
      <c r="F189" s="4225"/>
      <c r="G189" s="4225"/>
      <c r="H189" s="4225"/>
      <c r="I189" s="4225"/>
      <c r="J189" s="4225"/>
      <c r="K189" s="4225"/>
      <c r="L189" s="4225"/>
      <c r="M189" s="4225"/>
      <c r="N189" s="2753" t="s">
        <v>1379</v>
      </c>
      <c r="O189" s="4285">
        <v>21</v>
      </c>
      <c r="P189" s="5717" t="str">
        <f>IF(NOT($B$61),"",IF(OR(P156="",P161=""),"",SUM(P185)))</f>
        <v/>
      </c>
      <c r="Q189" s="5719"/>
      <c r="R189" s="5717" t="str">
        <f>IF(NOT($B$61),"",IF(OR(R156="",R161=""),"",SUM(R185)))</f>
        <v/>
      </c>
      <c r="S189" s="5719"/>
      <c r="T189" s="5717" t="str">
        <f>IF(NOT($B$61),"",IF(OR(T156="",T161=""),"",SUM(T185)))</f>
        <v/>
      </c>
      <c r="U189" s="5719"/>
      <c r="V189" s="5772" t="str">
        <f>IF(NOT($B$61),"",IF(OR(V156="",V161=""),"",SUM(V185)))</f>
        <v/>
      </c>
      <c r="W189" s="5773"/>
      <c r="X189" s="112"/>
      <c r="Y189" s="2400"/>
      <c r="Z189" s="820" t="str">
        <f t="shared" si="21"/>
        <v/>
      </c>
      <c r="AA189" s="614"/>
      <c r="AB189" s="2873"/>
      <c r="AC189" s="3032"/>
      <c r="AD189" s="3032"/>
      <c r="AE189" s="3032"/>
      <c r="AF189" s="3032"/>
      <c r="AG189" s="3032"/>
      <c r="AH189" s="3032"/>
      <c r="AI189" s="3032"/>
      <c r="AJ189" s="3032"/>
      <c r="AK189" s="3032"/>
      <c r="AL189" s="3032"/>
      <c r="AM189" s="3032"/>
      <c r="AN189" s="3032"/>
      <c r="AO189" s="3032"/>
      <c r="AP189" s="3032"/>
      <c r="AQ189" s="3032"/>
      <c r="AR189" s="3033"/>
      <c r="AS189" s="624"/>
      <c r="AX189" s="773" t="str">
        <f>IF(AX188&lt;&gt;"",ROUND(AX188,0),"")</f>
        <v/>
      </c>
      <c r="AY189" s="774" t="s">
        <v>124</v>
      </c>
      <c r="AZ189" s="1491" t="s">
        <v>894</v>
      </c>
      <c r="BA189" s="656" t="s">
        <v>739</v>
      </c>
      <c r="BB189" s="656" t="s">
        <v>740</v>
      </c>
      <c r="BC189" s="656" t="s">
        <v>124</v>
      </c>
      <c r="BD189" s="1491" t="s">
        <v>894</v>
      </c>
      <c r="BE189" s="656" t="s">
        <v>739</v>
      </c>
      <c r="BF189" s="659" t="s">
        <v>740</v>
      </c>
    </row>
    <row r="190" spans="1:58" ht="12.75" customHeight="1">
      <c r="A190" s="857"/>
      <c r="B190" s="4225"/>
      <c r="C190" s="452">
        <v>22</v>
      </c>
      <c r="D190" s="4226" t="str">
        <f>"Enter "&amp;TEXT(N191,"0%")&amp;" ("&amp;TEXT(N191,"0.00")&amp;") of line 9 on page 1 of Form 2210 in each column"</f>
        <v>Enter 25% (0.25) of line 9 on page 1 of Form 2210 in each column</v>
      </c>
      <c r="E190" s="4225"/>
      <c r="F190" s="4225"/>
      <c r="G190" s="4225"/>
      <c r="H190" s="4225"/>
      <c r="I190" s="4225"/>
      <c r="J190" s="4225"/>
      <c r="K190" s="4225"/>
      <c r="L190" s="4225"/>
      <c r="M190" s="4225"/>
      <c r="N190" s="2753"/>
      <c r="O190" s="4285">
        <v>22</v>
      </c>
      <c r="P190" s="5717" t="str">
        <f>IF(NOT($B$61),"",IF(OR(P156="",P161=""),"",$U$46*$N$191))</f>
        <v/>
      </c>
      <c r="Q190" s="5719"/>
      <c r="R190" s="5717" t="str">
        <f t="shared" ref="R190" si="22">IF(NOT($B$61),"",IF(OR(R156="",R161=""),"",$U$46*$N$191))</f>
        <v/>
      </c>
      <c r="S190" s="5719"/>
      <c r="T190" s="5717" t="str">
        <f t="shared" ref="T190" si="23">IF(NOT($B$61),"",IF(OR(T156="",T161=""),"",$U$46*$N$191))</f>
        <v/>
      </c>
      <c r="U190" s="5719"/>
      <c r="V190" s="5717" t="str">
        <f t="shared" ref="V190" si="24">IF(NOT($B$61),"",IF(OR(V156="",V161=""),"",$U$46*$N$191))</f>
        <v/>
      </c>
      <c r="W190" s="5718"/>
      <c r="X190" s="112"/>
      <c r="Y190" s="2400"/>
      <c r="Z190" s="820" t="str">
        <f t="shared" si="21"/>
        <v/>
      </c>
      <c r="AA190" s="614"/>
      <c r="AB190" s="2873"/>
      <c r="AC190" s="2878" t="s">
        <v>3692</v>
      </c>
      <c r="AD190" s="2878"/>
      <c r="AE190" s="3032"/>
      <c r="AF190" s="3032"/>
      <c r="AG190" s="3032"/>
      <c r="AH190" s="3032"/>
      <c r="AI190" s="3032"/>
      <c r="AJ190" s="4393" t="b">
        <f>IF(OR(AJ188="",AJ188&lt;=0),TRUE,FALSE)</f>
        <v>1</v>
      </c>
      <c r="AK190" s="4393"/>
      <c r="AL190" s="4393" t="b">
        <f>IF(OR(AL188="",AL188&lt;=0),TRUE,FALSE)</f>
        <v>1</v>
      </c>
      <c r="AM190" s="4393"/>
      <c r="AN190" s="4393" t="b">
        <f>IF(OR(AN188="",AN188&lt;=0),TRUE,FALSE)</f>
        <v>1</v>
      </c>
      <c r="AO190" s="4393"/>
      <c r="AP190" s="4393" t="b">
        <f>IF(OR(AP188="",AP188&lt;=0),TRUE,FALSE)</f>
        <v>1</v>
      </c>
      <c r="AQ190" s="3032"/>
      <c r="AR190" s="3033"/>
      <c r="AS190" s="624"/>
      <c r="AX190" s="773" t="str">
        <f>IF(AX188="","",IF(AX188&gt;=3000,INT(AX189/50),IF(AX188&gt;=25,INT(AX189/25),IF(AX188&gt;=5,INT((AX189+5)/10),0))))</f>
        <v/>
      </c>
      <c r="AY190" s="876" t="e">
        <f>LOOKUP(AX191,'Tax Table'!$A$2:$A$2063,'Tax Table'!$C$2:$C$2063)</f>
        <v>#N/A</v>
      </c>
      <c r="AZ190" s="876" t="e">
        <f>LOOKUP(AX191,'Tax Table'!$A$2:$A$2063,'Tax Table'!$D$2:$D$2063)</f>
        <v>#N/A</v>
      </c>
      <c r="BA190" s="876" t="e">
        <f>LOOKUP(AX191,'Tax Table'!$A$2:$A$2063,'Tax Table'!$E$2:$E$2063)</f>
        <v>#N/A</v>
      </c>
      <c r="BB190" s="876" t="e">
        <f>LOOKUP(AX191,'Tax Table'!$A$2:$A$2063,'Tax Table'!$F$2:$F$2063)</f>
        <v>#N/A</v>
      </c>
      <c r="BC190" s="876" t="str">
        <f>"---"</f>
        <v>---</v>
      </c>
      <c r="BD190" s="876" t="str">
        <f>"---"</f>
        <v>---</v>
      </c>
      <c r="BE190" s="876" t="str">
        <f>"---"</f>
        <v>---</v>
      </c>
      <c r="BF190" s="877" t="str">
        <f>"---"</f>
        <v>---</v>
      </c>
    </row>
    <row r="191" spans="1:58" ht="13.5" customHeight="1">
      <c r="A191" s="945"/>
      <c r="B191" s="4228"/>
      <c r="C191" s="452">
        <v>23</v>
      </c>
      <c r="D191" s="2808" t="s">
        <v>3581</v>
      </c>
      <c r="E191" s="4228"/>
      <c r="F191" s="4228"/>
      <c r="G191" s="4228"/>
      <c r="H191" s="4228"/>
      <c r="I191" s="4228"/>
      <c r="J191" s="4228"/>
      <c r="K191" s="4228"/>
      <c r="L191" s="4225"/>
      <c r="M191" s="4225"/>
      <c r="N191" s="4434">
        <v>0.25</v>
      </c>
      <c r="O191" s="4284"/>
      <c r="P191" s="4294"/>
      <c r="Q191" s="4295"/>
      <c r="R191" s="4227"/>
      <c r="S191" s="4276"/>
      <c r="T191" s="4275"/>
      <c r="U191" s="4276"/>
      <c r="V191" s="4391"/>
      <c r="W191" s="4395"/>
      <c r="X191" s="112"/>
      <c r="Y191" s="2400"/>
      <c r="Z191" s="820" t="str">
        <f t="shared" si="21"/>
        <v/>
      </c>
      <c r="AA191" s="614"/>
      <c r="AB191" s="2873"/>
      <c r="AC191" s="3032" t="s">
        <v>3693</v>
      </c>
      <c r="AD191" s="3032"/>
      <c r="AE191" s="3032"/>
      <c r="AF191" s="3032"/>
      <c r="AG191" s="3032"/>
      <c r="AH191" s="3032"/>
      <c r="AI191" s="3032"/>
      <c r="AJ191" s="4425" t="str">
        <f>IF(AJ169,"",IF(AJ190,"STOP",""))</f>
        <v/>
      </c>
      <c r="AK191" s="3032"/>
      <c r="AL191" s="4425" t="str">
        <f>IF(AL169,"",IF(AL190,"STOP",""))</f>
        <v/>
      </c>
      <c r="AM191" s="3032"/>
      <c r="AN191" s="4425" t="str">
        <f>IF(AN169,"",IF(AN190,"STOP",""))</f>
        <v/>
      </c>
      <c r="AO191" s="3032"/>
      <c r="AP191" s="4425" t="str">
        <f>IF(AP169,"",IF(AP190,"STOP",""))</f>
        <v/>
      </c>
      <c r="AQ191" s="3032"/>
      <c r="AR191" s="3033"/>
      <c r="AS191" s="624"/>
      <c r="AX191" s="775" t="str">
        <f>IF(AX190="","",IF(AX189&gt;=3000,50*AX190,IF(AX189&gt;=25,25*AX190,IF(AX189&gt;=5,(10*AX190)-5,AX189))))</f>
        <v/>
      </c>
      <c r="AY191" s="876" t="e">
        <f>LOOKUP(AX191,'Tax Table'!$A$2:$A$2063,'Tax Table'!$C$2:$C$2063)</f>
        <v>#N/A</v>
      </c>
      <c r="AZ191" s="876" t="e">
        <f>LOOKUP(AX191,'Tax Table'!$A$2:$A$2063,'Tax Table'!$D$2:$D$2063)</f>
        <v>#N/A</v>
      </c>
      <c r="BA191" s="876" t="e">
        <f>LOOKUP(AX191,'Tax Table'!$A$2:$A$2063,'Tax Table'!$E$2:$E$2063)</f>
        <v>#N/A</v>
      </c>
      <c r="BB191" s="876" t="e">
        <f>LOOKUP(AX191,'Tax Table'!$A$2:$A$2063,'Tax Table'!$F$2:$F$2063)</f>
        <v>#N/A</v>
      </c>
      <c r="BC191" s="876" t="e">
        <f>IF(AX188&lt;SectA_a3,"---",IF(AX188&lt;=SectA_a4,ROUND((AX188*(SectA_b4/100)-SectA_d4),0),IF(AX188&lt;=SectA_a5,ROUND((AX188*(SectA_b5/100)-SectA_d5),0),IF(AX188&lt;=SectA_a6,ROUND((AX188*(SectA_b6/100)-SectA_d6),0),ROUND((AX188*(SectA_b7/100)-SectA_d7),0)))))</f>
        <v>#VALUE!</v>
      </c>
      <c r="BD191" s="876" t="e">
        <f>IF(AX188&lt;SectB_a2,"---",IF(AX188&lt;=SectB_a3,ROUND((AX188*(SectB_b3/100)-SectB_d3),0),IF(AX188&lt;=SectB_a4,ROUND((AX188*(SectB_b4/100)-SectB_d4),0),IF(AX188&lt;=SectB_a5,ROUND((AX188*(SectB_b5/100)-SectB_d5),0),IF(AX188&lt;=SectB_a6,ROUND((AX188*(SectB_b6/100)-SectB_d6),0),ROUND((AX188*(SectB_b7/100)-SectB_d7),0))))))</f>
        <v>#VALUE!</v>
      </c>
      <c r="BE191" s="876" t="e">
        <f>IF(AX188&lt;SectC_a2,"---",IF(AX188&lt;=SectC_a3,ROUND((AX188*(SectC_b3/100)-SectC_d3),0),IF(AX188&lt;=SectC_a4,ROUND((AX188*(SectC_b4/100)-SectC_d4),0),IF(AX188&lt;=SectC_a5,ROUND((AX188*(SectC_b5/100)-SectC_d5),0),ROUND((AX188*(SectC_b6/100)-SectC_d6),0)))))</f>
        <v>#VALUE!</v>
      </c>
      <c r="BF191" s="877" t="e">
        <f>IF(AX188&lt;SectD_a2,"---",IF(AX188&lt;=SectD_a3,ROUND((AX188*(SectD_b3/100)-SectD_d3),0),IF(AX188&lt;=SectD_a4,ROUND((AX188*(SectD_b4/100)-SectD_d4),0),IF(AX188&lt;=SectD_a5,ROUND((AX188*(SectD_b5/100)-SectD_d5),0),IF(AX188&lt;=SectD_a6,ROUND((AX188*(SectD_b6/100)-SectD_d6),0),ROUND((AX188*(SectD_b7/100)-SectD_d7),0))))))</f>
        <v>#VALUE!</v>
      </c>
    </row>
    <row r="192" spans="1:58" ht="13.5" customHeight="1">
      <c r="A192" s="857"/>
      <c r="B192" s="4228"/>
      <c r="C192" s="452"/>
      <c r="D192" s="2808" t="s">
        <v>3582</v>
      </c>
      <c r="E192" s="4228"/>
      <c r="F192" s="4228"/>
      <c r="G192" s="4228"/>
      <c r="H192" s="4228"/>
      <c r="I192" s="4228"/>
      <c r="J192" s="4228"/>
      <c r="K192" s="4228"/>
      <c r="L192" s="4225"/>
      <c r="M192" s="4225"/>
      <c r="N192" s="2753" t="s">
        <v>1659</v>
      </c>
      <c r="O192" s="4285">
        <v>23</v>
      </c>
      <c r="P192" s="4288"/>
      <c r="Q192" s="4289"/>
      <c r="R192" s="5717" t="str">
        <f>IF(NOT($B$61),"",IF(OR(R156="",R161=""),"",SUM(P193,-P195)))</f>
        <v/>
      </c>
      <c r="S192" s="5719"/>
      <c r="T192" s="5717" t="str">
        <f>IF(NOT($B$61),"",IF(OR(T156="",T161=""),"",SUM(R193,-R195)))</f>
        <v/>
      </c>
      <c r="U192" s="5719"/>
      <c r="V192" s="5717" t="str">
        <f>IF(NOT($B$61),"",IF(OR(V156="",V161=""),"",SUM(T193,-T195)))</f>
        <v/>
      </c>
      <c r="W192" s="5718"/>
      <c r="X192" s="112"/>
      <c r="Y192" s="2400"/>
      <c r="Z192" s="820" t="str">
        <f t="shared" si="21"/>
        <v/>
      </c>
      <c r="AA192" s="614"/>
      <c r="AB192" s="2873"/>
      <c r="AC192" s="2878" t="s">
        <v>3694</v>
      </c>
      <c r="AD192" s="2878"/>
      <c r="AE192" s="3032"/>
      <c r="AF192" s="3032"/>
      <c r="AG192" s="3032"/>
      <c r="AH192" s="3032"/>
      <c r="AI192" s="3032"/>
      <c r="AJ192" s="3032"/>
      <c r="AK192" s="3032"/>
      <c r="AL192" s="3032"/>
      <c r="AM192" s="3032"/>
      <c r="AN192" s="3032"/>
      <c r="AO192" s="3032"/>
      <c r="AP192" s="3032"/>
      <c r="AQ192" s="3032"/>
      <c r="AR192" s="3033"/>
      <c r="AS192" s="624"/>
      <c r="AX192" s="658" t="str">
        <f>IF(File_Single&lt;&gt;"",AY191,IF(File_Marr_Joint&lt;&gt;"",AZ191,IF(File_Marr_Sep&lt;&gt;"", BA191,IF(File_Head&lt;&gt;"",BB191,IF(File_Qual_Widow&lt;&gt;"",AZ191,"Filing status?")))))</f>
        <v>Filing status?</v>
      </c>
      <c r="AY192" s="656" t="str">
        <f>"&lt;100k"</f>
        <v>&lt;100k</v>
      </c>
      <c r="AZ192" s="1190"/>
      <c r="BA192" s="1190"/>
      <c r="BB192" s="1190"/>
      <c r="BC192" s="1190"/>
      <c r="BD192" s="1190"/>
      <c r="BE192" s="656"/>
      <c r="BF192" s="659"/>
    </row>
    <row r="193" spans="1:58" ht="12.75" customHeight="1" thickBot="1">
      <c r="A193" s="857"/>
      <c r="B193" s="4225"/>
      <c r="C193" s="452">
        <v>24</v>
      </c>
      <c r="D193" s="4226" t="s">
        <v>3583</v>
      </c>
      <c r="E193" s="4225"/>
      <c r="F193" s="4225"/>
      <c r="G193" s="4225"/>
      <c r="H193" s="4225"/>
      <c r="I193" s="4225"/>
      <c r="J193" s="4225"/>
      <c r="K193" s="4225"/>
      <c r="L193" s="4225"/>
      <c r="M193" s="4225"/>
      <c r="N193" s="2753" t="s">
        <v>596</v>
      </c>
      <c r="O193" s="4285">
        <v>24</v>
      </c>
      <c r="P193" s="5717" t="str">
        <f>IF(NOT($B$61),"",IF(OR(P156="",P161=""),"",SUM(P190)))</f>
        <v/>
      </c>
      <c r="Q193" s="5719"/>
      <c r="R193" s="5717" t="str">
        <f>IF(NOT($B$61),"",IF(OR(R156="",R161=""),"",SUM(R190,-R192)))</f>
        <v/>
      </c>
      <c r="S193" s="5719"/>
      <c r="T193" s="5717" t="str">
        <f t="shared" ref="T193" si="25">IF(NOT($B$61),"",IF(OR(T156="",T161=""),"",SUM(T190,-T192)))</f>
        <v/>
      </c>
      <c r="U193" s="5719"/>
      <c r="V193" s="5717" t="str">
        <f t="shared" ref="V193" si="26">IF(NOT($B$61),"",IF(OR(V156="",V161=""),"",SUM(V190,-V192)))</f>
        <v/>
      </c>
      <c r="W193" s="5718"/>
      <c r="X193" s="112"/>
      <c r="Y193" s="2400"/>
      <c r="Z193" s="820" t="str">
        <f t="shared" si="21"/>
        <v/>
      </c>
      <c r="AA193" s="614"/>
      <c r="AB193" s="2873"/>
      <c r="AC193" s="2878" t="s">
        <v>3686</v>
      </c>
      <c r="AD193" s="2878"/>
      <c r="AE193" s="3032"/>
      <c r="AF193" s="3032"/>
      <c r="AG193" s="3032"/>
      <c r="AH193" s="3032"/>
      <c r="AI193" s="3032"/>
      <c r="AJ193" s="3032"/>
      <c r="AK193" s="3032"/>
      <c r="AL193" s="3032"/>
      <c r="AM193" s="3032"/>
      <c r="AN193" s="3032"/>
      <c r="AO193" s="3032"/>
      <c r="AP193" s="3032"/>
      <c r="AQ193" s="3032"/>
      <c r="AR193" s="3033"/>
      <c r="AS193" s="624"/>
      <c r="AX193" s="657" t="str">
        <f>IF(File_Single&lt;&gt;"",BC191,IF(OR(File_Marr_Joint&lt;&gt;"",File_Qual_Widow&lt;&gt;""),BD191,IF(File_Marr_Sep&lt;&gt;"", BE191,IF(File_Head&lt;&gt;"",BF191,"Filing status?"))))</f>
        <v>Filing status?</v>
      </c>
      <c r="AY193" s="776" t="str">
        <f>"&gt;=100k"</f>
        <v>&gt;=100k</v>
      </c>
      <c r="AZ193" s="776"/>
      <c r="BA193" s="776"/>
      <c r="BB193" s="776"/>
      <c r="BC193" s="776"/>
      <c r="BD193" s="776"/>
      <c r="BE193" s="776"/>
      <c r="BF193" s="777"/>
    </row>
    <row r="194" spans="1:58" ht="13.5" customHeight="1">
      <c r="A194" s="945"/>
      <c r="B194" s="4228"/>
      <c r="C194" s="452">
        <v>25</v>
      </c>
      <c r="D194" s="2808" t="s">
        <v>3591</v>
      </c>
      <c r="E194" s="4228"/>
      <c r="F194" s="4228"/>
      <c r="G194" s="4228"/>
      <c r="H194" s="4228"/>
      <c r="I194" s="4228"/>
      <c r="J194" s="4228"/>
      <c r="K194" s="4228"/>
      <c r="L194" s="4225"/>
      <c r="M194" s="4225"/>
      <c r="N194" s="4225"/>
      <c r="O194" s="4284"/>
      <c r="P194" s="4227"/>
      <c r="Q194" s="2570"/>
      <c r="R194" s="4227"/>
      <c r="S194" s="4276"/>
      <c r="T194" s="4275"/>
      <c r="U194" s="4276"/>
      <c r="V194" s="4391"/>
      <c r="W194" s="4395"/>
      <c r="X194" s="112"/>
      <c r="Y194" s="2400"/>
      <c r="Z194" s="820" t="str">
        <f t="shared" si="21"/>
        <v/>
      </c>
      <c r="AA194" s="614"/>
      <c r="AB194" s="2873"/>
      <c r="AC194" s="3032"/>
      <c r="AD194" s="3032"/>
      <c r="AE194" s="3032"/>
      <c r="AF194" s="3032"/>
      <c r="AG194" s="3032"/>
      <c r="AH194" s="3032"/>
      <c r="AI194" s="3032"/>
      <c r="AJ194" s="3032"/>
      <c r="AK194" s="3032"/>
      <c r="AL194" s="3032"/>
      <c r="AM194" s="3032"/>
      <c r="AN194" s="3032"/>
      <c r="AO194" s="3032"/>
      <c r="AP194" s="3032"/>
      <c r="AQ194" s="3032"/>
      <c r="AR194" s="3033"/>
      <c r="AS194" s="624"/>
    </row>
    <row r="195" spans="1:58" ht="13.5" customHeight="1" thickBot="1">
      <c r="A195" s="857"/>
      <c r="B195" s="4228"/>
      <c r="C195" s="452"/>
      <c r="D195" s="2808" t="s">
        <v>3592</v>
      </c>
      <c r="E195" s="4228"/>
      <c r="F195" s="4228"/>
      <c r="G195" s="4228"/>
      <c r="H195" s="4228"/>
      <c r="I195" s="4228"/>
      <c r="J195" s="4228"/>
      <c r="K195" s="4228"/>
      <c r="L195" s="4225"/>
      <c r="M195" s="4225"/>
      <c r="N195" s="2753" t="s">
        <v>999</v>
      </c>
      <c r="O195" s="4285">
        <v>25</v>
      </c>
      <c r="P195" s="5717" t="str">
        <f>IF(NOT($B$61),"",IF(OR(P156="",P161=""),"",P189))</f>
        <v/>
      </c>
      <c r="Q195" s="5719"/>
      <c r="R195" s="5717" t="str">
        <f t="shared" ref="R195" si="27">IF(NOT($B$61),"",IF(OR(R156="",R161=""),"",R189))</f>
        <v/>
      </c>
      <c r="S195" s="5719"/>
      <c r="T195" s="5717" t="str">
        <f t="shared" ref="T195" si="28">IF(NOT($B$61),"",IF(OR(T156="",T161=""),"",T189))</f>
        <v/>
      </c>
      <c r="U195" s="5719"/>
      <c r="V195" s="5799" t="str">
        <f t="shared" ref="V195" si="29">IF(NOT($B$61),"",IF(OR(V156="",V161=""),"",V189))</f>
        <v/>
      </c>
      <c r="W195" s="5800"/>
      <c r="X195" s="112"/>
      <c r="Y195" s="2400"/>
      <c r="Z195" s="820" t="str">
        <f t="shared" si="21"/>
        <v/>
      </c>
      <c r="AA195" s="614"/>
      <c r="AB195" s="4398" t="s">
        <v>478</v>
      </c>
      <c r="AC195" s="3032" t="str">
        <f>"Multiply line 10 by "&amp;TEXT(AE196,"0%")&amp;" ("&amp;TEXT(AE196,"0.00")&amp;")"</f>
        <v>Multiply line 10 by 3% (0.03)</v>
      </c>
      <c r="AD195" s="3032"/>
      <c r="AE195" s="3032"/>
      <c r="AF195" s="3032"/>
      <c r="AG195" s="3032"/>
      <c r="AH195" s="3032"/>
      <c r="AI195" s="2879" t="s">
        <v>478</v>
      </c>
      <c r="AJ195" s="4410" t="str">
        <f>IF(AJ$190,"",AJ188*$AE$196)</f>
        <v/>
      </c>
      <c r="AK195" s="3032"/>
      <c r="AL195" s="4410" t="str">
        <f>IF(AL$190,"",AL188*$AE$196)</f>
        <v/>
      </c>
      <c r="AM195" s="3032"/>
      <c r="AN195" s="4410" t="str">
        <f>IF(AN$190,"",AN188*$AE$196)</f>
        <v/>
      </c>
      <c r="AO195" s="3032"/>
      <c r="AP195" s="4410" t="str">
        <f>IF(AP$190,"",AP188*$AE$196)</f>
        <v/>
      </c>
      <c r="AQ195" s="3032"/>
      <c r="AR195" s="3033"/>
      <c r="AS195" s="624"/>
      <c r="AU195" s="4172"/>
    </row>
    <row r="196" spans="1:58" ht="16.5" customHeight="1">
      <c r="A196" s="857"/>
      <c r="B196" s="4240" t="s">
        <v>3454</v>
      </c>
      <c r="C196" s="4231"/>
      <c r="D196" s="4231"/>
      <c r="E196" s="4260" t="s">
        <v>3584</v>
      </c>
      <c r="F196" s="4232"/>
      <c r="G196" s="4232"/>
      <c r="H196" s="4232"/>
      <c r="I196" s="4232"/>
      <c r="J196" s="4232"/>
      <c r="K196" s="4299" t="s">
        <v>3598</v>
      </c>
      <c r="L196" s="4232"/>
      <c r="M196" s="4232"/>
      <c r="N196" s="4232"/>
      <c r="O196" s="4232"/>
      <c r="P196" s="4232"/>
      <c r="Q196" s="4232"/>
      <c r="R196" s="4232"/>
      <c r="S196" s="4232"/>
      <c r="T196" s="4232"/>
      <c r="U196" s="4232"/>
      <c r="V196" s="4232"/>
      <c r="W196" s="4232"/>
      <c r="X196" s="962"/>
      <c r="Y196" s="4440"/>
      <c r="Z196" s="820" t="str">
        <f t="shared" si="21"/>
        <v/>
      </c>
      <c r="AA196" s="614"/>
      <c r="AB196" s="2873"/>
      <c r="AC196" s="3032"/>
      <c r="AD196" s="3032"/>
      <c r="AE196" s="4393">
        <v>0.03</v>
      </c>
      <c r="AF196" s="3032"/>
      <c r="AG196" s="3032"/>
      <c r="AH196" s="3032"/>
      <c r="AI196" s="3032"/>
      <c r="AJ196" s="3032"/>
      <c r="AK196" s="3032"/>
      <c r="AL196" s="3032"/>
      <c r="AM196" s="3032"/>
      <c r="AN196" s="3032"/>
      <c r="AO196" s="3032"/>
      <c r="AP196" s="3032"/>
      <c r="AQ196" s="3032"/>
      <c r="AR196" s="3033"/>
      <c r="AS196" s="624"/>
    </row>
    <row r="197" spans="1:58">
      <c r="A197" s="857"/>
      <c r="B197" s="4225"/>
      <c r="C197" s="452">
        <v>26</v>
      </c>
      <c r="D197" s="4229" t="s">
        <v>3585</v>
      </c>
      <c r="E197" s="4225"/>
      <c r="F197" s="4225"/>
      <c r="G197" s="4225"/>
      <c r="H197" s="4225"/>
      <c r="I197" s="4225"/>
      <c r="J197" s="4225"/>
      <c r="K197" s="4225"/>
      <c r="L197" s="4225"/>
      <c r="M197" s="4225"/>
      <c r="N197" s="4225"/>
      <c r="O197" s="4237"/>
      <c r="P197" s="4227"/>
      <c r="Q197" s="2570"/>
      <c r="R197" s="4227"/>
      <c r="S197" s="4276"/>
      <c r="T197" s="4275"/>
      <c r="U197" s="4276"/>
      <c r="V197" s="4274"/>
      <c r="W197" s="4275"/>
      <c r="X197" s="112"/>
      <c r="Y197" s="2400"/>
      <c r="Z197" s="820" t="str">
        <f t="shared" si="21"/>
        <v/>
      </c>
      <c r="AA197" s="614"/>
      <c r="AB197" s="4398" t="s">
        <v>479</v>
      </c>
      <c r="AC197" s="3032" t="s">
        <v>3685</v>
      </c>
      <c r="AD197" s="3032"/>
      <c r="AE197" s="3032"/>
      <c r="AF197" s="3032"/>
      <c r="AG197" s="3032"/>
      <c r="AH197" s="3032"/>
      <c r="AI197" s="2879" t="s">
        <v>479</v>
      </c>
      <c r="AJ197" s="4410" t="str">
        <f>IF(AJ$190,"",MIN(AJ156,AJ175))</f>
        <v/>
      </c>
      <c r="AK197" s="3032"/>
      <c r="AL197" s="4410" t="str">
        <f>IF(AL$190,"",MIN(AL156,AL175))</f>
        <v/>
      </c>
      <c r="AM197" s="3032"/>
      <c r="AN197" s="4410" t="str">
        <f>IF(AN$190,"",MIN(AN156,AN175))</f>
        <v/>
      </c>
      <c r="AO197" s="3032"/>
      <c r="AP197" s="4410" t="str">
        <f>IF(AP$190,"",MIN(AP156,AP175))</f>
        <v/>
      </c>
      <c r="AQ197" s="3032"/>
      <c r="AR197" s="3033"/>
      <c r="AS197" s="624"/>
    </row>
    <row r="198" spans="1:58" ht="12" customHeight="1">
      <c r="A198" s="857"/>
      <c r="B198" s="4225"/>
      <c r="C198" s="73"/>
      <c r="D198" s="4225" t="s">
        <v>3586</v>
      </c>
      <c r="E198" s="4225"/>
      <c r="F198" s="4225"/>
      <c r="G198" s="4225"/>
      <c r="H198" s="4225"/>
      <c r="I198" s="4225"/>
      <c r="J198" s="4225"/>
      <c r="K198" s="4225"/>
      <c r="L198" s="4225"/>
      <c r="M198" s="4225"/>
      <c r="N198" s="2753" t="s">
        <v>996</v>
      </c>
      <c r="O198" s="4285">
        <v>26</v>
      </c>
      <c r="P198" s="5726"/>
      <c r="Q198" s="5727"/>
      <c r="R198" s="5726"/>
      <c r="S198" s="5727"/>
      <c r="T198" s="5726"/>
      <c r="U198" s="5727"/>
      <c r="V198" s="5726"/>
      <c r="W198" s="5741"/>
      <c r="X198" s="112"/>
      <c r="Y198" s="2400"/>
      <c r="Z198" s="820" t="str">
        <f t="shared" si="21"/>
        <v/>
      </c>
      <c r="AA198" s="614"/>
      <c r="AB198" s="2873"/>
      <c r="AC198" s="3032"/>
      <c r="AD198" s="3032"/>
      <c r="AE198" s="3032"/>
      <c r="AF198" s="3032"/>
      <c r="AG198" s="3032"/>
      <c r="AH198" s="3032"/>
      <c r="AI198" s="3032"/>
      <c r="AJ198" s="3032"/>
      <c r="AK198" s="3032"/>
      <c r="AL198" s="3032"/>
      <c r="AM198" s="3032"/>
      <c r="AN198" s="3032"/>
      <c r="AO198" s="3032"/>
      <c r="AP198" s="3032"/>
      <c r="AQ198" s="3032"/>
      <c r="AR198" s="3033"/>
      <c r="AS198" s="624"/>
    </row>
    <row r="199" spans="1:58" ht="12.75" customHeight="1">
      <c r="A199" s="857"/>
      <c r="B199" s="4225"/>
      <c r="C199" s="452">
        <v>27</v>
      </c>
      <c r="D199" s="4229" t="s">
        <v>3587</v>
      </c>
      <c r="E199" s="4225"/>
      <c r="F199" s="4225"/>
      <c r="G199" s="4225"/>
      <c r="H199" s="4225"/>
      <c r="I199" s="4225"/>
      <c r="J199" s="4225"/>
      <c r="K199" s="4225"/>
      <c r="L199" s="4225"/>
      <c r="M199" s="4225"/>
      <c r="N199" s="2753" t="s">
        <v>1001</v>
      </c>
      <c r="O199" s="4285">
        <v>27</v>
      </c>
      <c r="P199" s="5868">
        <v>29625</v>
      </c>
      <c r="Q199" s="5869"/>
      <c r="R199" s="5868">
        <v>49375</v>
      </c>
      <c r="S199" s="5869"/>
      <c r="T199" s="5742">
        <v>79000</v>
      </c>
      <c r="U199" s="5743"/>
      <c r="V199" s="5742">
        <v>118500</v>
      </c>
      <c r="W199" s="5756"/>
      <c r="X199" s="112"/>
      <c r="Y199" s="2400"/>
      <c r="Z199" s="820" t="str">
        <f>IF($U$184&gt;$U$174,"Line 15 cannot","")</f>
        <v/>
      </c>
      <c r="AA199" s="614"/>
      <c r="AB199" s="4398" t="s">
        <v>695</v>
      </c>
      <c r="AC199" s="2878" t="s">
        <v>3684</v>
      </c>
      <c r="AD199" s="2878"/>
      <c r="AE199" s="3032"/>
      <c r="AF199" s="3032"/>
      <c r="AG199" s="3032"/>
      <c r="AH199" s="3032"/>
      <c r="AI199" s="3032"/>
      <c r="AJ199" s="3032"/>
      <c r="AK199" s="3032"/>
      <c r="AL199" s="3032"/>
      <c r="AM199" s="3032"/>
      <c r="AN199" s="3032"/>
      <c r="AO199" s="3032"/>
      <c r="AP199" s="3032"/>
      <c r="AQ199" s="3032"/>
      <c r="AR199" s="3033"/>
      <c r="AS199" s="624"/>
    </row>
    <row r="200" spans="1:58">
      <c r="A200" s="857"/>
      <c r="B200" s="4229"/>
      <c r="C200" s="452">
        <v>28</v>
      </c>
      <c r="D200" s="4226" t="s">
        <v>3588</v>
      </c>
      <c r="E200" s="4225"/>
      <c r="F200" s="4225"/>
      <c r="G200" s="4225"/>
      <c r="H200" s="4225"/>
      <c r="I200" s="4225"/>
      <c r="J200" s="4225"/>
      <c r="K200" s="4225"/>
      <c r="L200" s="4225"/>
      <c r="M200" s="4225"/>
      <c r="N200" s="4225"/>
      <c r="O200" s="4237"/>
      <c r="P200" s="4227"/>
      <c r="Q200" s="2570"/>
      <c r="R200" s="4227"/>
      <c r="S200" s="4276"/>
      <c r="T200" s="4275"/>
      <c r="U200" s="4276"/>
      <c r="V200" s="4274"/>
      <c r="W200" s="4275"/>
      <c r="X200" s="112"/>
      <c r="Y200" s="2400"/>
      <c r="Z200" s="614"/>
      <c r="AA200" s="614"/>
      <c r="AB200" s="2873"/>
      <c r="AC200" s="2878" t="s">
        <v>3691</v>
      </c>
      <c r="AD200" s="2878"/>
      <c r="AE200" s="3032"/>
      <c r="AF200" s="3032"/>
      <c r="AG200" s="3032"/>
      <c r="AH200" s="3032"/>
      <c r="AI200" s="3032"/>
      <c r="AJ200" s="3032"/>
      <c r="AK200" s="3032"/>
      <c r="AL200" s="3032"/>
      <c r="AM200" s="3032"/>
      <c r="AN200" s="3032"/>
      <c r="AO200" s="3032"/>
      <c r="AP200" s="3032"/>
      <c r="AQ200" s="3032"/>
      <c r="AR200" s="3033"/>
      <c r="AS200" s="624"/>
    </row>
    <row r="201" spans="1:58">
      <c r="A201" s="857"/>
      <c r="B201" s="4225"/>
      <c r="C201" s="73"/>
      <c r="D201" s="4229" t="s">
        <v>3589</v>
      </c>
      <c r="E201" s="4225"/>
      <c r="F201" s="4225"/>
      <c r="G201" s="4225"/>
      <c r="H201" s="4225"/>
      <c r="I201" s="4225"/>
      <c r="J201" s="4225"/>
      <c r="K201" s="4225"/>
      <c r="L201" s="4225"/>
      <c r="M201" s="4225"/>
      <c r="N201" s="4225"/>
      <c r="O201" s="4237"/>
      <c r="P201" s="4227"/>
      <c r="Q201" s="2570"/>
      <c r="R201" s="4227"/>
      <c r="S201" s="4276"/>
      <c r="T201" s="4275"/>
      <c r="U201" s="4276"/>
      <c r="V201" s="4274"/>
      <c r="W201" s="4275"/>
      <c r="X201" s="112"/>
      <c r="Y201" s="2400"/>
      <c r="Z201" s="614"/>
      <c r="AA201" s="614"/>
      <c r="AB201" s="2873"/>
      <c r="AC201" s="2878" t="s">
        <v>3690</v>
      </c>
      <c r="AD201" s="2878"/>
      <c r="AE201" s="3032"/>
      <c r="AF201" s="3032"/>
      <c r="AG201" s="3032"/>
      <c r="AH201" s="3032"/>
      <c r="AI201" s="2879" t="s">
        <v>695</v>
      </c>
      <c r="AJ201" s="4410" t="str">
        <f>IF(AJ$190,"",SUM(AJ167,-AJ197))</f>
        <v/>
      </c>
      <c r="AK201" s="3032"/>
      <c r="AL201" s="4410" t="str">
        <f>IF(AL$190,"",SUM(AL167,-AL197))</f>
        <v/>
      </c>
      <c r="AM201" s="3032"/>
      <c r="AN201" s="4410" t="str">
        <f>IF(AN$190,"",SUM(AN167,-AN197))</f>
        <v/>
      </c>
      <c r="AO201" s="3032"/>
      <c r="AP201" s="4410" t="str">
        <f>IF(AP$190,"",SUM(AP167,-AP197))</f>
        <v/>
      </c>
      <c r="AQ201" s="3032"/>
      <c r="AR201" s="3033"/>
      <c r="AS201" s="624"/>
    </row>
    <row r="202" spans="1:58" ht="12" customHeight="1" thickBot="1">
      <c r="A202" s="857"/>
      <c r="B202" s="4225"/>
      <c r="C202" s="73"/>
      <c r="D202" s="4226" t="s">
        <v>3590</v>
      </c>
      <c r="E202" s="4225"/>
      <c r="F202" s="4225"/>
      <c r="G202" s="4225"/>
      <c r="H202" s="4225"/>
      <c r="I202" s="4225"/>
      <c r="J202" s="4225"/>
      <c r="K202" s="4225"/>
      <c r="L202" s="4225"/>
      <c r="M202" s="4225"/>
      <c r="N202" s="2753"/>
      <c r="O202" s="4285">
        <v>28</v>
      </c>
      <c r="P202" s="5726"/>
      <c r="Q202" s="5727"/>
      <c r="R202" s="5726"/>
      <c r="S202" s="5727"/>
      <c r="T202" s="5726"/>
      <c r="U202" s="5727"/>
      <c r="V202" s="5726"/>
      <c r="W202" s="5741"/>
      <c r="X202" s="112"/>
      <c r="Y202" s="2400"/>
      <c r="Z202" s="820" t="str">
        <f>IF($U$184&gt;$U$174,"Line 15 cannot","")</f>
        <v/>
      </c>
      <c r="AA202" s="614"/>
      <c r="AB202" s="2881"/>
      <c r="AC202" s="3044"/>
      <c r="AD202" s="3044"/>
      <c r="AE202" s="3044"/>
      <c r="AF202" s="3044"/>
      <c r="AG202" s="3044"/>
      <c r="AH202" s="3044"/>
      <c r="AI202" s="3044"/>
      <c r="AJ202" s="3044"/>
      <c r="AK202" s="3044"/>
      <c r="AL202" s="3044"/>
      <c r="AM202" s="3044"/>
      <c r="AN202" s="3044"/>
      <c r="AO202" s="3044"/>
      <c r="AP202" s="3044"/>
      <c r="AQ202" s="3044"/>
      <c r="AR202" s="3045"/>
      <c r="AS202" s="624"/>
    </row>
    <row r="203" spans="1:58" ht="12.75" customHeight="1">
      <c r="A203" s="857"/>
      <c r="B203" s="4225"/>
      <c r="C203" s="452">
        <v>29</v>
      </c>
      <c r="D203" s="4225" t="s">
        <v>3593</v>
      </c>
      <c r="E203" s="4225"/>
      <c r="F203" s="4225"/>
      <c r="G203" s="4225"/>
      <c r="H203" s="4225"/>
      <c r="I203" s="4225"/>
      <c r="J203" s="4225"/>
      <c r="K203" s="4225"/>
      <c r="L203" s="4225"/>
      <c r="M203" s="4225"/>
      <c r="N203" s="2753" t="s">
        <v>1379</v>
      </c>
      <c r="O203" s="4285">
        <v>29</v>
      </c>
      <c r="P203" s="5717" t="str">
        <f>IF(OR(AND(P198="",P202=""),NOT($B$61)),"",IF(SUM(P199,-P202)&lt;=0,0,SUM(P199,-P202)))</f>
        <v/>
      </c>
      <c r="Q203" s="5719"/>
      <c r="R203" s="5717" t="str">
        <f>IF(OR(AND(R198="",R202=""),NOT($B$61)),"",IF(SUM(R199,-R202)&lt;=0,0,SUM(R199,-R202)))</f>
        <v/>
      </c>
      <c r="S203" s="5719"/>
      <c r="T203" s="5717" t="str">
        <f>IF(OR(AND(T198="",T202=""),NOT($B$61)),"",IF(SUM(T199,-T202)&lt;=0,0,SUM(T199,-T202)))</f>
        <v/>
      </c>
      <c r="U203" s="5719"/>
      <c r="V203" s="5717" t="str">
        <f>IF(OR(AND(V198="",V202=""),NOT($B$61)),"",IF(SUM(V199,-V202)&lt;=0,0,SUM(V199,-V202)))</f>
        <v/>
      </c>
      <c r="W203" s="5718"/>
      <c r="X203" s="112"/>
      <c r="Y203" s="2400"/>
      <c r="Z203" s="614"/>
      <c r="AA203" s="614"/>
      <c r="AB203" s="614"/>
      <c r="AC203" s="614"/>
      <c r="AD203" s="614"/>
      <c r="AE203" s="614"/>
      <c r="AF203" s="614"/>
      <c r="AG203" s="614"/>
      <c r="AH203" s="614"/>
      <c r="AI203" s="614"/>
      <c r="AJ203" s="614"/>
      <c r="AK203" s="614"/>
      <c r="AL203" s="614"/>
      <c r="AM203" s="614"/>
      <c r="AN203" s="614"/>
      <c r="AO203" s="614"/>
      <c r="AP203" s="614"/>
      <c r="AQ203" s="614"/>
      <c r="AR203" s="614"/>
      <c r="AS203" s="624"/>
    </row>
    <row r="204" spans="1:58" ht="12" customHeight="1">
      <c r="A204" s="857"/>
      <c r="B204" s="4225"/>
      <c r="C204" s="452">
        <v>30</v>
      </c>
      <c r="D204" s="2809" t="s">
        <v>3594</v>
      </c>
      <c r="E204" s="4225"/>
      <c r="F204" s="4225"/>
      <c r="G204" s="4225"/>
      <c r="H204" s="4225"/>
      <c r="I204" s="4225"/>
      <c r="J204" s="4225"/>
      <c r="K204" s="4225"/>
      <c r="L204" s="4225"/>
      <c r="M204" s="4225"/>
      <c r="N204" s="2753" t="s">
        <v>1001</v>
      </c>
      <c r="O204" s="4285">
        <v>30</v>
      </c>
      <c r="P204" s="5746">
        <v>0.496</v>
      </c>
      <c r="Q204" s="5747"/>
      <c r="R204" s="5748">
        <v>0.29759999999999998</v>
      </c>
      <c r="S204" s="5749"/>
      <c r="T204" s="5746">
        <v>0.186</v>
      </c>
      <c r="U204" s="5747"/>
      <c r="V204" s="5750">
        <v>0.124</v>
      </c>
      <c r="W204" s="5751"/>
      <c r="X204" s="112"/>
      <c r="Y204" s="2400"/>
      <c r="Z204" s="614"/>
      <c r="AA204" s="614"/>
      <c r="AB204" s="3382"/>
      <c r="AC204" s="3383"/>
      <c r="AD204" s="3383"/>
      <c r="AE204" s="3383"/>
      <c r="AF204" s="3383"/>
      <c r="AG204" s="3383"/>
      <c r="AH204" s="3383"/>
      <c r="AI204" s="3383"/>
      <c r="AJ204" s="3383"/>
      <c r="AK204" s="3383"/>
      <c r="AL204" s="3383"/>
      <c r="AM204" s="3383"/>
      <c r="AN204" s="3383"/>
      <c r="AO204" s="3383"/>
      <c r="AP204" s="3383"/>
      <c r="AQ204" s="3383"/>
      <c r="AR204" s="3384"/>
      <c r="AS204" s="624"/>
    </row>
    <row r="205" spans="1:58" ht="15.75">
      <c r="A205" s="857"/>
      <c r="B205" s="102"/>
      <c r="C205" s="452">
        <v>31</v>
      </c>
      <c r="D205" s="4229" t="s">
        <v>3595</v>
      </c>
      <c r="E205" s="4225"/>
      <c r="F205" s="4225"/>
      <c r="G205" s="4225"/>
      <c r="H205" s="4225"/>
      <c r="I205" s="4225"/>
      <c r="J205" s="4225"/>
      <c r="K205" s="4225"/>
      <c r="L205" s="4225"/>
      <c r="M205" s="4225"/>
      <c r="N205" s="2753" t="s">
        <v>3567</v>
      </c>
      <c r="O205" s="4285">
        <v>31</v>
      </c>
      <c r="P205" s="5717" t="str">
        <f>IF(NOT($B$61),"",P204*MIN(P198,P203))</f>
        <v/>
      </c>
      <c r="Q205" s="5719"/>
      <c r="R205" s="5717" t="str">
        <f>IF(NOT($B$61),"",R204*MIN(R198,R203))</f>
        <v/>
      </c>
      <c r="S205" s="5719"/>
      <c r="T205" s="5717" t="str">
        <f>IF(NOT($B$61),"",T204*MIN(T198,T203))</f>
        <v/>
      </c>
      <c r="U205" s="5719"/>
      <c r="V205" s="5772" t="str">
        <f>IF(NOT($B$61),"",V204*MIN(V198,V203))</f>
        <v/>
      </c>
      <c r="W205" s="5773"/>
      <c r="X205" s="112"/>
      <c r="Y205" s="2400"/>
      <c r="Z205" s="614"/>
      <c r="AA205" s="614"/>
      <c r="AB205" s="4405" t="s">
        <v>3755</v>
      </c>
      <c r="AC205" s="4404"/>
      <c r="AD205" s="4404"/>
      <c r="AE205" s="3032"/>
      <c r="AF205" s="3032"/>
      <c r="AG205" s="3032"/>
      <c r="AH205" s="3032"/>
      <c r="AI205" s="3032"/>
      <c r="AJ205" s="3032"/>
      <c r="AK205" s="3032"/>
      <c r="AL205" s="3032"/>
      <c r="AM205" s="3032"/>
      <c r="AN205" s="3032"/>
      <c r="AO205" s="3032"/>
      <c r="AP205" s="3032"/>
      <c r="AQ205" s="3032"/>
      <c r="AR205" s="3386"/>
      <c r="AS205" s="624"/>
    </row>
    <row r="206" spans="1:58" ht="12.75" customHeight="1">
      <c r="A206" s="857"/>
      <c r="B206" s="4225"/>
      <c r="C206" s="452">
        <v>32</v>
      </c>
      <c r="D206" s="4225" t="s">
        <v>3594</v>
      </c>
      <c r="E206" s="4225"/>
      <c r="F206" s="4225"/>
      <c r="G206" s="4225"/>
      <c r="H206" s="4225"/>
      <c r="I206" s="4225"/>
      <c r="J206" s="4225"/>
      <c r="K206" s="4225"/>
      <c r="L206" s="4225"/>
      <c r="M206" s="4225"/>
      <c r="N206" s="2753" t="s">
        <v>1379</v>
      </c>
      <c r="O206" s="4285">
        <v>32</v>
      </c>
      <c r="P206" s="5746">
        <v>0.11600000000000001</v>
      </c>
      <c r="Q206" s="5747"/>
      <c r="R206" s="5748">
        <v>6.9599999999999995E-2</v>
      </c>
      <c r="S206" s="5749"/>
      <c r="T206" s="5748">
        <v>4.3499999999999997E-2</v>
      </c>
      <c r="U206" s="5749"/>
      <c r="V206" s="5746">
        <v>2.9000000000000001E-2</v>
      </c>
      <c r="W206" s="5752"/>
      <c r="X206" s="112"/>
      <c r="Y206" s="2400"/>
      <c r="Z206" s="614"/>
      <c r="AA206" s="614"/>
      <c r="AB206" s="4405"/>
      <c r="AC206" s="4406" t="s">
        <v>3672</v>
      </c>
      <c r="AD206" s="4406"/>
      <c r="AE206" s="3032"/>
      <c r="AF206" s="3032"/>
      <c r="AG206" s="3032"/>
      <c r="AH206" s="3032"/>
      <c r="AI206" s="3032"/>
      <c r="AJ206" s="3032"/>
      <c r="AK206" s="3032"/>
      <c r="AL206" s="3032"/>
      <c r="AM206" s="3032"/>
      <c r="AN206" s="3032"/>
      <c r="AO206" s="3032"/>
      <c r="AP206" s="3032"/>
      <c r="AQ206" s="3032"/>
      <c r="AR206" s="3386"/>
      <c r="AS206" s="624"/>
    </row>
    <row r="207" spans="1:58" ht="12" customHeight="1">
      <c r="A207" s="857"/>
      <c r="B207" s="4225"/>
      <c r="C207" s="452">
        <v>33</v>
      </c>
      <c r="D207" s="2809" t="s">
        <v>3596</v>
      </c>
      <c r="E207" s="4225"/>
      <c r="F207" s="4225"/>
      <c r="G207" s="4225"/>
      <c r="H207" s="4225"/>
      <c r="I207" s="4225"/>
      <c r="J207" s="4225"/>
      <c r="K207" s="4225"/>
      <c r="L207" s="4225"/>
      <c r="M207" s="4225"/>
      <c r="N207" s="2753" t="s">
        <v>1001</v>
      </c>
      <c r="O207" s="4285">
        <v>33</v>
      </c>
      <c r="P207" s="5797" t="str">
        <f>IF(NOT($B$61),"",P198*P206)</f>
        <v/>
      </c>
      <c r="Q207" s="5798"/>
      <c r="R207" s="5797" t="str">
        <f>IF(NOT($B$61),"",R198*R206)</f>
        <v/>
      </c>
      <c r="S207" s="5798"/>
      <c r="T207" s="5797" t="str">
        <f>IF(NOT($B$61),"",T198*T206)</f>
        <v/>
      </c>
      <c r="U207" s="5798"/>
      <c r="V207" s="5753" t="str">
        <f>IF(NOT($B$61),"",V198*V206)</f>
        <v/>
      </c>
      <c r="W207" s="5754"/>
      <c r="X207" s="112"/>
      <c r="Y207" s="2400"/>
      <c r="Z207" s="614"/>
      <c r="AA207" s="614"/>
      <c r="AB207" s="4405"/>
      <c r="AC207" s="4406" t="s">
        <v>3674</v>
      </c>
      <c r="AD207" s="4406"/>
      <c r="AE207" s="3032"/>
      <c r="AF207" s="3032"/>
      <c r="AG207" s="3032"/>
      <c r="AH207" s="3032"/>
      <c r="AI207" s="3032"/>
      <c r="AJ207" s="3032"/>
      <c r="AK207" s="3032"/>
      <c r="AL207" s="3032"/>
      <c r="AM207" s="3032"/>
      <c r="AN207" s="3032"/>
      <c r="AO207" s="3032"/>
      <c r="AP207" s="3032"/>
      <c r="AQ207" s="3032"/>
      <c r="AR207" s="3386"/>
      <c r="AS207" s="624"/>
    </row>
    <row r="208" spans="1:58" ht="16.5" thickBot="1">
      <c r="A208" s="857"/>
      <c r="B208" s="102"/>
      <c r="C208" s="452">
        <v>34</v>
      </c>
      <c r="D208" s="4229" t="s">
        <v>3597</v>
      </c>
      <c r="E208" s="4225"/>
      <c r="F208" s="4225"/>
      <c r="G208" s="4225"/>
      <c r="H208" s="4225"/>
      <c r="I208" s="4225"/>
      <c r="J208" s="4225"/>
      <c r="K208" s="4225"/>
      <c r="L208" s="4225"/>
      <c r="M208" s="4225"/>
      <c r="N208" s="2753" t="s">
        <v>3567</v>
      </c>
      <c r="O208" s="4285">
        <v>34</v>
      </c>
      <c r="P208" s="5717" t="str">
        <f>IF(NOT($B$61),"",SUM(P205,P207))</f>
        <v/>
      </c>
      <c r="Q208" s="5719"/>
      <c r="R208" s="5717" t="str">
        <f>IF(NOT($B$61),"",SUM(R205,R207))</f>
        <v/>
      </c>
      <c r="S208" s="5719"/>
      <c r="T208" s="5717" t="str">
        <f>IF(NOT($B$61),"",SUM(T205,T207))</f>
        <v/>
      </c>
      <c r="U208" s="5719"/>
      <c r="V208" s="5744" t="str">
        <f>IF(NOT($B$61),"",SUM(V205,V207))</f>
        <v/>
      </c>
      <c r="W208" s="5745"/>
      <c r="X208" s="112"/>
      <c r="Y208" s="2400"/>
      <c r="Z208" s="614"/>
      <c r="AA208" s="614"/>
      <c r="AB208" s="4405"/>
      <c r="AC208" s="4406" t="s">
        <v>3673</v>
      </c>
      <c r="AD208" s="4406"/>
      <c r="AE208" s="3032"/>
      <c r="AF208" s="3032"/>
      <c r="AG208" s="3032"/>
      <c r="AH208" s="3032"/>
      <c r="AI208" s="3032"/>
      <c r="AJ208" s="3032"/>
      <c r="AK208" s="3032"/>
      <c r="AL208" s="3032"/>
      <c r="AM208" s="3032"/>
      <c r="AN208" s="3032"/>
      <c r="AO208" s="3032"/>
      <c r="AP208" s="3032"/>
      <c r="AQ208" s="3032"/>
      <c r="AR208" s="3386"/>
      <c r="AS208" s="624"/>
    </row>
    <row r="209" spans="1:62" s="1374" customFormat="1" ht="17.25" customHeight="1" thickBot="1">
      <c r="A209" s="1368"/>
      <c r="B209" s="4243"/>
      <c r="C209" s="4249"/>
      <c r="D209" s="4244"/>
      <c r="E209" s="4243"/>
      <c r="F209" s="4243"/>
      <c r="G209" s="4243"/>
      <c r="H209" s="4243"/>
      <c r="I209" s="4243"/>
      <c r="J209" s="4243"/>
      <c r="K209" s="4243"/>
      <c r="L209" s="4243"/>
      <c r="M209" s="4243"/>
      <c r="N209" s="4243"/>
      <c r="O209" s="4243"/>
      <c r="P209" s="4243"/>
      <c r="Q209" s="4245"/>
      <c r="R209" s="4246"/>
      <c r="S209" s="4243"/>
      <c r="T209" s="4243"/>
      <c r="U209" s="4247"/>
      <c r="V209" s="4247" t="s">
        <v>3461</v>
      </c>
      <c r="W209" s="4247" t="str">
        <f>"("&amp;TaxYear&amp;")"</f>
        <v>(2016)</v>
      </c>
      <c r="X209" s="1372"/>
      <c r="Y209" s="2400"/>
      <c r="Z209" s="614"/>
      <c r="AA209" s="614"/>
      <c r="AB209" s="4402"/>
      <c r="AC209" s="3044"/>
      <c r="AD209" s="3044"/>
      <c r="AE209" s="3044"/>
      <c r="AF209" s="3044"/>
      <c r="AG209" s="3044"/>
      <c r="AH209" s="3044"/>
      <c r="AI209" s="3044"/>
      <c r="AJ209" s="3044"/>
      <c r="AK209" s="3044"/>
      <c r="AL209" s="3044"/>
      <c r="AM209" s="3044"/>
      <c r="AN209" s="3044"/>
      <c r="AO209" s="3044"/>
      <c r="AP209" s="3044"/>
      <c r="AQ209" s="3044"/>
      <c r="AR209" s="4403"/>
      <c r="AS209" s="624"/>
      <c r="AU209"/>
      <c r="AW209"/>
      <c r="AX209"/>
      <c r="AY209"/>
      <c r="AZ209"/>
      <c r="BA209"/>
      <c r="BB209"/>
      <c r="BC209"/>
      <c r="BD209"/>
      <c r="BE209"/>
      <c r="BF209"/>
      <c r="BG209"/>
      <c r="BH209"/>
      <c r="BI209"/>
    </row>
    <row r="210" spans="1:62" s="4316" customFormat="1" ht="24.6" customHeight="1">
      <c r="A210" s="857"/>
      <c r="B210" s="4376" t="s">
        <v>3632</v>
      </c>
      <c r="C210" s="4377"/>
      <c r="D210" s="4377"/>
      <c r="E210" s="4377"/>
      <c r="F210" s="4377"/>
      <c r="G210" s="4377"/>
      <c r="H210" s="4377"/>
      <c r="I210" s="4377"/>
      <c r="J210" s="4377"/>
      <c r="K210" s="4377"/>
      <c r="L210" s="4377"/>
      <c r="M210" s="4377"/>
      <c r="N210" s="4377"/>
      <c r="O210" s="4377"/>
      <c r="P210" s="4377"/>
      <c r="Q210" s="4377"/>
      <c r="R210" s="4377"/>
      <c r="S210" s="4377"/>
      <c r="T210" s="4377"/>
      <c r="U210" s="4377"/>
      <c r="V210" s="4377"/>
      <c r="W210" s="4378"/>
      <c r="X210" s="112"/>
      <c r="Y210" s="2400"/>
      <c r="Z210" s="614"/>
      <c r="AA210" s="614"/>
      <c r="AB210" s="2873"/>
      <c r="AC210" s="3032"/>
      <c r="AD210" s="3032"/>
      <c r="AE210" s="3032"/>
      <c r="AF210" s="3032"/>
      <c r="AG210" s="3032"/>
      <c r="AH210" s="3032"/>
      <c r="AI210" s="3032"/>
      <c r="AJ210" s="3032"/>
      <c r="AK210" s="2879"/>
      <c r="AL210" s="3348"/>
      <c r="AM210" s="3032"/>
      <c r="AN210" s="3032"/>
      <c r="AO210" s="3032"/>
      <c r="AP210" s="3032"/>
      <c r="AQ210" s="3032"/>
      <c r="AR210" s="3033"/>
      <c r="AS210" s="624"/>
      <c r="AU210"/>
      <c r="AW210" s="1374"/>
      <c r="AX210"/>
      <c r="AY210"/>
      <c r="AZ210"/>
      <c r="BA210"/>
      <c r="BB210"/>
      <c r="BC210"/>
      <c r="BD210"/>
      <c r="BE210"/>
      <c r="BF210"/>
      <c r="BG210"/>
      <c r="BH210"/>
      <c r="BI210"/>
      <c r="BJ210" s="4448"/>
    </row>
    <row r="211" spans="1:62" s="4336" customFormat="1" ht="14.25">
      <c r="A211" s="857"/>
      <c r="B211" s="4379" t="s">
        <v>3631</v>
      </c>
      <c r="C211" s="4380"/>
      <c r="D211" s="4380"/>
      <c r="E211" s="4380"/>
      <c r="F211" s="4380"/>
      <c r="G211" s="4380"/>
      <c r="H211" s="4380"/>
      <c r="I211" s="4380"/>
      <c r="J211" s="4380"/>
      <c r="K211" s="4380"/>
      <c r="L211" s="4380"/>
      <c r="M211" s="4380"/>
      <c r="N211" s="4380"/>
      <c r="O211" s="4380"/>
      <c r="P211" s="4380"/>
      <c r="Q211" s="4380"/>
      <c r="R211" s="4380"/>
      <c r="S211" s="4380"/>
      <c r="T211" s="4380"/>
      <c r="U211" s="4380"/>
      <c r="V211" s="4380"/>
      <c r="W211" s="4381"/>
      <c r="X211" s="112"/>
      <c r="Y211" s="2400"/>
      <c r="Z211" s="614"/>
      <c r="AA211" s="614"/>
      <c r="AB211" s="2873"/>
      <c r="AC211" s="3032"/>
      <c r="AD211" s="3032"/>
      <c r="AE211" s="3032"/>
      <c r="AF211" s="3032"/>
      <c r="AG211" s="3032"/>
      <c r="AH211" s="3032"/>
      <c r="AI211" s="5759" t="s">
        <v>1860</v>
      </c>
      <c r="AJ211" s="5760"/>
      <c r="AK211" s="5759" t="s">
        <v>1862</v>
      </c>
      <c r="AL211" s="5760"/>
      <c r="AM211" s="5759" t="s">
        <v>1865</v>
      </c>
      <c r="AN211" s="5761"/>
      <c r="AO211" s="5759" t="s">
        <v>1549</v>
      </c>
      <c r="AP211" s="5760"/>
      <c r="AQ211" s="3032"/>
      <c r="AR211" s="3033"/>
      <c r="AS211" s="624"/>
      <c r="AU211"/>
      <c r="AW211" s="4316"/>
      <c r="AX211"/>
      <c r="AY211"/>
      <c r="AZ211"/>
      <c r="BA211"/>
      <c r="BB211"/>
      <c r="BC211"/>
      <c r="BD211"/>
      <c r="BE211"/>
      <c r="BF211"/>
      <c r="BG211"/>
      <c r="BH211"/>
      <c r="BI211"/>
    </row>
    <row r="212" spans="1:62" s="4336" customFormat="1" ht="14.25">
      <c r="A212" s="857"/>
      <c r="B212" s="4379" t="s">
        <v>3630</v>
      </c>
      <c r="C212" s="4380"/>
      <c r="D212" s="4380"/>
      <c r="E212" s="4380"/>
      <c r="F212" s="4380"/>
      <c r="G212" s="4380"/>
      <c r="H212" s="4380"/>
      <c r="I212" s="4380"/>
      <c r="J212" s="4380"/>
      <c r="K212" s="4380"/>
      <c r="L212" s="4380"/>
      <c r="M212" s="4380"/>
      <c r="N212" s="4380"/>
      <c r="O212" s="4380"/>
      <c r="P212" s="4380"/>
      <c r="Q212" s="4380"/>
      <c r="R212" s="4380"/>
      <c r="S212" s="4380"/>
      <c r="T212" s="4380"/>
      <c r="U212" s="4380"/>
      <c r="V212" s="4380"/>
      <c r="W212" s="4381"/>
      <c r="X212" s="112"/>
      <c r="Y212" s="2400"/>
      <c r="Z212" s="614"/>
      <c r="AA212" s="614"/>
      <c r="AB212" s="2873"/>
      <c r="AC212" s="3032"/>
      <c r="AD212" s="3032"/>
      <c r="AE212" s="3032"/>
      <c r="AF212" s="3032"/>
      <c r="AG212" s="3032"/>
      <c r="AH212" s="3032"/>
      <c r="AI212" s="5757" t="str">
        <f>"1/1/"&amp;TaxYear-2000&amp;"–3/31/"&amp;TaxYear-2000</f>
        <v>1/1/16–3/31/16</v>
      </c>
      <c r="AJ212" s="5758"/>
      <c r="AK212" s="5757" t="str">
        <f>"1/1/"&amp;TaxYear-2000&amp;"–5/31/"&amp;TaxYear-2000</f>
        <v>1/1/16–5/31/16</v>
      </c>
      <c r="AL212" s="5758"/>
      <c r="AM212" s="5757" t="str">
        <f>"1/1/"&amp;TaxYear-2000&amp;"–8/31/"&amp;TaxYear-2000</f>
        <v>1/1/16–8/31/16</v>
      </c>
      <c r="AN212" s="5758"/>
      <c r="AO212" s="5757" t="str">
        <f>"1/1/"&amp;TaxYear-2000&amp;"–12/31/"&amp;TaxYear-2000</f>
        <v>1/1/16–12/31/16</v>
      </c>
      <c r="AP212" s="5758"/>
      <c r="AQ212" s="3032"/>
      <c r="AR212" s="3033"/>
      <c r="AS212" s="624"/>
      <c r="AU212"/>
      <c r="AW212" s="4443"/>
      <c r="AX212"/>
      <c r="AY212"/>
      <c r="AZ212"/>
      <c r="BA212"/>
      <c r="BB212"/>
      <c r="BC212"/>
      <c r="BD212"/>
      <c r="BE212"/>
      <c r="BF212"/>
      <c r="BG212"/>
      <c r="BH212"/>
      <c r="BI212"/>
    </row>
    <row r="213" spans="1:62" s="4336" customFormat="1" ht="14.25">
      <c r="A213" s="857"/>
      <c r="B213" s="4379" t="s">
        <v>3629</v>
      </c>
      <c r="C213" s="4380"/>
      <c r="D213" s="4380"/>
      <c r="E213" s="4380"/>
      <c r="F213" s="4380"/>
      <c r="G213" s="4380"/>
      <c r="H213" s="4380"/>
      <c r="I213" s="4380"/>
      <c r="J213" s="4380"/>
      <c r="K213" s="4380"/>
      <c r="L213" s="4380"/>
      <c r="M213" s="4380"/>
      <c r="N213" s="4380"/>
      <c r="O213" s="4380"/>
      <c r="P213" s="4380"/>
      <c r="Q213" s="4380"/>
      <c r="R213" s="4380"/>
      <c r="S213" s="4380"/>
      <c r="T213" s="4380"/>
      <c r="U213" s="4380"/>
      <c r="V213" s="4380"/>
      <c r="W213" s="4381"/>
      <c r="X213" s="112"/>
      <c r="Y213" s="2400"/>
      <c r="Z213" s="614"/>
      <c r="AA213" s="614"/>
      <c r="AB213" s="2873"/>
      <c r="AC213" s="3032"/>
      <c r="AD213" s="3032"/>
      <c r="AE213" s="3032"/>
      <c r="AF213" s="3032"/>
      <c r="AG213" s="3032"/>
      <c r="AH213" s="3032"/>
      <c r="AI213" s="4407"/>
      <c r="AJ213" s="4408"/>
      <c r="AK213" s="4407"/>
      <c r="AL213" s="4408"/>
      <c r="AM213" s="4407"/>
      <c r="AN213" s="4407"/>
      <c r="AO213" s="4407"/>
      <c r="AP213" s="4408"/>
      <c r="AQ213" s="3032"/>
      <c r="AR213" s="3033"/>
      <c r="AS213" s="624"/>
      <c r="AU213"/>
      <c r="AX213"/>
      <c r="AY213"/>
      <c r="AZ213"/>
      <c r="BA213"/>
      <c r="BB213"/>
      <c r="BC213"/>
      <c r="BD213"/>
      <c r="BE213"/>
      <c r="BF213"/>
      <c r="BG213"/>
      <c r="BH213"/>
      <c r="BI213"/>
    </row>
    <row r="214" spans="1:62" ht="13.5" customHeight="1">
      <c r="A214" s="857"/>
      <c r="B214" s="5729" t="str">
        <f>IF(Q278="","Enter payment information below.","")</f>
        <v>Enter payment information below.</v>
      </c>
      <c r="C214" s="5730"/>
      <c r="D214" s="5730"/>
      <c r="E214" s="5730"/>
      <c r="F214" s="5730"/>
      <c r="G214" s="5730"/>
      <c r="H214" s="5730"/>
      <c r="I214" s="5730"/>
      <c r="J214" s="5730"/>
      <c r="K214" s="5730"/>
      <c r="L214" s="5730"/>
      <c r="M214" s="5730"/>
      <c r="N214" s="5731"/>
      <c r="O214" s="3134"/>
      <c r="P214" s="5774" t="s">
        <v>3508</v>
      </c>
      <c r="Q214" s="5775"/>
      <c r="R214" s="5775"/>
      <c r="S214" s="5775"/>
      <c r="T214" s="5775"/>
      <c r="U214" s="5775"/>
      <c r="V214" s="5775"/>
      <c r="W214" s="5776"/>
      <c r="X214" s="112"/>
      <c r="Y214" s="2400"/>
      <c r="Z214" s="614"/>
      <c r="AA214" s="614"/>
      <c r="AB214" s="4398" t="s">
        <v>476</v>
      </c>
      <c r="AC214" s="2878" t="s">
        <v>3676</v>
      </c>
      <c r="AD214" s="2878"/>
      <c r="AE214" s="3032"/>
      <c r="AF214" s="3032"/>
      <c r="AG214" s="3032"/>
      <c r="AH214" s="3032"/>
      <c r="AI214" s="3032"/>
      <c r="AJ214" s="3032"/>
      <c r="AK214" s="3032"/>
      <c r="AL214" s="3032"/>
      <c r="AM214" s="3032"/>
      <c r="AN214" s="3032"/>
      <c r="AO214" s="3032"/>
      <c r="AP214" s="3032"/>
      <c r="AQ214" s="3032"/>
      <c r="AR214" s="3033"/>
      <c r="AS214" s="624"/>
      <c r="AW214" s="4336"/>
    </row>
    <row r="215" spans="1:62" ht="13.5" customHeight="1">
      <c r="A215" s="857"/>
      <c r="B215" s="5732"/>
      <c r="C215" s="5733"/>
      <c r="D215" s="5733"/>
      <c r="E215" s="5733"/>
      <c r="F215" s="5733"/>
      <c r="G215" s="5733"/>
      <c r="H215" s="5733"/>
      <c r="I215" s="5733"/>
      <c r="J215" s="5733"/>
      <c r="K215" s="5733"/>
      <c r="L215" s="5733"/>
      <c r="M215" s="5733"/>
      <c r="N215" s="5734"/>
      <c r="O215" s="3137"/>
      <c r="P215" s="5777" t="s">
        <v>3510</v>
      </c>
      <c r="Q215" s="5760"/>
      <c r="R215" s="5777" t="s">
        <v>3511</v>
      </c>
      <c r="S215" s="5760"/>
      <c r="T215" s="5759" t="s">
        <v>3628</v>
      </c>
      <c r="U215" s="5761"/>
      <c r="V215" s="5777" t="s">
        <v>3512</v>
      </c>
      <c r="W215" s="5415"/>
      <c r="X215" s="112"/>
      <c r="Y215" s="2400"/>
      <c r="Z215" s="614"/>
      <c r="AA215" s="614"/>
      <c r="AB215" s="2873"/>
      <c r="AC215" s="2878" t="s">
        <v>3677</v>
      </c>
      <c r="AD215" s="2878"/>
      <c r="AE215" s="3032"/>
      <c r="AF215" s="3032"/>
      <c r="AG215" s="3032"/>
      <c r="AH215" s="3032"/>
      <c r="AI215" s="2879" t="s">
        <v>476</v>
      </c>
      <c r="AJ215" s="4410">
        <f>$P$170*'1040'!$AG$37</f>
        <v>0</v>
      </c>
      <c r="AK215" s="2879"/>
      <c r="AL215" s="4410">
        <f>$P$170*'1040'!$AG$37</f>
        <v>0</v>
      </c>
      <c r="AM215" s="2879"/>
      <c r="AN215" s="4410">
        <f>$P$170*'1040'!$AG$37</f>
        <v>0</v>
      </c>
      <c r="AO215" s="2879"/>
      <c r="AP215" s="4410">
        <f>$P$170*'1040'!$AG$37</f>
        <v>0</v>
      </c>
      <c r="AQ215" s="2879"/>
      <c r="AR215" s="3033"/>
      <c r="AS215" s="624"/>
    </row>
    <row r="216" spans="1:62" ht="12" customHeight="1">
      <c r="A216" s="857"/>
      <c r="B216" s="5732"/>
      <c r="C216" s="5733"/>
      <c r="D216" s="5733"/>
      <c r="E216" s="5733"/>
      <c r="F216" s="5733"/>
      <c r="G216" s="5733"/>
      <c r="H216" s="5733"/>
      <c r="I216" s="5733"/>
      <c r="J216" s="5733"/>
      <c r="K216" s="5733"/>
      <c r="L216" s="5733"/>
      <c r="M216" s="5733"/>
      <c r="N216" s="5734"/>
      <c r="O216" s="4333"/>
      <c r="P216" s="5737">
        <f>DATEVALUE("4/15/"&amp;TaxYear)</f>
        <v>42475</v>
      </c>
      <c r="Q216" s="5738"/>
      <c r="R216" s="5739">
        <f>DATEVALUE("6/15/"&amp;TaxYear)</f>
        <v>42536</v>
      </c>
      <c r="S216" s="5740"/>
      <c r="T216" s="5739">
        <f>DATEVALUE("9/15/"&amp;TaxYear)</f>
        <v>42628</v>
      </c>
      <c r="U216" s="5740"/>
      <c r="V216" s="5739">
        <f>DATEVALUE("1/15/"&amp;TaxYear+1)</f>
        <v>42750</v>
      </c>
      <c r="W216" s="5740"/>
      <c r="X216" s="112"/>
      <c r="Y216" s="2400"/>
      <c r="Z216" s="614"/>
      <c r="AA216" s="614"/>
      <c r="AB216" s="2873"/>
      <c r="AC216" s="3032"/>
      <c r="AD216" s="3032"/>
      <c r="AE216" s="3032"/>
      <c r="AF216" s="3032"/>
      <c r="AG216" s="3032"/>
      <c r="AH216" s="3032"/>
      <c r="AI216" s="2879"/>
      <c r="AJ216" s="3348"/>
      <c r="AK216" s="2879"/>
      <c r="AL216" s="3348"/>
      <c r="AM216" s="3032"/>
      <c r="AN216" s="3348"/>
      <c r="AO216" s="3032"/>
      <c r="AP216" s="3348"/>
      <c r="AQ216" s="3032"/>
      <c r="AR216" s="3033"/>
      <c r="AS216" s="624"/>
    </row>
    <row r="217" spans="1:62" ht="13.5" customHeight="1">
      <c r="A217" s="857"/>
      <c r="B217" s="4382"/>
      <c r="C217" s="4337" t="s">
        <v>3635</v>
      </c>
      <c r="D217" s="4338" t="s">
        <v>3633</v>
      </c>
      <c r="E217" s="4339"/>
      <c r="F217" s="4339"/>
      <c r="G217" s="4339"/>
      <c r="H217" s="4339"/>
      <c r="I217" s="4339"/>
      <c r="J217" s="4339"/>
      <c r="K217" s="4339"/>
      <c r="L217" s="4339"/>
      <c r="M217" s="4339"/>
      <c r="N217" s="4340"/>
      <c r="O217" s="4344" t="s">
        <v>18</v>
      </c>
      <c r="P217" s="5723" t="str">
        <f>P138</f>
        <v/>
      </c>
      <c r="Q217" s="5724"/>
      <c r="R217" s="5723" t="str">
        <f>R138</f>
        <v/>
      </c>
      <c r="S217" s="5724"/>
      <c r="T217" s="5723" t="str">
        <f>T138</f>
        <v/>
      </c>
      <c r="U217" s="5724"/>
      <c r="V217" s="5723" t="str">
        <f>V138</f>
        <v/>
      </c>
      <c r="W217" s="5768"/>
      <c r="X217" s="112"/>
      <c r="Y217" s="2400"/>
      <c r="Z217" s="614"/>
      <c r="AA217" s="614"/>
      <c r="AB217" s="4398" t="s">
        <v>0</v>
      </c>
      <c r="AC217" s="3032" t="s">
        <v>3657</v>
      </c>
      <c r="AD217" s="3032"/>
      <c r="AE217" s="3032"/>
      <c r="AF217" s="3032"/>
      <c r="AG217" s="3032"/>
      <c r="AH217" s="3032"/>
      <c r="AI217" s="2879" t="s">
        <v>0</v>
      </c>
      <c r="AJ217" s="4410" t="str">
        <f>P158</f>
        <v/>
      </c>
      <c r="AK217" s="3032"/>
      <c r="AL217" s="4410" t="str">
        <f>R158</f>
        <v/>
      </c>
      <c r="AM217" s="3032"/>
      <c r="AN217" s="4410" t="str">
        <f>T158</f>
        <v/>
      </c>
      <c r="AO217" s="3032"/>
      <c r="AP217" s="4410" t="str">
        <f>V158</f>
        <v/>
      </c>
      <c r="AQ217" s="3032"/>
      <c r="AR217" s="3033"/>
      <c r="AS217" s="624"/>
    </row>
    <row r="218" spans="1:62" ht="12.6" customHeight="1">
      <c r="A218" s="857"/>
      <c r="B218" s="4383"/>
      <c r="C218" s="4319"/>
      <c r="D218" s="5878" t="s">
        <v>3636</v>
      </c>
      <c r="E218" s="5879"/>
      <c r="F218" s="5879"/>
      <c r="G218" s="5879"/>
      <c r="H218" s="5879"/>
      <c r="I218" s="5879"/>
      <c r="J218" s="5879"/>
      <c r="K218" s="5879"/>
      <c r="L218" s="5879"/>
      <c r="M218" s="5879"/>
      <c r="N218" s="5880"/>
      <c r="O218" s="4334"/>
      <c r="P218" s="5792">
        <f>IF(ISERROR(LOOKUP(P219,$O$278:$O$332,$Q$278:$Q$332)),"",LOOKUP(P219,$O$278:$O$332,$Q$278:$Q$332))</f>
        <v>0</v>
      </c>
      <c r="Q218" s="5769"/>
      <c r="R218" s="5769" t="str">
        <f>IF(ISERROR(LOOKUP(R219,$O$278:$O$332,$Q$278:$Q$332)),"",LOOKUP(R219,$O$278:$O$332,$Q$278:$Q$332))</f>
        <v/>
      </c>
      <c r="S218" s="5769"/>
      <c r="T218" s="5769" t="str">
        <f>IF(ISERROR(LOOKUP(T219,$O$278:$O$332,$Q$278:$Q$332)),"",LOOKUP(T219,$O$278:$O$332,$Q$278:$Q$332))</f>
        <v/>
      </c>
      <c r="U218" s="5769"/>
      <c r="V218" s="5769" t="str">
        <f>IF(ISERROR(LOOKUP(V219,$O$278:$O$332,$Q$278:$Q$332)),"",LOOKUP(V219,$O$278:$O$332,$Q$278:$Q$332))</f>
        <v/>
      </c>
      <c r="W218" s="5770"/>
      <c r="X218" s="112"/>
      <c r="Y218" s="2400"/>
      <c r="Z218" s="614"/>
      <c r="AA218" s="614"/>
      <c r="AB218" s="2873"/>
      <c r="AC218" s="3032"/>
      <c r="AD218" s="3032"/>
      <c r="AE218" s="3032"/>
      <c r="AF218" s="3032"/>
      <c r="AG218" s="3032"/>
      <c r="AH218" s="3032"/>
      <c r="AI218" s="3032"/>
      <c r="AJ218" s="4393" t="b">
        <f>IF(AJ217&gt;AJ226,TRUE,FALSE)</f>
        <v>0</v>
      </c>
      <c r="AK218" s="4393"/>
      <c r="AL218" s="4393" t="b">
        <f>IF(AL217&gt;AL226,TRUE,FALSE)</f>
        <v>0</v>
      </c>
      <c r="AM218" s="4393"/>
      <c r="AN218" s="4393" t="b">
        <f>IF(AN217&gt;AN226,TRUE,FALSE)</f>
        <v>0</v>
      </c>
      <c r="AO218" s="4393"/>
      <c r="AP218" s="4393" t="b">
        <f>IF(AP217&gt;AP226,TRUE,FALSE)</f>
        <v>0</v>
      </c>
      <c r="AQ218" s="3032"/>
      <c r="AR218" s="3033"/>
      <c r="AS218" s="624"/>
    </row>
    <row r="219" spans="1:62" ht="12.6" customHeight="1">
      <c r="A219" s="857"/>
      <c r="B219" s="4384"/>
      <c r="C219" s="4343" t="s">
        <v>21</v>
      </c>
      <c r="D219" s="5787"/>
      <c r="E219" s="5787"/>
      <c r="F219" s="5787"/>
      <c r="G219" s="5787"/>
      <c r="H219" s="5787"/>
      <c r="I219" s="5787"/>
      <c r="J219" s="5787"/>
      <c r="K219" s="5787"/>
      <c r="L219" s="5787"/>
      <c r="M219" s="5787"/>
      <c r="N219" s="5788"/>
      <c r="O219" s="4345"/>
      <c r="P219" s="5725">
        <f>IF(LOOKUP(P220,$U$278:$U$332,$U$278:$U$332)=P220,LOOKUP(P220,$U$278:$U$332,$O$278:$O$332),LOOKUP(P220,$U$278:$U$332,$O$278:$O$332)+1)</f>
        <v>332</v>
      </c>
      <c r="Q219" s="5725"/>
      <c r="R219" s="5725" t="e">
        <f>IF(LOOKUP(R220,$U$278:$U$332,$U$278:$U$332)=R220,LOOKUP(R220,$U$278:$U$332,$O$278:$O$332),LOOKUP(R220,$U$278:$U$332,$O$278:$O$332)+1)</f>
        <v>#N/A</v>
      </c>
      <c r="S219" s="5725"/>
      <c r="T219" s="5725" t="e">
        <f>IF(LOOKUP(T220,$U$278:$U$332,$U$278:$U$332)=T220,LOOKUP(T220,$U$278:$U$332,$O$278:$O$332),LOOKUP(T220,$U$278:$U$332,$O$278:$O$332)+1)</f>
        <v>#N/A</v>
      </c>
      <c r="U219" s="5725"/>
      <c r="V219" s="5725" t="e">
        <f>IF(LOOKUP(V220,$U$278:$U$332,$U$278:$U$332)=V220,LOOKUP(V220,$U$278:$U$332,$O$278:$O$332),LOOKUP(V220,$U$278:$U$332,$O$278:$O$332)+1)</f>
        <v>#N/A</v>
      </c>
      <c r="W219" s="5771"/>
      <c r="X219" s="112"/>
      <c r="Y219" s="2400"/>
      <c r="Z219" s="614"/>
      <c r="AA219" s="614"/>
      <c r="AB219" s="4398" t="s">
        <v>1</v>
      </c>
      <c r="AC219" s="3032" t="s">
        <v>1207</v>
      </c>
      <c r="AD219" s="3032"/>
      <c r="AE219" s="3032"/>
      <c r="AF219" s="3032"/>
      <c r="AG219" s="3032"/>
      <c r="AH219" s="3032"/>
      <c r="AI219" s="3032"/>
      <c r="AJ219" s="3032"/>
      <c r="AK219" s="3032"/>
      <c r="AL219" s="3032"/>
      <c r="AM219" s="3032"/>
      <c r="AN219" s="3032"/>
      <c r="AO219" s="3032"/>
      <c r="AP219" s="3032"/>
      <c r="AQ219" s="3032"/>
      <c r="AR219" s="3033"/>
      <c r="AS219" s="624"/>
    </row>
    <row r="220" spans="1:62" ht="12.6" customHeight="1">
      <c r="A220" s="857"/>
      <c r="B220" s="4384"/>
      <c r="C220" s="4342"/>
      <c r="D220" s="5787"/>
      <c r="E220" s="5787"/>
      <c r="F220" s="5787"/>
      <c r="G220" s="5787"/>
      <c r="H220" s="5787"/>
      <c r="I220" s="5787"/>
      <c r="J220" s="5787"/>
      <c r="K220" s="5787"/>
      <c r="L220" s="5787"/>
      <c r="M220" s="5787"/>
      <c r="N220" s="5788"/>
      <c r="O220" s="4345"/>
      <c r="P220" s="5728" t="str">
        <f>P217</f>
        <v/>
      </c>
      <c r="Q220" s="5725"/>
      <c r="R220" s="5725">
        <f>SUM(P217,R217)</f>
        <v>0</v>
      </c>
      <c r="S220" s="5725"/>
      <c r="T220" s="5725">
        <f>SUM(P217,R217,T217)</f>
        <v>0</v>
      </c>
      <c r="U220" s="5725"/>
      <c r="V220" s="5725">
        <f>SUM(P217,R217,T217,V217)</f>
        <v>0</v>
      </c>
      <c r="W220" s="5771"/>
      <c r="X220" s="112"/>
      <c r="Y220" s="2400"/>
      <c r="Z220" s="614"/>
      <c r="AA220" s="614"/>
      <c r="AB220" s="2873"/>
      <c r="AC220" s="3032" t="s">
        <v>3658</v>
      </c>
      <c r="AD220" s="3032"/>
      <c r="AE220" s="3032"/>
      <c r="AF220" s="3032"/>
      <c r="AG220" s="3032"/>
      <c r="AH220" s="3032"/>
      <c r="AI220" s="3032"/>
      <c r="AJ220" s="3032"/>
      <c r="AK220" s="3032"/>
      <c r="AL220" s="3032"/>
      <c r="AM220" s="3032"/>
      <c r="AN220" s="3032"/>
      <c r="AO220" s="3032"/>
      <c r="AP220" s="3032"/>
      <c r="AQ220" s="3032"/>
      <c r="AR220" s="3033"/>
      <c r="AS220" s="624"/>
    </row>
    <row r="221" spans="1:62" ht="12.6" customHeight="1">
      <c r="A221" s="857"/>
      <c r="B221" s="4384"/>
      <c r="C221" s="4342"/>
      <c r="D221" s="5787"/>
      <c r="E221" s="5787"/>
      <c r="F221" s="5787"/>
      <c r="G221" s="5787"/>
      <c r="H221" s="5787"/>
      <c r="I221" s="5787"/>
      <c r="J221" s="5787"/>
      <c r="K221" s="5787"/>
      <c r="L221" s="5787"/>
      <c r="M221" s="5787"/>
      <c r="N221" s="5788"/>
      <c r="O221" s="4345"/>
      <c r="P221" s="4496"/>
      <c r="Q221" s="4494"/>
      <c r="R221" s="4495"/>
      <c r="S221" s="4495"/>
      <c r="T221" s="4495"/>
      <c r="U221" s="4495"/>
      <c r="V221" s="5762"/>
      <c r="W221" s="5763"/>
      <c r="X221" s="112"/>
      <c r="Y221" s="2400"/>
      <c r="Z221" s="614"/>
      <c r="AA221" s="614"/>
      <c r="AB221" s="2873"/>
      <c r="AC221" s="4399" t="s">
        <v>198</v>
      </c>
      <c r="AD221" s="4399"/>
      <c r="AE221" s="4400">
        <v>311300</v>
      </c>
      <c r="AF221" s="2878" t="s">
        <v>3659</v>
      </c>
      <c r="AG221" s="2878"/>
      <c r="AH221" s="2878"/>
      <c r="AI221" s="3032"/>
      <c r="AJ221" s="3032"/>
      <c r="AK221" s="3032"/>
      <c r="AL221" s="3032"/>
      <c r="AM221" s="3032"/>
      <c r="AN221" s="3032"/>
      <c r="AO221" s="3032"/>
      <c r="AP221" s="3032"/>
      <c r="AQ221" s="3032"/>
      <c r="AR221" s="3033"/>
      <c r="AS221" s="624"/>
    </row>
    <row r="222" spans="1:62" ht="12.6" customHeight="1">
      <c r="A222" s="857"/>
      <c r="B222" s="4384"/>
      <c r="C222" s="4342"/>
      <c r="D222" s="5787"/>
      <c r="E222" s="5787"/>
      <c r="F222" s="5787"/>
      <c r="G222" s="5787"/>
      <c r="H222" s="5787"/>
      <c r="I222" s="5787"/>
      <c r="J222" s="5787"/>
      <c r="K222" s="5787"/>
      <c r="L222" s="5787"/>
      <c r="M222" s="5787"/>
      <c r="N222" s="5788"/>
      <c r="O222" s="4345"/>
      <c r="P222" s="5793">
        <f>MAX(Q228,Q238,Q248,Q258)</f>
        <v>0</v>
      </c>
      <c r="Q222" s="5794"/>
      <c r="R222" s="5793">
        <f>MAX(S228,S238,S248,S258)</f>
        <v>42840</v>
      </c>
      <c r="S222" s="5794"/>
      <c r="T222" s="5793">
        <f>MAX(U228,U238,U248,U258)</f>
        <v>42840</v>
      </c>
      <c r="U222" s="5794"/>
      <c r="V222" s="5764" t="str">
        <f>V218</f>
        <v/>
      </c>
      <c r="W222" s="5765"/>
      <c r="X222" s="112"/>
      <c r="Y222" s="2400"/>
      <c r="Z222" s="614"/>
      <c r="AA222" s="614"/>
      <c r="AB222" s="2873"/>
      <c r="AC222" s="3032"/>
      <c r="AD222" s="3032"/>
      <c r="AE222" s="3032" t="s">
        <v>3660</v>
      </c>
      <c r="AF222" s="3032"/>
      <c r="AG222" s="3032"/>
      <c r="AH222" s="3032"/>
      <c r="AI222" s="3032"/>
      <c r="AJ222" s="3032"/>
      <c r="AK222" s="3032"/>
      <c r="AL222" s="3032"/>
      <c r="AM222" s="3032"/>
      <c r="AN222" s="3032"/>
      <c r="AO222" s="3032"/>
      <c r="AP222" s="3032"/>
      <c r="AQ222" s="3032"/>
      <c r="AR222" s="3033"/>
      <c r="AS222" s="624"/>
    </row>
    <row r="223" spans="1:62" ht="12.6" customHeight="1">
      <c r="A223" s="857"/>
      <c r="B223" s="4385"/>
      <c r="C223" s="4335"/>
      <c r="D223" s="5881"/>
      <c r="E223" s="5881"/>
      <c r="F223" s="5881"/>
      <c r="G223" s="5881"/>
      <c r="H223" s="5881"/>
      <c r="I223" s="5881"/>
      <c r="J223" s="5881"/>
      <c r="K223" s="5881"/>
      <c r="L223" s="5881"/>
      <c r="M223" s="5881"/>
      <c r="N223" s="5882"/>
      <c r="O223" s="4346" t="s">
        <v>3634</v>
      </c>
      <c r="P223" s="5766" t="str">
        <f>IF(ISERROR(MIN(P217,LOOKUP(P222,$Q$278:$Q$332,$U$278:$U$332))),"",MIN(P217,LOOKUP(P222,$Q$278:$Q$332,$U$278:$U$332)))</f>
        <v/>
      </c>
      <c r="Q223" s="5767"/>
      <c r="R223" s="5766" t="str">
        <f>IF(ISERROR(MIN(R217,LOOKUP(R222,$Q$278:$Q$332,$U$278:$U$332))),"",MIN(R217,LOOKUP(R222,$Q$278:$Q$332,$U$278:$U$332)))</f>
        <v/>
      </c>
      <c r="S223" s="5767"/>
      <c r="T223" s="5766" t="str">
        <f>IF(ISERROR(MIN(T217,LOOKUP(T222,$Q$278:$Q$332,$U$278:$U$332))),"",MIN(T217,LOOKUP(T222,$Q$278:$Q$332,$U$278:$U$332)))</f>
        <v/>
      </c>
      <c r="U223" s="5767"/>
      <c r="V223" s="5766" t="str">
        <f>IF(ISERROR(MIN(V217,LOOKUP(V222,$Q$278:$Q$332,$U$278:$U$332))),"",MIN(V217,LOOKUP(V222,$Q$278:$Q$332,$U$278:$U$332)))</f>
        <v/>
      </c>
      <c r="W223" s="5767"/>
      <c r="X223" s="112"/>
      <c r="Y223" s="2400"/>
      <c r="Z223" s="614"/>
      <c r="AA223" s="614"/>
      <c r="AB223" s="2873"/>
      <c r="AC223" s="4399" t="s">
        <v>198</v>
      </c>
      <c r="AD223" s="4399"/>
      <c r="AE223" s="4400">
        <v>285350</v>
      </c>
      <c r="AF223" s="2878" t="s">
        <v>3661</v>
      </c>
      <c r="AG223" s="2878"/>
      <c r="AH223" s="2878"/>
      <c r="AI223" s="3032"/>
      <c r="AJ223" s="3032"/>
      <c r="AK223" s="3032"/>
      <c r="AL223" s="3032"/>
      <c r="AM223" s="3032"/>
      <c r="AN223" s="3032"/>
      <c r="AO223" s="3032"/>
      <c r="AP223" s="3032"/>
      <c r="AQ223" s="3032"/>
      <c r="AR223" s="3033"/>
      <c r="AS223" s="624"/>
    </row>
    <row r="224" spans="1:62" s="4374" customFormat="1" ht="20.100000000000001" customHeight="1">
      <c r="A224" s="4371"/>
      <c r="B224" s="4384"/>
      <c r="C224" s="4347" t="s">
        <v>3708</v>
      </c>
      <c r="D224" s="4347"/>
      <c r="E224" s="4342"/>
      <c r="F224" s="4347" t="str">
        <f>TEXT(K225,"MMMM D, YYYY")&amp;"—"&amp;TEXT(K226,"MMMM D, YYYY")</f>
        <v>April 16, 2016—June 30, 2016</v>
      </c>
      <c r="G224" s="4342"/>
      <c r="H224" s="4342"/>
      <c r="I224" s="4342"/>
      <c r="J224" s="4342"/>
      <c r="K224" s="4342"/>
      <c r="L224" s="4342"/>
      <c r="M224" s="4342"/>
      <c r="N224" s="4348"/>
      <c r="O224" s="4372"/>
      <c r="P224" s="5789"/>
      <c r="Q224" s="5790"/>
      <c r="R224" s="5789"/>
      <c r="S224" s="5790"/>
      <c r="T224" s="4363"/>
      <c r="U224" s="4364"/>
      <c r="V224" s="4367"/>
      <c r="W224" s="4368"/>
      <c r="X224" s="4373"/>
      <c r="Y224" s="2400"/>
      <c r="Z224" s="614"/>
      <c r="AA224" s="614"/>
      <c r="AB224" s="2873"/>
      <c r="AC224" s="4399" t="s">
        <v>198</v>
      </c>
      <c r="AD224" s="4399"/>
      <c r="AE224" s="4400">
        <v>259400</v>
      </c>
      <c r="AF224" s="2878" t="s">
        <v>3662</v>
      </c>
      <c r="AG224" s="2878"/>
      <c r="AH224" s="2878"/>
      <c r="AI224" s="3032"/>
      <c r="AJ224" s="3032"/>
      <c r="AK224" s="3032"/>
      <c r="AL224" s="3032"/>
      <c r="AM224" s="3032"/>
      <c r="AN224" s="3032"/>
      <c r="AO224" s="3032"/>
      <c r="AP224" s="3032"/>
      <c r="AQ224" s="3032"/>
      <c r="AR224" s="3033"/>
      <c r="AS224" s="624"/>
      <c r="AX224"/>
      <c r="AY224"/>
      <c r="AZ224"/>
      <c r="BA224"/>
      <c r="BB224"/>
      <c r="BC224"/>
      <c r="BD224"/>
      <c r="BE224"/>
      <c r="BF224"/>
      <c r="BG224"/>
      <c r="BH224"/>
      <c r="BI224"/>
    </row>
    <row r="225" spans="1:61" s="3" customFormat="1" ht="12.6" customHeight="1">
      <c r="A225" s="936"/>
      <c r="B225" s="4384"/>
      <c r="C225" s="4351">
        <v>2</v>
      </c>
      <c r="D225" s="4353" t="s">
        <v>3637</v>
      </c>
      <c r="E225" s="4342"/>
      <c r="F225" s="4342"/>
      <c r="G225" s="4342"/>
      <c r="H225" s="4342"/>
      <c r="I225" s="4342"/>
      <c r="J225" s="4342"/>
      <c r="K225" s="5720">
        <f>DATEVALUE("4/16/"&amp;TaxYear)</f>
        <v>42476</v>
      </c>
      <c r="L225" s="5721"/>
      <c r="M225" s="5721"/>
      <c r="N225" s="5722"/>
      <c r="O225" s="4355" t="s">
        <v>244</v>
      </c>
      <c r="P225" s="5782">
        <f>P216</f>
        <v>42475</v>
      </c>
      <c r="Q225" s="5783"/>
      <c r="R225" s="5782">
        <f>R216</f>
        <v>42536</v>
      </c>
      <c r="S225" s="5783"/>
      <c r="T225" s="4367"/>
      <c r="U225" s="4368"/>
      <c r="V225" s="4367"/>
      <c r="W225" s="4368"/>
      <c r="X225" s="130"/>
      <c r="Y225" s="2400"/>
      <c r="Z225" s="614"/>
      <c r="AA225" s="614"/>
      <c r="AB225" s="2873"/>
      <c r="AC225" s="4399" t="s">
        <v>198</v>
      </c>
      <c r="AD225" s="4399"/>
      <c r="AE225" s="4400">
        <v>155650</v>
      </c>
      <c r="AF225" s="2878" t="s">
        <v>3663</v>
      </c>
      <c r="AG225" s="2878"/>
      <c r="AH225" s="2878"/>
      <c r="AI225" s="3032"/>
      <c r="AJ225" s="3032"/>
      <c r="AK225" s="3032"/>
      <c r="AL225" s="3032"/>
      <c r="AM225" s="3032"/>
      <c r="AN225" s="3032"/>
      <c r="AO225" s="3032"/>
      <c r="AP225" s="3032"/>
      <c r="AQ225" s="3032"/>
      <c r="AR225" s="3033"/>
      <c r="AS225" s="624"/>
      <c r="AX225"/>
      <c r="AY225"/>
      <c r="AZ225"/>
      <c r="BA225"/>
      <c r="BB225"/>
      <c r="BC225"/>
      <c r="BD225"/>
      <c r="BE225"/>
      <c r="BF225"/>
      <c r="BG225"/>
      <c r="BH225"/>
      <c r="BI225"/>
    </row>
    <row r="226" spans="1:61" s="3" customFormat="1" ht="12.6" customHeight="1">
      <c r="A226" s="936"/>
      <c r="B226" s="4384"/>
      <c r="C226" s="4446"/>
      <c r="D226" s="4446"/>
      <c r="E226" s="4446"/>
      <c r="F226" s="4446"/>
      <c r="G226" s="4446"/>
      <c r="H226" s="4446"/>
      <c r="I226" s="4446"/>
      <c r="J226" s="4446"/>
      <c r="K226" s="5720">
        <f>DATEVALUE("6/30/"&amp;TaxYear)</f>
        <v>42551</v>
      </c>
      <c r="L226" s="5721"/>
      <c r="M226" s="5721"/>
      <c r="N226" s="5722"/>
      <c r="O226" s="4345"/>
      <c r="P226" s="5784" t="s">
        <v>3638</v>
      </c>
      <c r="Q226" s="5785"/>
      <c r="R226" s="5784" t="s">
        <v>3638</v>
      </c>
      <c r="S226" s="5791"/>
      <c r="T226" s="4367"/>
      <c r="U226" s="4368"/>
      <c r="V226" s="4367"/>
      <c r="W226" s="4368"/>
      <c r="X226" s="130"/>
      <c r="Y226" s="2400"/>
      <c r="Z226" s="614"/>
      <c r="AA226" s="614"/>
      <c r="AB226" s="2873"/>
      <c r="AC226" s="3032"/>
      <c r="AD226" s="3032"/>
      <c r="AE226" s="3032" t="s">
        <v>942</v>
      </c>
      <c r="AF226" s="3032"/>
      <c r="AG226" s="3032"/>
      <c r="AH226" s="3032"/>
      <c r="AI226" s="2879" t="s">
        <v>1</v>
      </c>
      <c r="AJ226" s="4410" t="str">
        <f>IF(OR(File_Marr_Joint&lt;&gt;"",File_Qual_Widow&lt;&gt;""),AE221,IF(File_Head&lt;&gt;"",AE223,IF(File_Single&lt;&gt;"",AE224,IF(File_Marr_Sep&lt;&gt;"",AE225,""))))</f>
        <v/>
      </c>
      <c r="AK226" s="3032"/>
      <c r="AL226" s="4410" t="str">
        <f>IF(OR(File_Marr_Joint&lt;&gt;"",File_Qual_Widow&lt;&gt;""),AE221,IF(File_Head&lt;&gt;"",AE223,IF(File_Single&lt;&gt;"",AE224,IF(File_Marr_Sep&lt;&gt;"",AE225,""))))</f>
        <v/>
      </c>
      <c r="AM226" s="3032"/>
      <c r="AN226" s="4410" t="str">
        <f>IF(OR(File_Marr_Joint&lt;&gt;"",File_Qual_Widow&lt;&gt;""),AE221,IF(File_Head&lt;&gt;"",AE223,IF(File_Single&lt;&gt;"",AE224,IF(File_Marr_Sep&lt;&gt;"",AE225,""))))</f>
        <v/>
      </c>
      <c r="AO226" s="3032"/>
      <c r="AP226" s="4410" t="str">
        <f>IF(OR(File_Marr_Joint&lt;&gt;"",File_Qual_Widow&lt;&gt;""),AE221,IF(File_Head&lt;&gt;"",AE223,IF(File_Single&lt;&gt;"",AE224,IF(File_Marr_Sep&lt;&gt;"",AE225,""))))</f>
        <v/>
      </c>
      <c r="AQ226" s="3032"/>
      <c r="AR226" s="3033"/>
      <c r="AS226" s="624"/>
      <c r="AX226"/>
      <c r="AY226"/>
      <c r="AZ226"/>
      <c r="BA226"/>
      <c r="BB226"/>
      <c r="BC226"/>
      <c r="BD226"/>
      <c r="BE226"/>
      <c r="BF226"/>
      <c r="BG226"/>
      <c r="BH226"/>
      <c r="BI226"/>
    </row>
    <row r="227" spans="1:61" s="3" customFormat="1" ht="12.6" customHeight="1">
      <c r="A227" s="936"/>
      <c r="B227" s="4384"/>
      <c r="C227" s="4342"/>
      <c r="D227" s="4342"/>
      <c r="E227" s="4342"/>
      <c r="F227" s="4342"/>
      <c r="G227" s="4342"/>
      <c r="H227" s="4342"/>
      <c r="I227" s="4342"/>
      <c r="J227" s="4342"/>
      <c r="K227" s="4342"/>
      <c r="L227" s="4342"/>
      <c r="M227" s="4342"/>
      <c r="N227" s="4348"/>
      <c r="O227" s="4345"/>
      <c r="P227" s="4320"/>
      <c r="Q227" s="4437"/>
      <c r="R227" s="4429"/>
      <c r="S227" s="4437"/>
      <c r="T227" s="4367"/>
      <c r="U227" s="4368"/>
      <c r="V227" s="4367"/>
      <c r="W227" s="4368"/>
      <c r="X227" s="130"/>
      <c r="Y227" s="2400"/>
      <c r="Z227" s="614"/>
      <c r="AA227" s="614"/>
      <c r="AB227" s="2873"/>
      <c r="AC227" s="3032"/>
      <c r="AD227" s="3032"/>
      <c r="AE227" s="3032"/>
      <c r="AF227" s="3032"/>
      <c r="AG227" s="3032"/>
      <c r="AH227" s="3032"/>
      <c r="AI227" s="3032"/>
      <c r="AJ227" s="3032"/>
      <c r="AK227" s="3032"/>
      <c r="AL227" s="3032"/>
      <c r="AM227" s="3032"/>
      <c r="AN227" s="3032"/>
      <c r="AO227" s="3032"/>
      <c r="AP227" s="3032"/>
      <c r="AQ227" s="3032"/>
      <c r="AR227" s="3033"/>
      <c r="AS227" s="624"/>
      <c r="AX227"/>
      <c r="AY227"/>
      <c r="AZ227"/>
      <c r="BA227"/>
      <c r="BB227"/>
      <c r="BC227"/>
      <c r="BD227"/>
      <c r="BE227"/>
      <c r="BF227"/>
      <c r="BG227"/>
      <c r="BH227"/>
      <c r="BI227"/>
    </row>
    <row r="228" spans="1:61" s="3" customFormat="1" ht="12.6" customHeight="1">
      <c r="A228" s="936"/>
      <c r="B228" s="4384"/>
      <c r="C228" s="4351">
        <v>3</v>
      </c>
      <c r="D228" s="4352" t="s">
        <v>3639</v>
      </c>
      <c r="E228" s="4342"/>
      <c r="F228" s="4342"/>
      <c r="G228" s="4342"/>
      <c r="H228" s="4342"/>
      <c r="I228" s="4342"/>
      <c r="J228" s="4342"/>
      <c r="K228" s="4342"/>
      <c r="L228" s="4342"/>
      <c r="M228" s="4342"/>
      <c r="N228" s="4348"/>
      <c r="O228" s="4345"/>
      <c r="P228" s="4445"/>
      <c r="Q228" s="4451">
        <f>IF(P$218&gt;$K226,$K226,P$218)</f>
        <v>0</v>
      </c>
      <c r="R228" s="4349"/>
      <c r="S228" s="4451">
        <f>IF(R$218&gt;$K226,$K226,R$218)</f>
        <v>42551</v>
      </c>
      <c r="T228" s="4367"/>
      <c r="U228" s="4368"/>
      <c r="V228" s="4367"/>
      <c r="W228" s="4368"/>
      <c r="X228" s="130"/>
      <c r="Y228" s="2400"/>
      <c r="Z228" s="614"/>
      <c r="AA228" s="614"/>
      <c r="AB228" s="4398" t="s">
        <v>642</v>
      </c>
      <c r="AC228" s="3032" t="s">
        <v>3123</v>
      </c>
      <c r="AD228" s="3032"/>
      <c r="AE228" s="3032"/>
      <c r="AF228" s="3032"/>
      <c r="AG228" s="3032"/>
      <c r="AH228" s="3032"/>
      <c r="AI228" s="2879" t="s">
        <v>642</v>
      </c>
      <c r="AJ228" s="4410" t="str">
        <f>IF(OR(AJ217="",AJ226=""),"",SUM(AJ217,-AJ226))</f>
        <v/>
      </c>
      <c r="AK228" s="3032"/>
      <c r="AL228" s="4410" t="str">
        <f>IF(OR(AL217="",AL226=""),"",SUM(AL217,-AL226))</f>
        <v/>
      </c>
      <c r="AM228" s="3032"/>
      <c r="AN228" s="4410" t="str">
        <f>IF(OR(AN217="",AN226=""),"",SUM(AN217,-AN226))</f>
        <v/>
      </c>
      <c r="AO228" s="3032"/>
      <c r="AP228" s="4410" t="str">
        <f>IF(OR(AP217="",AP226=""),"",SUM(AP217,-AP226))</f>
        <v/>
      </c>
      <c r="AQ228" s="3032"/>
      <c r="AR228" s="3033"/>
      <c r="AS228" s="624"/>
      <c r="AX228"/>
      <c r="AY228"/>
      <c r="AZ228"/>
      <c r="BA228"/>
      <c r="BB228"/>
      <c r="BC228"/>
      <c r="BD228"/>
      <c r="BE228"/>
      <c r="BF228"/>
      <c r="BG228"/>
      <c r="BH228"/>
      <c r="BI228"/>
    </row>
    <row r="229" spans="1:61" s="3" customFormat="1" ht="12.6" customHeight="1">
      <c r="A229" s="936"/>
      <c r="B229" s="4384"/>
      <c r="C229" s="4342"/>
      <c r="D229" s="4352" t="s">
        <v>3728</v>
      </c>
      <c r="E229" s="4342"/>
      <c r="F229" s="4342"/>
      <c r="G229" s="4352" t="str">
        <f>TEXT(K226,"M/D/YY")&amp;", whichever is earlier"</f>
        <v>6/30/16, whichever is earlier</v>
      </c>
      <c r="H229" s="4342"/>
      <c r="I229" s="4342"/>
      <c r="J229" s="4342"/>
      <c r="K229" s="4342"/>
      <c r="L229" s="4342"/>
      <c r="M229" s="4342"/>
      <c r="N229" s="4362" t="s">
        <v>1379</v>
      </c>
      <c r="O229" s="4360">
        <v>3</v>
      </c>
      <c r="P229" s="5778" t="str">
        <f>IF(P233=0,"",IF(Q228-P225&lt;0,0,Q228-P225))</f>
        <v/>
      </c>
      <c r="Q229" s="5779"/>
      <c r="R229" s="5778" t="str">
        <f>IF(R233=0,"",IF(S228-R225&lt;0,0,S228-R225))</f>
        <v/>
      </c>
      <c r="S229" s="5779"/>
      <c r="T229" s="4367"/>
      <c r="U229" s="4368"/>
      <c r="V229" s="4367"/>
      <c r="W229" s="4368"/>
      <c r="X229" s="130"/>
      <c r="Y229" s="2400"/>
      <c r="Z229" s="614"/>
      <c r="AA229" s="614"/>
      <c r="AB229" s="2873"/>
      <c r="AC229" s="3032"/>
      <c r="AD229" s="3032"/>
      <c r="AE229" s="3032"/>
      <c r="AF229" s="3032"/>
      <c r="AG229" s="3032"/>
      <c r="AH229" s="3032"/>
      <c r="AI229" s="3032"/>
      <c r="AJ229" s="3032"/>
      <c r="AK229" s="3032"/>
      <c r="AL229" s="3032"/>
      <c r="AM229" s="3032"/>
      <c r="AN229" s="3032"/>
      <c r="AO229" s="3032"/>
      <c r="AP229" s="3032"/>
      <c r="AQ229" s="3032"/>
      <c r="AR229" s="3033"/>
      <c r="AS229" s="624"/>
      <c r="AX229"/>
      <c r="AY229"/>
      <c r="AZ229"/>
      <c r="BA229"/>
      <c r="BB229"/>
      <c r="BC229"/>
      <c r="BD229"/>
      <c r="BE229"/>
      <c r="BF229"/>
      <c r="BG229"/>
      <c r="BH229"/>
      <c r="BI229"/>
    </row>
    <row r="230" spans="1:61" s="3" customFormat="1" ht="12.6" customHeight="1">
      <c r="A230" s="936"/>
      <c r="B230" s="4384"/>
      <c r="C230" s="4342"/>
      <c r="D230" s="4342"/>
      <c r="E230" s="4342"/>
      <c r="F230" s="4342"/>
      <c r="G230" s="4342"/>
      <c r="H230" s="4342"/>
      <c r="I230" s="4342"/>
      <c r="J230" s="4342"/>
      <c r="K230" s="4342"/>
      <c r="L230" s="4342"/>
      <c r="M230" s="4342"/>
      <c r="N230" s="4348"/>
      <c r="O230" s="4345"/>
      <c r="P230" s="4349"/>
      <c r="Q230" s="4350"/>
      <c r="R230" s="4349"/>
      <c r="S230" s="4350"/>
      <c r="T230" s="4367"/>
      <c r="U230" s="4368"/>
      <c r="V230" s="4367"/>
      <c r="W230" s="4368"/>
      <c r="X230" s="130"/>
      <c r="Y230" s="2400"/>
      <c r="Z230" s="614"/>
      <c r="AA230" s="614"/>
      <c r="AB230" s="4398" t="s">
        <v>53</v>
      </c>
      <c r="AC230" s="3032" t="str">
        <f>"Is line 4 more than "&amp;TEXT(AJ230,"$0,000")&amp;" (more than"</f>
        <v>Is line 4 more than $122,500 (more than</v>
      </c>
      <c r="AD230" s="3032"/>
      <c r="AE230" s="3032"/>
      <c r="AF230" s="3032"/>
      <c r="AG230" s="3032"/>
      <c r="AH230" s="3032"/>
      <c r="AI230" s="3032"/>
      <c r="AJ230" s="4393">
        <v>122500</v>
      </c>
      <c r="AK230" s="3032"/>
      <c r="AL230" s="3032"/>
      <c r="AM230" s="3032"/>
      <c r="AN230" s="3032"/>
      <c r="AO230" s="3032"/>
      <c r="AP230" s="3032"/>
      <c r="AQ230" s="3032"/>
      <c r="AR230" s="3033"/>
      <c r="AS230" s="624"/>
      <c r="AX230"/>
      <c r="AY230"/>
      <c r="AZ230"/>
      <c r="BA230"/>
      <c r="BB230"/>
      <c r="BC230"/>
      <c r="BD230"/>
      <c r="BE230"/>
      <c r="BF230"/>
      <c r="BG230"/>
      <c r="BH230"/>
      <c r="BI230"/>
    </row>
    <row r="231" spans="1:61" s="3" customFormat="1" ht="12.6" customHeight="1">
      <c r="A231" s="936"/>
      <c r="B231" s="4384"/>
      <c r="C231" s="4351">
        <v>4</v>
      </c>
      <c r="D231" s="4342"/>
      <c r="E231" s="3529" t="s">
        <v>3640</v>
      </c>
      <c r="F231" s="4342"/>
      <c r="G231" s="4342"/>
      <c r="H231" s="4352" t="s">
        <v>2999</v>
      </c>
      <c r="I231" s="4351"/>
      <c r="J231" s="4342"/>
      <c r="K231" s="4342"/>
      <c r="L231" s="4342"/>
      <c r="M231" s="4342"/>
      <c r="N231" s="4348"/>
      <c r="O231" s="4345"/>
      <c r="P231" s="4320"/>
      <c r="Q231" s="4350"/>
      <c r="R231" s="4320"/>
      <c r="S231" s="4350"/>
      <c r="T231" s="4367"/>
      <c r="U231" s="4368"/>
      <c r="V231" s="4367"/>
      <c r="W231" s="4368"/>
      <c r="X231" s="130"/>
      <c r="Y231" s="2400"/>
      <c r="Z231" s="614"/>
      <c r="AA231" s="614"/>
      <c r="AB231" s="2873"/>
      <c r="AC231" s="3032" t="str">
        <f>TEXT(AJ231,"$0,000")&amp;" if married filing separately)?"</f>
        <v>$61,250 if married filing separately)?</v>
      </c>
      <c r="AD231" s="3032"/>
      <c r="AE231" s="3032"/>
      <c r="AF231" s="3032"/>
      <c r="AG231" s="3032"/>
      <c r="AH231" s="3032"/>
      <c r="AI231" s="3032"/>
      <c r="AJ231" s="4393">
        <v>61250</v>
      </c>
      <c r="AK231" s="3032"/>
      <c r="AL231" s="3032"/>
      <c r="AM231" s="3032"/>
      <c r="AN231" s="3032"/>
      <c r="AO231" s="3032"/>
      <c r="AP231" s="3032"/>
      <c r="AQ231" s="3032"/>
      <c r="AR231" s="3033"/>
      <c r="AS231" s="624"/>
      <c r="AX231"/>
      <c r="AY231"/>
      <c r="AZ231"/>
      <c r="BA231"/>
      <c r="BB231"/>
      <c r="BC231"/>
      <c r="BD231"/>
      <c r="BE231"/>
      <c r="BF231"/>
      <c r="BG231"/>
      <c r="BH231"/>
      <c r="BI231"/>
    </row>
    <row r="232" spans="1:61" s="3" customFormat="1" ht="12.6" customHeight="1">
      <c r="A232" s="936"/>
      <c r="B232" s="4384"/>
      <c r="C232" s="4351"/>
      <c r="D232" s="4353"/>
      <c r="E232" s="3529" t="s">
        <v>3642</v>
      </c>
      <c r="F232" s="4342"/>
      <c r="G232" s="4341" t="s">
        <v>2449</v>
      </c>
      <c r="H232" s="4335"/>
      <c r="I232" s="3530" t="s">
        <v>3641</v>
      </c>
      <c r="J232" s="4335"/>
      <c r="K232" s="4356" t="s">
        <v>2449</v>
      </c>
      <c r="L232" s="5786">
        <v>0.04</v>
      </c>
      <c r="M232" s="5787"/>
      <c r="N232" s="5788"/>
      <c r="O232" s="4345"/>
      <c r="P232" s="4349"/>
      <c r="Q232" s="4350"/>
      <c r="R232" s="4349"/>
      <c r="S232" s="4350"/>
      <c r="T232" s="4367"/>
      <c r="U232" s="4368"/>
      <c r="V232" s="4367"/>
      <c r="W232" s="4368"/>
      <c r="X232" s="130"/>
      <c r="Y232" s="2400"/>
      <c r="Z232" s="614"/>
      <c r="AA232" s="614"/>
      <c r="AB232" s="2873"/>
      <c r="AC232" s="3032"/>
      <c r="AD232" s="3032"/>
      <c r="AE232" s="3032"/>
      <c r="AF232" s="3032"/>
      <c r="AG232" s="3032"/>
      <c r="AH232" s="3032"/>
      <c r="AI232" s="3032"/>
      <c r="AJ232" s="4393">
        <f>IF(File_Marr_Sep&lt;&gt;"",AJ231,AJ230)</f>
        <v>122500</v>
      </c>
      <c r="AK232" s="3032"/>
      <c r="AL232" s="3032"/>
      <c r="AM232" s="3032"/>
      <c r="AN232" s="3032"/>
      <c r="AO232" s="3032"/>
      <c r="AP232" s="3032"/>
      <c r="AQ232" s="3032"/>
      <c r="AR232" s="3033"/>
      <c r="AS232" s="624"/>
      <c r="AX232"/>
      <c r="AY232"/>
      <c r="AZ232"/>
      <c r="BA232"/>
      <c r="BB232"/>
      <c r="BC232"/>
      <c r="BD232"/>
      <c r="BE232"/>
      <c r="BF232"/>
      <c r="BG232"/>
      <c r="BH232"/>
      <c r="BI232"/>
    </row>
    <row r="233" spans="1:61" s="3" customFormat="1" ht="15.95" customHeight="1">
      <c r="A233" s="936"/>
      <c r="B233" s="4385"/>
      <c r="C233" s="4335"/>
      <c r="D233" s="4357"/>
      <c r="E233" s="4335"/>
      <c r="F233" s="4335"/>
      <c r="G233" s="4335"/>
      <c r="H233" s="4335"/>
      <c r="I233" s="4359">
        <v>366</v>
      </c>
      <c r="J233" s="4335"/>
      <c r="K233" s="4335"/>
      <c r="L233" s="4335"/>
      <c r="M233" s="4335"/>
      <c r="N233" s="4358"/>
      <c r="O233" s="4360">
        <v>4</v>
      </c>
      <c r="P233" s="5735">
        <f>ROUND(AW333,2)</f>
        <v>0</v>
      </c>
      <c r="Q233" s="5736"/>
      <c r="R233" s="5735">
        <f>ROUND(BA333,2)</f>
        <v>0</v>
      </c>
      <c r="S233" s="5736"/>
      <c r="T233" s="4369"/>
      <c r="U233" s="4370"/>
      <c r="V233" s="4367"/>
      <c r="W233" s="4368"/>
      <c r="X233" s="130"/>
      <c r="Y233" s="2400"/>
      <c r="Z233" s="614"/>
      <c r="AA233" s="614"/>
      <c r="AB233" s="2873"/>
      <c r="AC233" s="3032"/>
      <c r="AD233" s="3032"/>
      <c r="AE233" s="4401" t="s">
        <v>3664</v>
      </c>
      <c r="AF233" s="3032"/>
      <c r="AG233" s="3032"/>
      <c r="AH233" s="3032"/>
      <c r="AI233" s="3032"/>
      <c r="AJ233" s="4393"/>
      <c r="AK233" s="3032"/>
      <c r="AL233" s="3032"/>
      <c r="AM233" s="3032"/>
      <c r="AN233" s="3032"/>
      <c r="AO233" s="3032"/>
      <c r="AP233" s="3032"/>
      <c r="AQ233" s="3032"/>
      <c r="AR233" s="3033"/>
      <c r="AS233" s="624"/>
      <c r="AX233"/>
      <c r="AY233"/>
      <c r="AZ233"/>
      <c r="BA233"/>
      <c r="BB233"/>
      <c r="BC233"/>
      <c r="BD233"/>
      <c r="BE233"/>
      <c r="BF233"/>
      <c r="BG233"/>
      <c r="BH233"/>
      <c r="BI233"/>
    </row>
    <row r="234" spans="1:61" s="4374" customFormat="1" ht="20.100000000000001" customHeight="1">
      <c r="A234" s="4371"/>
      <c r="B234" s="4384"/>
      <c r="C234" s="4347" t="s">
        <v>3709</v>
      </c>
      <c r="D234" s="4347"/>
      <c r="E234" s="4342"/>
      <c r="F234" s="4347" t="str">
        <f>TEXT(K235,"MMMM D, YYYY")&amp;"—"&amp;TEXT(K236,"MMMM D, YYYY")</f>
        <v>July 1, 2016—September 30, 2016</v>
      </c>
      <c r="G234" s="4342"/>
      <c r="H234" s="4342"/>
      <c r="I234" s="4342"/>
      <c r="J234" s="4342"/>
      <c r="K234" s="4342"/>
      <c r="L234" s="4342"/>
      <c r="M234" s="4342"/>
      <c r="N234" s="4348"/>
      <c r="O234" s="4372"/>
      <c r="P234" s="5789"/>
      <c r="Q234" s="5790"/>
      <c r="R234" s="5789"/>
      <c r="S234" s="5790"/>
      <c r="T234" s="4363"/>
      <c r="U234" s="4364"/>
      <c r="V234" s="4367"/>
      <c r="W234" s="4368"/>
      <c r="X234" s="4373"/>
      <c r="Y234" s="2400"/>
      <c r="Z234" s="614"/>
      <c r="AA234" s="614"/>
      <c r="AB234" s="2873"/>
      <c r="AC234" s="3032"/>
      <c r="AD234" s="3032"/>
      <c r="AE234" s="3032" t="s">
        <v>3665</v>
      </c>
      <c r="AF234" s="3032"/>
      <c r="AG234" s="3032"/>
      <c r="AH234" s="3032"/>
      <c r="AI234" s="3032"/>
      <c r="AJ234" s="4393"/>
      <c r="AK234" s="3032"/>
      <c r="AL234" s="3032"/>
      <c r="AM234" s="3032"/>
      <c r="AN234" s="3032"/>
      <c r="AO234" s="3032"/>
      <c r="AP234" s="3032"/>
      <c r="AQ234" s="3032"/>
      <c r="AR234" s="3033"/>
      <c r="AS234" s="624"/>
      <c r="AX234"/>
      <c r="AY234"/>
      <c r="AZ234"/>
      <c r="BA234"/>
      <c r="BB234"/>
      <c r="BC234"/>
      <c r="BD234"/>
      <c r="BE234"/>
      <c r="BF234"/>
      <c r="BG234"/>
      <c r="BH234"/>
      <c r="BI234"/>
    </row>
    <row r="235" spans="1:61" s="3" customFormat="1" ht="12.6" customHeight="1">
      <c r="A235" s="936"/>
      <c r="B235" s="4384"/>
      <c r="C235" s="4351">
        <v>5</v>
      </c>
      <c r="D235" s="4353" t="s">
        <v>3637</v>
      </c>
      <c r="E235" s="4342"/>
      <c r="F235" s="4342"/>
      <c r="G235" s="4342"/>
      <c r="H235" s="4342"/>
      <c r="I235" s="4342"/>
      <c r="J235" s="4342"/>
      <c r="K235" s="5720">
        <f>DATEVALUE("7/1/"&amp;TaxYear)</f>
        <v>42552</v>
      </c>
      <c r="L235" s="5721"/>
      <c r="M235" s="5721"/>
      <c r="N235" s="5722"/>
      <c r="O235" s="4355">
        <v>5</v>
      </c>
      <c r="P235" s="5782">
        <f>$K226</f>
        <v>42551</v>
      </c>
      <c r="Q235" s="5783"/>
      <c r="R235" s="5782">
        <f>$K226</f>
        <v>42551</v>
      </c>
      <c r="S235" s="5783"/>
      <c r="T235" s="5782">
        <f>T216</f>
        <v>42628</v>
      </c>
      <c r="U235" s="5783"/>
      <c r="V235" s="4367"/>
      <c r="W235" s="4368"/>
      <c r="X235" s="130"/>
      <c r="Y235" s="2400"/>
      <c r="Z235" s="614"/>
      <c r="AA235" s="614"/>
      <c r="AB235" s="2873"/>
      <c r="AC235" s="3032"/>
      <c r="AD235" s="3032"/>
      <c r="AE235" s="3032" t="s">
        <v>3666</v>
      </c>
      <c r="AF235" s="3032"/>
      <c r="AG235" s="3032"/>
      <c r="AH235" s="3032"/>
      <c r="AI235" s="3032"/>
      <c r="AJ235" s="4426" t="b">
        <f>IF(AJ228&gt;$AJ$232,TRUE,FALSE)</f>
        <v>1</v>
      </c>
      <c r="AK235" s="4393"/>
      <c r="AL235" s="4426" t="b">
        <f>IF(AL228&gt;$AJ$232,TRUE,FALSE)</f>
        <v>1</v>
      </c>
      <c r="AM235" s="4393"/>
      <c r="AN235" s="4426" t="b">
        <f>IF(AN228&gt;$AJ$232,TRUE,FALSE)</f>
        <v>1</v>
      </c>
      <c r="AO235" s="4393"/>
      <c r="AP235" s="4426" t="b">
        <f>IF(AP228&gt;$AJ$232,TRUE,FALSE)</f>
        <v>1</v>
      </c>
      <c r="AQ235" s="3032"/>
      <c r="AR235" s="3033"/>
      <c r="AS235" s="624"/>
      <c r="AX235"/>
      <c r="AY235"/>
      <c r="AZ235"/>
      <c r="BA235"/>
      <c r="BB235"/>
      <c r="BC235"/>
      <c r="BD235"/>
      <c r="BE235"/>
      <c r="BF235"/>
      <c r="BG235"/>
      <c r="BH235"/>
      <c r="BI235"/>
    </row>
    <row r="236" spans="1:61" s="3" customFormat="1" ht="12.6" customHeight="1">
      <c r="A236" s="936"/>
      <c r="B236" s="4384"/>
      <c r="C236" s="4342"/>
      <c r="D236" s="4342"/>
      <c r="E236" s="4342"/>
      <c r="F236" s="4342"/>
      <c r="G236" s="4342"/>
      <c r="H236" s="4342"/>
      <c r="I236" s="4342"/>
      <c r="J236" s="4342"/>
      <c r="K236" s="5720">
        <f>DATEVALUE("9/30/"&amp;TaxYear)</f>
        <v>42643</v>
      </c>
      <c r="L236" s="5721"/>
      <c r="M236" s="5721"/>
      <c r="N236" s="5722"/>
      <c r="O236" s="4345"/>
      <c r="P236" s="5784" t="s">
        <v>3638</v>
      </c>
      <c r="Q236" s="5791"/>
      <c r="R236" s="5784" t="s">
        <v>3638</v>
      </c>
      <c r="S236" s="5785"/>
      <c r="T236" s="5784" t="s">
        <v>3638</v>
      </c>
      <c r="U236" s="5785"/>
      <c r="V236" s="4367"/>
      <c r="W236" s="4368"/>
      <c r="X236" s="130"/>
      <c r="Y236" s="2400"/>
      <c r="Z236" s="614"/>
      <c r="AA236" s="614"/>
      <c r="AB236" s="2873"/>
      <c r="AC236" s="3032"/>
      <c r="AD236" s="3032"/>
      <c r="AE236" s="3032"/>
      <c r="AF236" s="3032"/>
      <c r="AG236" s="3032"/>
      <c r="AH236" s="3032"/>
      <c r="AI236" s="3032"/>
      <c r="AJ236" s="4409" t="str">
        <f>IF(AJ235,"Yes","No")</f>
        <v>Yes</v>
      </c>
      <c r="AK236" s="3032"/>
      <c r="AL236" s="4409" t="str">
        <f>IF(AL235,"Yes","No")</f>
        <v>Yes</v>
      </c>
      <c r="AM236" s="3032"/>
      <c r="AN236" s="4409" t="str">
        <f>IF(AN235,"Yes","No")</f>
        <v>Yes</v>
      </c>
      <c r="AO236" s="3032"/>
      <c r="AP236" s="4409" t="str">
        <f>IF(AP235,"Yes","No")</f>
        <v>Yes</v>
      </c>
      <c r="AQ236" s="3032"/>
      <c r="AR236" s="3033"/>
      <c r="AS236" s="624"/>
      <c r="AX236"/>
      <c r="AY236"/>
      <c r="AZ236"/>
      <c r="BA236"/>
      <c r="BB236"/>
      <c r="BC236"/>
      <c r="BD236"/>
      <c r="BE236"/>
      <c r="BF236"/>
      <c r="BG236"/>
      <c r="BH236"/>
      <c r="BI236"/>
    </row>
    <row r="237" spans="1:61" s="3" customFormat="1" ht="12.6" customHeight="1">
      <c r="A237" s="936"/>
      <c r="B237" s="4384"/>
      <c r="C237" s="4342"/>
      <c r="D237" s="4342"/>
      <c r="E237" s="4342"/>
      <c r="F237" s="4342"/>
      <c r="G237" s="4342"/>
      <c r="H237" s="4342"/>
      <c r="I237" s="4342"/>
      <c r="J237" s="4342"/>
      <c r="K237" s="4342"/>
      <c r="L237" s="4342"/>
      <c r="M237" s="4342"/>
      <c r="N237" s="4348"/>
      <c r="O237" s="4345"/>
      <c r="P237" s="4444"/>
      <c r="Q237" s="4437"/>
      <c r="R237" s="4320"/>
      <c r="S237" s="4350"/>
      <c r="T237" s="4320"/>
      <c r="U237" s="4350"/>
      <c r="V237" s="4367"/>
      <c r="W237" s="4368"/>
      <c r="X237" s="130"/>
      <c r="Y237" s="2400"/>
      <c r="Z237" s="614"/>
      <c r="AA237" s="614"/>
      <c r="AB237" s="2873"/>
      <c r="AC237" s="3032"/>
      <c r="AD237" s="3032"/>
      <c r="AE237" s="2878" t="s">
        <v>3682</v>
      </c>
      <c r="AF237" s="3032"/>
      <c r="AG237" s="3032"/>
      <c r="AH237" s="3032"/>
      <c r="AI237" s="3032"/>
      <c r="AJ237" s="4393">
        <v>2500</v>
      </c>
      <c r="AK237" s="3032"/>
      <c r="AL237" s="3032"/>
      <c r="AM237" s="3032"/>
      <c r="AN237" s="3032"/>
      <c r="AO237" s="3032"/>
      <c r="AP237" s="3032"/>
      <c r="AQ237" s="3032"/>
      <c r="AR237" s="3033"/>
      <c r="AS237" s="624"/>
      <c r="AX237"/>
      <c r="AY237"/>
      <c r="AZ237"/>
      <c r="BA237"/>
      <c r="BB237"/>
      <c r="BC237"/>
      <c r="BD237"/>
      <c r="BE237"/>
      <c r="BF237"/>
      <c r="BG237"/>
      <c r="BH237"/>
      <c r="BI237"/>
    </row>
    <row r="238" spans="1:61" s="3" customFormat="1" ht="12.6" customHeight="1">
      <c r="A238" s="936"/>
      <c r="B238" s="4384"/>
      <c r="C238" s="4351">
        <v>6</v>
      </c>
      <c r="D238" s="4352" t="s">
        <v>3643</v>
      </c>
      <c r="E238" s="4342"/>
      <c r="F238" s="4342"/>
      <c r="G238" s="4342"/>
      <c r="H238" s="4342"/>
      <c r="I238" s="4342"/>
      <c r="J238" s="4342"/>
      <c r="K238" s="4342"/>
      <c r="L238" s="4342"/>
      <c r="M238" s="4342"/>
      <c r="N238" s="4348"/>
      <c r="O238" s="4345"/>
      <c r="P238" s="4349"/>
      <c r="Q238" s="4451">
        <f>IF(P$218&gt;$K236,$K236,P$218)</f>
        <v>0</v>
      </c>
      <c r="R238" s="4349"/>
      <c r="S238" s="4451">
        <f>IF(R$218&gt;$K236,$K236,R$218)</f>
        <v>42643</v>
      </c>
      <c r="T238" s="4349"/>
      <c r="U238" s="4451">
        <f>IF(T$218&gt;$K236,$K236,T$218)</f>
        <v>42643</v>
      </c>
      <c r="V238" s="4367"/>
      <c r="W238" s="4368"/>
      <c r="X238" s="130"/>
      <c r="Y238" s="2400"/>
      <c r="Z238" s="614"/>
      <c r="AA238" s="614"/>
      <c r="AB238" s="2873"/>
      <c r="AC238" s="3032"/>
      <c r="AD238" s="3032"/>
      <c r="AE238" s="3032" t="s">
        <v>3667</v>
      </c>
      <c r="AF238" s="3032"/>
      <c r="AG238" s="3032"/>
      <c r="AH238" s="3032"/>
      <c r="AI238" s="3032"/>
      <c r="AJ238" s="4393">
        <v>1250</v>
      </c>
      <c r="AK238" s="3032"/>
      <c r="AL238" s="3032"/>
      <c r="AM238" s="3032"/>
      <c r="AN238" s="3032"/>
      <c r="AO238" s="3032"/>
      <c r="AP238" s="3032"/>
      <c r="AQ238" s="3032"/>
      <c r="AR238" s="3033"/>
      <c r="AS238" s="624"/>
      <c r="AX238"/>
      <c r="AY238"/>
      <c r="AZ238"/>
      <c r="BA238"/>
      <c r="BB238"/>
      <c r="BC238"/>
      <c r="BD238"/>
      <c r="BE238"/>
      <c r="BF238"/>
      <c r="BG238"/>
      <c r="BH238"/>
      <c r="BI238"/>
    </row>
    <row r="239" spans="1:61" s="3" customFormat="1" ht="12.6" customHeight="1">
      <c r="A239" s="936"/>
      <c r="B239" s="4384"/>
      <c r="C239" s="4342"/>
      <c r="D239" s="4352" t="s">
        <v>3728</v>
      </c>
      <c r="E239" s="4342"/>
      <c r="F239" s="4342"/>
      <c r="G239" s="4353" t="str">
        <f>"9/30/"&amp;TaxYear-2000&amp;", whichever is earlier"</f>
        <v>9/30/16, whichever is earlier</v>
      </c>
      <c r="H239" s="4342"/>
      <c r="I239" s="4342"/>
      <c r="J239" s="4342"/>
      <c r="K239" s="4342"/>
      <c r="L239" s="4342"/>
      <c r="M239" s="4342"/>
      <c r="N239" s="4362" t="s">
        <v>1379</v>
      </c>
      <c r="O239" s="4360">
        <v>6</v>
      </c>
      <c r="P239" s="5778" t="str">
        <f>IF(P243=0,"",IF(Q238-P235&lt;0,0,Q238-P235))</f>
        <v/>
      </c>
      <c r="Q239" s="5779"/>
      <c r="R239" s="5778" t="str">
        <f>IF(R243=0,"",IF(S238-R235&lt;0,0,S238-R235))</f>
        <v/>
      </c>
      <c r="S239" s="5779"/>
      <c r="T239" s="5778" t="str">
        <f>IF(T243=0,"",IF(U238-T235&lt;0,0,U238-T235))</f>
        <v/>
      </c>
      <c r="U239" s="5779"/>
      <c r="V239" s="4367"/>
      <c r="W239" s="4368"/>
      <c r="X239" s="130"/>
      <c r="Y239" s="2400"/>
      <c r="Z239" s="614"/>
      <c r="AA239" s="614"/>
      <c r="AB239" s="2873"/>
      <c r="AC239" s="3032"/>
      <c r="AD239" s="3032"/>
      <c r="AE239" s="3032" t="s">
        <v>3668</v>
      </c>
      <c r="AF239" s="3032"/>
      <c r="AG239" s="3032"/>
      <c r="AH239" s="3032"/>
      <c r="AI239" s="3032"/>
      <c r="AJ239" s="4393">
        <f>IF(File_Marr_Sep&lt;&gt;"",AJ238,AJ237)</f>
        <v>2500</v>
      </c>
      <c r="AK239" s="3032"/>
      <c r="AL239" s="3032"/>
      <c r="AM239" s="3032"/>
      <c r="AN239" s="3032"/>
      <c r="AO239" s="3032"/>
      <c r="AP239" s="3032"/>
      <c r="AQ239" s="3032"/>
      <c r="AR239" s="3033"/>
      <c r="AS239" s="624"/>
      <c r="AX239"/>
      <c r="AY239"/>
      <c r="AZ239"/>
      <c r="BA239"/>
      <c r="BB239"/>
      <c r="BC239"/>
      <c r="BD239"/>
      <c r="BE239"/>
      <c r="BF239"/>
      <c r="BG239"/>
      <c r="BH239"/>
      <c r="BI239"/>
    </row>
    <row r="240" spans="1:61" s="3" customFormat="1" ht="12.6" customHeight="1">
      <c r="A240" s="936"/>
      <c r="B240" s="4384"/>
      <c r="C240" s="4342"/>
      <c r="D240" s="4342"/>
      <c r="E240" s="4342"/>
      <c r="F240" s="4342"/>
      <c r="G240" s="4342"/>
      <c r="H240" s="4342"/>
      <c r="I240" s="4342"/>
      <c r="J240" s="4342"/>
      <c r="K240" s="4342"/>
      <c r="L240" s="4342"/>
      <c r="M240" s="4342"/>
      <c r="N240" s="4348"/>
      <c r="O240" s="4345"/>
      <c r="P240" s="4349"/>
      <c r="Q240" s="4350"/>
      <c r="R240" s="4349"/>
      <c r="S240" s="4350"/>
      <c r="T240" s="4349"/>
      <c r="U240" s="4350"/>
      <c r="V240" s="4367"/>
      <c r="W240" s="4368"/>
      <c r="X240" s="130"/>
      <c r="Y240" s="2400"/>
      <c r="Z240" s="614"/>
      <c r="AA240" s="614"/>
      <c r="AB240" s="2873"/>
      <c r="AC240" s="3032"/>
      <c r="AD240" s="3032"/>
      <c r="AE240" s="3032" t="s">
        <v>3669</v>
      </c>
      <c r="AF240" s="3032"/>
      <c r="AG240" s="3032"/>
      <c r="AH240" s="3032"/>
      <c r="AI240" s="3032"/>
      <c r="AJ240" s="3032"/>
      <c r="AK240" s="3032"/>
      <c r="AL240" s="3032"/>
      <c r="AM240" s="3032"/>
      <c r="AN240" s="3032"/>
      <c r="AO240" s="3032"/>
      <c r="AP240" s="3032"/>
      <c r="AQ240" s="3032"/>
      <c r="AR240" s="3033"/>
      <c r="AS240" s="624"/>
      <c r="AX240"/>
      <c r="AY240"/>
      <c r="AZ240"/>
      <c r="BA240"/>
      <c r="BB240"/>
      <c r="BC240"/>
      <c r="BD240"/>
      <c r="BE240"/>
      <c r="BF240"/>
      <c r="BG240"/>
      <c r="BH240"/>
      <c r="BI240"/>
    </row>
    <row r="241" spans="1:61" s="3" customFormat="1" ht="12.6" customHeight="1">
      <c r="A241" s="936"/>
      <c r="B241" s="4384"/>
      <c r="C241" s="4351">
        <v>7</v>
      </c>
      <c r="D241" s="4342"/>
      <c r="E241" s="3529" t="s">
        <v>3640</v>
      </c>
      <c r="F241" s="4342"/>
      <c r="G241" s="4342"/>
      <c r="H241" s="4352" t="s">
        <v>2999</v>
      </c>
      <c r="I241" s="4351"/>
      <c r="J241" s="4342"/>
      <c r="K241" s="4342"/>
      <c r="L241" s="4342"/>
      <c r="M241" s="4342"/>
      <c r="N241" s="4348"/>
      <c r="O241" s="4345"/>
      <c r="P241" s="4320"/>
      <c r="Q241" s="4350"/>
      <c r="R241" s="4320"/>
      <c r="S241" s="4350"/>
      <c r="T241" s="4349"/>
      <c r="U241" s="4350"/>
      <c r="V241" s="4367"/>
      <c r="W241" s="4368"/>
      <c r="X241" s="130"/>
      <c r="Y241" s="2400"/>
      <c r="Z241" s="614"/>
      <c r="AA241" s="614"/>
      <c r="AB241" s="2873"/>
      <c r="AC241" s="3032"/>
      <c r="AD241" s="3032"/>
      <c r="AE241" s="2878" t="s">
        <v>3670</v>
      </c>
      <c r="AF241" s="3032"/>
      <c r="AG241" s="3032"/>
      <c r="AH241" s="3032"/>
      <c r="AI241" s="2879" t="s">
        <v>53</v>
      </c>
      <c r="AJ241" s="4410" t="str">
        <f>IF(AJ235,"",IF(AJ228&gt;$AJ$232,0,ROUNDUP(AJ228/$AJ$239,0)))</f>
        <v/>
      </c>
      <c r="AK241" s="3032"/>
      <c r="AL241" s="4410" t="str">
        <f>IF(AL235,"",IF(AL228&gt;$AJ$232,0,ROUNDUP(AL228/$AJ$239,0)))</f>
        <v/>
      </c>
      <c r="AM241" s="3032"/>
      <c r="AN241" s="4410" t="str">
        <f>IF(AN235,"",IF(AN228&gt;$AJ$232,0,ROUNDUP(AN228/$AJ$239,0)))</f>
        <v/>
      </c>
      <c r="AO241" s="3032"/>
      <c r="AP241" s="4410" t="str">
        <f>IF(AP235,"",IF(AP228&gt;$AJ$232,0,ROUNDUP(AP228/$AJ$239,0)))</f>
        <v/>
      </c>
      <c r="AQ241" s="3032"/>
      <c r="AR241" s="3033"/>
      <c r="AS241" s="624"/>
      <c r="AX241"/>
      <c r="AY241"/>
      <c r="AZ241"/>
      <c r="BA241"/>
      <c r="BB241"/>
      <c r="BC241"/>
      <c r="BD241"/>
      <c r="BE241"/>
      <c r="BF241"/>
      <c r="BG241"/>
      <c r="BH241"/>
      <c r="BI241"/>
    </row>
    <row r="242" spans="1:61" s="3" customFormat="1" ht="12.6" customHeight="1">
      <c r="A242" s="936"/>
      <c r="B242" s="4384"/>
      <c r="C242" s="4351"/>
      <c r="D242" s="4353"/>
      <c r="E242" s="3529" t="s">
        <v>3642</v>
      </c>
      <c r="F242" s="4342"/>
      <c r="G242" s="4341" t="s">
        <v>2449</v>
      </c>
      <c r="H242" s="4335"/>
      <c r="I242" s="3530" t="s">
        <v>3641</v>
      </c>
      <c r="J242" s="4335"/>
      <c r="K242" s="4356" t="s">
        <v>2449</v>
      </c>
      <c r="L242" s="5786">
        <v>0.04</v>
      </c>
      <c r="M242" s="5787"/>
      <c r="N242" s="5788"/>
      <c r="O242" s="4345"/>
      <c r="P242" s="4349"/>
      <c r="Q242" s="4350"/>
      <c r="R242" s="4349"/>
      <c r="S242" s="4350"/>
      <c r="T242" s="4349"/>
      <c r="U242" s="4350"/>
      <c r="V242" s="4367"/>
      <c r="W242" s="4368"/>
      <c r="X242" s="130"/>
      <c r="Y242" s="2400"/>
      <c r="Z242" s="614"/>
      <c r="AA242" s="614"/>
      <c r="AB242" s="2873"/>
      <c r="AC242" s="3032"/>
      <c r="AD242" s="3032"/>
      <c r="AE242" s="3032"/>
      <c r="AF242" s="3032"/>
      <c r="AG242" s="3032"/>
      <c r="AH242" s="3032"/>
      <c r="AI242" s="3032"/>
      <c r="AJ242" s="3032"/>
      <c r="AK242" s="3032"/>
      <c r="AL242" s="3032"/>
      <c r="AM242" s="3032"/>
      <c r="AN242" s="3032"/>
      <c r="AO242" s="3032"/>
      <c r="AP242" s="3032"/>
      <c r="AQ242" s="3032"/>
      <c r="AR242" s="3033"/>
      <c r="AS242" s="624"/>
      <c r="AX242"/>
      <c r="AY242"/>
      <c r="AZ242"/>
      <c r="BA242"/>
      <c r="BB242"/>
      <c r="BC242"/>
      <c r="BD242"/>
      <c r="BE242"/>
      <c r="BF242"/>
      <c r="BG242"/>
      <c r="BH242"/>
      <c r="BI242"/>
    </row>
    <row r="243" spans="1:61" s="3" customFormat="1" ht="15.95" customHeight="1">
      <c r="A243" s="936"/>
      <c r="B243" s="4385"/>
      <c r="C243" s="4335"/>
      <c r="D243" s="4357"/>
      <c r="E243" s="4335"/>
      <c r="F243" s="4335"/>
      <c r="G243" s="4335"/>
      <c r="H243" s="4335"/>
      <c r="I243" s="4359">
        <v>366</v>
      </c>
      <c r="J243" s="4335"/>
      <c r="K243" s="4335"/>
      <c r="L243" s="4335"/>
      <c r="M243" s="4335"/>
      <c r="N243" s="4358"/>
      <c r="O243" s="4360">
        <v>7</v>
      </c>
      <c r="P243" s="5735">
        <f>ROUND(AX333,2)</f>
        <v>0</v>
      </c>
      <c r="Q243" s="5736"/>
      <c r="R243" s="5735">
        <f>ROUND(BB333,2)</f>
        <v>0</v>
      </c>
      <c r="S243" s="5736"/>
      <c r="T243" s="5735">
        <f>ROUND(BE333,2)</f>
        <v>0</v>
      </c>
      <c r="U243" s="5736"/>
      <c r="V243" s="4367"/>
      <c r="W243" s="4368"/>
      <c r="X243" s="130"/>
      <c r="Y243" s="2400"/>
      <c r="Z243" s="614"/>
      <c r="AA243" s="614"/>
      <c r="AB243" s="4398" t="s">
        <v>122</v>
      </c>
      <c r="AC243" s="2878" t="str">
        <f>"Multiply line 5 by "&amp;TEXT(AJ243,"0%")&amp;" ("&amp;TEXT(AJ243,"0.00")&amp;")."</f>
        <v>Multiply line 5 by 2% (0.02).</v>
      </c>
      <c r="AD243" s="2878"/>
      <c r="AE243" s="3032"/>
      <c r="AF243" s="3032"/>
      <c r="AG243" s="3032"/>
      <c r="AH243" s="3032"/>
      <c r="AI243" s="3032"/>
      <c r="AJ243" s="4393">
        <v>0.02</v>
      </c>
      <c r="AK243" s="3032"/>
      <c r="AL243" s="3032"/>
      <c r="AM243" s="3032"/>
      <c r="AN243" s="3032"/>
      <c r="AO243" s="3032"/>
      <c r="AP243" s="3032"/>
      <c r="AQ243" s="3032"/>
      <c r="AR243" s="3033"/>
      <c r="AS243" s="624"/>
      <c r="AX243"/>
      <c r="AY243"/>
      <c r="AZ243"/>
      <c r="BA243"/>
      <c r="BB243"/>
      <c r="BC243"/>
      <c r="BD243"/>
      <c r="BE243"/>
      <c r="BF243"/>
      <c r="BG243"/>
      <c r="BH243"/>
      <c r="BI243"/>
    </row>
    <row r="244" spans="1:61" s="4374" customFormat="1" ht="20.100000000000001" customHeight="1">
      <c r="A244" s="4371"/>
      <c r="B244" s="4384"/>
      <c r="C244" s="4347" t="s">
        <v>3710</v>
      </c>
      <c r="D244" s="4347"/>
      <c r="E244" s="4342"/>
      <c r="F244" s="4347" t="str">
        <f>TEXT(K245,"MMMM D, YYYY")&amp;"—"&amp;TEXT(K246,"MMMM D, YYYY")</f>
        <v>October 1, 2016—December 31, 2016</v>
      </c>
      <c r="G244" s="4342"/>
      <c r="H244" s="4342"/>
      <c r="I244" s="4342"/>
      <c r="J244" s="4342"/>
      <c r="K244" s="4342"/>
      <c r="L244" s="4342"/>
      <c r="M244" s="4342"/>
      <c r="N244" s="4348"/>
      <c r="O244" s="4372"/>
      <c r="P244" s="5789"/>
      <c r="Q244" s="5790"/>
      <c r="R244" s="5789"/>
      <c r="S244" s="5790"/>
      <c r="T244" s="4363"/>
      <c r="U244" s="4364"/>
      <c r="V244" s="4367"/>
      <c r="W244" s="4368"/>
      <c r="X244" s="4373"/>
      <c r="Y244" s="2400"/>
      <c r="Z244" s="614"/>
      <c r="AA244" s="614"/>
      <c r="AB244" s="2873"/>
      <c r="AC244" s="3032"/>
      <c r="AD244" s="3032"/>
      <c r="AE244" s="2878" t="s">
        <v>3675</v>
      </c>
      <c r="AF244" s="3032"/>
      <c r="AG244" s="3032"/>
      <c r="AH244" s="3032"/>
      <c r="AI244" s="2879" t="s">
        <v>122</v>
      </c>
      <c r="AJ244" s="4412" t="str">
        <f>IF(AJ236="Yes","",IF(AJ218,AJ241*$AJ$243,0))</f>
        <v/>
      </c>
      <c r="AK244" s="2879"/>
      <c r="AL244" s="4412" t="str">
        <f>IF(AL236="Yes","",IF(AL218,AL241*$AJ$243,0))</f>
        <v/>
      </c>
      <c r="AM244" s="2879"/>
      <c r="AN244" s="4412" t="str">
        <f>IF(AN236="Yes","",IF(AN218,AN241*$AJ$243,0))</f>
        <v/>
      </c>
      <c r="AO244" s="2879"/>
      <c r="AP244" s="4412" t="str">
        <f>IF(AP236="Yes","",IF(AP218,AP241*$AJ$243,0))</f>
        <v/>
      </c>
      <c r="AQ244" s="2879"/>
      <c r="AR244" s="3033"/>
      <c r="AS244" s="624"/>
      <c r="AX244"/>
      <c r="AY244"/>
      <c r="AZ244"/>
      <c r="BA244"/>
      <c r="BB244"/>
      <c r="BC244"/>
      <c r="BD244"/>
      <c r="BE244"/>
      <c r="BF244"/>
      <c r="BG244"/>
      <c r="BH244"/>
      <c r="BI244"/>
    </row>
    <row r="245" spans="1:61" s="3" customFormat="1" ht="15">
      <c r="A245" s="936"/>
      <c r="B245" s="4384"/>
      <c r="C245" s="4351">
        <v>8</v>
      </c>
      <c r="D245" s="4353" t="s">
        <v>3637</v>
      </c>
      <c r="E245" s="4342"/>
      <c r="F245" s="4342"/>
      <c r="G245" s="4342"/>
      <c r="H245" s="4342"/>
      <c r="I245" s="4342"/>
      <c r="J245" s="4342"/>
      <c r="K245" s="5720">
        <f>DATEVALUE("10/1/"&amp;TaxYear)</f>
        <v>42644</v>
      </c>
      <c r="L245" s="5721"/>
      <c r="M245" s="5721"/>
      <c r="N245" s="5722"/>
      <c r="O245" s="4355">
        <v>8</v>
      </c>
      <c r="P245" s="5782">
        <f>$K236</f>
        <v>42643</v>
      </c>
      <c r="Q245" s="5783"/>
      <c r="R245" s="5782">
        <f>$K236</f>
        <v>42643</v>
      </c>
      <c r="S245" s="5783"/>
      <c r="T245" s="5782">
        <f>$K236</f>
        <v>42643</v>
      </c>
      <c r="U245" s="5783"/>
      <c r="V245" s="4367"/>
      <c r="W245" s="4368"/>
      <c r="X245" s="130"/>
      <c r="Y245" s="2400"/>
      <c r="Z245" s="614"/>
      <c r="AA245" s="614"/>
      <c r="AB245" s="2873"/>
      <c r="AC245" s="3032"/>
      <c r="AD245" s="3032"/>
      <c r="AE245" s="3032"/>
      <c r="AF245" s="3032"/>
      <c r="AG245" s="3032"/>
      <c r="AH245" s="3032"/>
      <c r="AI245" s="3032"/>
      <c r="AJ245" s="3032"/>
      <c r="AK245" s="3032"/>
      <c r="AL245" s="3032"/>
      <c r="AM245" s="3032"/>
      <c r="AN245" s="3032"/>
      <c r="AO245" s="3032"/>
      <c r="AP245" s="3032"/>
      <c r="AQ245" s="3032"/>
      <c r="AR245" s="3033"/>
      <c r="AS245" s="624"/>
      <c r="AX245"/>
      <c r="AY245"/>
      <c r="AZ245"/>
      <c r="BA245"/>
      <c r="BB245"/>
      <c r="BC245"/>
      <c r="BD245"/>
      <c r="BE245"/>
      <c r="BF245"/>
      <c r="BG245"/>
      <c r="BH245"/>
      <c r="BI245"/>
    </row>
    <row r="246" spans="1:61" s="3" customFormat="1" ht="12.6" customHeight="1">
      <c r="A246" s="936"/>
      <c r="B246" s="4384"/>
      <c r="C246" s="4342"/>
      <c r="D246" s="4342"/>
      <c r="E246" s="4342"/>
      <c r="F246" s="4342"/>
      <c r="G246" s="4342"/>
      <c r="H246" s="4342"/>
      <c r="I246" s="4342"/>
      <c r="J246" s="4342"/>
      <c r="K246" s="5720">
        <f>DATEVALUE("12/31/"&amp;TaxYear)</f>
        <v>42735</v>
      </c>
      <c r="L246" s="5721"/>
      <c r="M246" s="5721"/>
      <c r="N246" s="5722"/>
      <c r="O246" s="4345"/>
      <c r="P246" s="5784" t="s">
        <v>3638</v>
      </c>
      <c r="Q246" s="5785"/>
      <c r="R246" s="5784" t="s">
        <v>3638</v>
      </c>
      <c r="S246" s="5785"/>
      <c r="T246" s="5784" t="s">
        <v>3638</v>
      </c>
      <c r="U246" s="5785"/>
      <c r="V246" s="4367"/>
      <c r="W246" s="4368"/>
      <c r="X246" s="130"/>
      <c r="Y246" s="2400"/>
      <c r="Z246" s="614"/>
      <c r="AA246" s="614"/>
      <c r="AB246" s="4398" t="s">
        <v>123</v>
      </c>
      <c r="AC246" s="3032" t="s">
        <v>3671</v>
      </c>
      <c r="AD246" s="3032"/>
      <c r="AE246" s="3032"/>
      <c r="AF246" s="3032"/>
      <c r="AG246" s="3032"/>
      <c r="AH246" s="3032"/>
      <c r="AI246" s="2879" t="s">
        <v>123</v>
      </c>
      <c r="AJ246" s="4410" t="str">
        <f>IF(AJ236="Yes","",AJ215*AJ244)</f>
        <v/>
      </c>
      <c r="AK246" s="2879"/>
      <c r="AL246" s="4410" t="str">
        <f>IF(AL236="Yes","",AL215*AL244)</f>
        <v/>
      </c>
      <c r="AM246" s="2879"/>
      <c r="AN246" s="4410" t="str">
        <f>IF(AN236="Yes","",AN215*AN244)</f>
        <v/>
      </c>
      <c r="AO246" s="2879"/>
      <c r="AP246" s="4410" t="str">
        <f>IF(AP236="Yes","",AP215*AP244)</f>
        <v/>
      </c>
      <c r="AQ246" s="2879"/>
      <c r="AR246" s="3033"/>
      <c r="AS246" s="624"/>
      <c r="AX246"/>
      <c r="AY246"/>
      <c r="AZ246"/>
      <c r="BA246"/>
      <c r="BB246"/>
      <c r="BC246"/>
      <c r="BD246"/>
      <c r="BE246"/>
      <c r="BF246"/>
      <c r="BG246"/>
      <c r="BH246"/>
      <c r="BI246"/>
    </row>
    <row r="247" spans="1:61" s="3" customFormat="1" ht="12.6" customHeight="1">
      <c r="A247" s="936"/>
      <c r="B247" s="4384"/>
      <c r="C247" s="4342"/>
      <c r="D247" s="4342"/>
      <c r="E247" s="4342"/>
      <c r="F247" s="4342"/>
      <c r="G247" s="4342"/>
      <c r="H247" s="4342"/>
      <c r="I247" s="4342"/>
      <c r="J247" s="4342"/>
      <c r="K247" s="4342"/>
      <c r="L247" s="4342"/>
      <c r="M247" s="4342"/>
      <c r="N247" s="4348"/>
      <c r="O247" s="4345"/>
      <c r="P247" s="4444"/>
      <c r="Q247" s="4350"/>
      <c r="R247" s="4320"/>
      <c r="S247" s="4350"/>
      <c r="T247" s="4320"/>
      <c r="U247" s="4350"/>
      <c r="V247" s="4367"/>
      <c r="W247" s="4368"/>
      <c r="X247" s="130"/>
      <c r="Y247" s="2400"/>
      <c r="Z247" s="614"/>
      <c r="AA247" s="614"/>
      <c r="AB247" s="2873"/>
      <c r="AC247" s="3032"/>
      <c r="AD247" s="3032"/>
      <c r="AE247" s="3032"/>
      <c r="AF247" s="3032"/>
      <c r="AG247" s="3032"/>
      <c r="AH247" s="3032"/>
      <c r="AI247" s="3032"/>
      <c r="AJ247" s="3032"/>
      <c r="AK247" s="3032"/>
      <c r="AL247" s="3032"/>
      <c r="AM247" s="3032"/>
      <c r="AN247" s="3032"/>
      <c r="AO247" s="3032"/>
      <c r="AP247" s="3032"/>
      <c r="AQ247" s="3032"/>
      <c r="AR247" s="3033"/>
      <c r="AS247" s="624"/>
      <c r="AX247"/>
      <c r="AY247"/>
      <c r="AZ247"/>
      <c r="BA247"/>
      <c r="BB247"/>
      <c r="BC247"/>
      <c r="BD247"/>
      <c r="BE247"/>
      <c r="BF247"/>
      <c r="BG247"/>
      <c r="BH247"/>
      <c r="BI247"/>
    </row>
    <row r="248" spans="1:61" s="3" customFormat="1" ht="12.6" customHeight="1">
      <c r="A248" s="936"/>
      <c r="B248" s="4384"/>
      <c r="C248" s="4351">
        <v>9</v>
      </c>
      <c r="D248" s="4352" t="s">
        <v>3644</v>
      </c>
      <c r="E248" s="4342"/>
      <c r="F248" s="4342"/>
      <c r="G248" s="4342"/>
      <c r="H248" s="4342"/>
      <c r="I248" s="4342"/>
      <c r="J248" s="4342"/>
      <c r="K248" s="4342"/>
      <c r="L248" s="4342"/>
      <c r="M248" s="4342"/>
      <c r="N248" s="4348"/>
      <c r="O248" s="4345"/>
      <c r="P248" s="4349"/>
      <c r="Q248" s="4451">
        <f>IF(P$218&gt;$K246,$K246,P$218)</f>
        <v>0</v>
      </c>
      <c r="R248" s="4349"/>
      <c r="S248" s="4451">
        <f>IF(R$218&gt;$K246,$K246,R$218)</f>
        <v>42735</v>
      </c>
      <c r="T248" s="4349"/>
      <c r="U248" s="4451">
        <f>IF(T$218&gt;$K246,$K246,T$218)</f>
        <v>42735</v>
      </c>
      <c r="V248" s="4367"/>
      <c r="W248" s="4368"/>
      <c r="X248" s="130"/>
      <c r="Y248" s="2400"/>
      <c r="Z248" s="614"/>
      <c r="AA248" s="614"/>
      <c r="AB248" s="4398" t="s">
        <v>338</v>
      </c>
      <c r="AC248" s="2884" t="s">
        <v>3678</v>
      </c>
      <c r="AD248" s="2884"/>
      <c r="AE248" s="3032"/>
      <c r="AF248" s="3032"/>
      <c r="AG248" s="3032"/>
      <c r="AH248" s="3032"/>
      <c r="AI248" s="3032"/>
      <c r="AJ248" s="3032"/>
      <c r="AK248" s="3032"/>
      <c r="AL248" s="3032"/>
      <c r="AM248" s="3032"/>
      <c r="AN248" s="3032"/>
      <c r="AO248" s="3032"/>
      <c r="AP248" s="3032"/>
      <c r="AQ248" s="3032"/>
      <c r="AR248" s="3033"/>
      <c r="AS248" s="624"/>
      <c r="AX248"/>
      <c r="AY248"/>
      <c r="AZ248"/>
      <c r="BA248"/>
      <c r="BB248"/>
      <c r="BC248"/>
      <c r="BD248"/>
      <c r="BE248"/>
      <c r="BF248"/>
      <c r="BG248"/>
      <c r="BH248"/>
      <c r="BI248"/>
    </row>
    <row r="249" spans="1:61" s="3" customFormat="1" ht="12.6" customHeight="1">
      <c r="A249" s="936"/>
      <c r="B249" s="4384"/>
      <c r="C249" s="4342"/>
      <c r="D249" s="4352" t="s">
        <v>3728</v>
      </c>
      <c r="E249" s="4342"/>
      <c r="F249" s="4342"/>
      <c r="G249" s="4352" t="s">
        <v>3649</v>
      </c>
      <c r="H249" s="4342"/>
      <c r="I249" s="4342"/>
      <c r="J249" s="4342"/>
      <c r="K249" s="4342"/>
      <c r="L249" s="4342"/>
      <c r="M249" s="4342"/>
      <c r="N249" s="4362" t="s">
        <v>1379</v>
      </c>
      <c r="O249" s="4360">
        <v>9</v>
      </c>
      <c r="P249" s="5778" t="str">
        <f>IF(P253=0,"",IF(Q248-P245&lt;0,0,Q248-P245))</f>
        <v/>
      </c>
      <c r="Q249" s="5779"/>
      <c r="R249" s="5778" t="str">
        <f>IF(R253=0,"",IF(S248-R245&lt;0,0,S248-R245))</f>
        <v/>
      </c>
      <c r="S249" s="5779"/>
      <c r="T249" s="5778" t="str">
        <f>IF(T253=0,"",IF(U248-T245&lt;0,0,U248-T245))</f>
        <v/>
      </c>
      <c r="U249" s="5779"/>
      <c r="V249" s="4367"/>
      <c r="W249" s="4368"/>
      <c r="X249" s="130"/>
      <c r="Y249" s="2400"/>
      <c r="Z249" s="614"/>
      <c r="AA249" s="614"/>
      <c r="AB249" s="4398"/>
      <c r="AC249" s="3032" t="s">
        <v>3679</v>
      </c>
      <c r="AD249" s="3032"/>
      <c r="AE249" s="3032"/>
      <c r="AF249" s="3032"/>
      <c r="AG249" s="3032"/>
      <c r="AH249" s="3032"/>
      <c r="AI249" s="3032"/>
      <c r="AJ249" s="3032"/>
      <c r="AK249" s="3032"/>
      <c r="AL249" s="3032"/>
      <c r="AM249" s="3032"/>
      <c r="AN249" s="3032"/>
      <c r="AO249" s="3032"/>
      <c r="AP249" s="3032"/>
      <c r="AQ249" s="3032"/>
      <c r="AR249" s="3033"/>
      <c r="AS249" s="624"/>
      <c r="AX249"/>
      <c r="AY249"/>
      <c r="AZ249"/>
      <c r="BA249"/>
      <c r="BB249"/>
      <c r="BC249"/>
      <c r="BD249"/>
      <c r="BE249"/>
      <c r="BF249"/>
      <c r="BG249"/>
      <c r="BH249"/>
      <c r="BI249"/>
    </row>
    <row r="250" spans="1:61" s="3" customFormat="1" ht="12.6" customHeight="1">
      <c r="A250" s="936"/>
      <c r="B250" s="4384"/>
      <c r="C250" s="4342"/>
      <c r="D250" s="4342"/>
      <c r="E250" s="4342"/>
      <c r="F250" s="4342"/>
      <c r="G250" s="4342"/>
      <c r="H250" s="4342"/>
      <c r="I250" s="4342"/>
      <c r="J250" s="4342"/>
      <c r="K250" s="4342"/>
      <c r="L250" s="4342"/>
      <c r="M250" s="4342"/>
      <c r="N250" s="4348"/>
      <c r="O250" s="4345"/>
      <c r="P250" s="4349"/>
      <c r="Q250" s="4350"/>
      <c r="R250" s="4349"/>
      <c r="S250" s="4350"/>
      <c r="T250" s="4349"/>
      <c r="U250" s="4350"/>
      <c r="V250" s="4367"/>
      <c r="W250" s="4368"/>
      <c r="X250" s="130"/>
      <c r="Y250" s="2400"/>
      <c r="Z250" s="614"/>
      <c r="AA250" s="614"/>
      <c r="AB250" s="2873"/>
      <c r="AC250" s="2878" t="s">
        <v>3680</v>
      </c>
      <c r="AD250" s="2878"/>
      <c r="AE250" s="3032"/>
      <c r="AF250" s="3032"/>
      <c r="AG250" s="3032"/>
      <c r="AH250" s="3032"/>
      <c r="AI250" s="3032"/>
      <c r="AJ250" s="3032"/>
      <c r="AK250" s="3032"/>
      <c r="AL250" s="3032"/>
      <c r="AM250" s="3032"/>
      <c r="AN250" s="3032"/>
      <c r="AO250" s="3032"/>
      <c r="AP250" s="3032"/>
      <c r="AQ250" s="3032"/>
      <c r="AR250" s="3033"/>
      <c r="AS250" s="624"/>
      <c r="AX250"/>
      <c r="AY250"/>
      <c r="AZ250"/>
      <c r="BA250"/>
      <c r="BB250"/>
      <c r="BC250"/>
      <c r="BD250"/>
      <c r="BE250"/>
      <c r="BF250"/>
      <c r="BG250"/>
      <c r="BH250"/>
      <c r="BI250"/>
    </row>
    <row r="251" spans="1:61" s="3" customFormat="1" ht="12.6" customHeight="1">
      <c r="A251" s="936"/>
      <c r="B251" s="4384"/>
      <c r="C251" s="4351">
        <v>10</v>
      </c>
      <c r="D251" s="4342"/>
      <c r="E251" s="3529" t="s">
        <v>3640</v>
      </c>
      <c r="F251" s="4342"/>
      <c r="G251" s="4342"/>
      <c r="H251" s="4352" t="s">
        <v>2999</v>
      </c>
      <c r="I251" s="4351"/>
      <c r="J251" s="4342"/>
      <c r="K251" s="4342"/>
      <c r="L251" s="4342"/>
      <c r="M251" s="4342"/>
      <c r="N251" s="4348"/>
      <c r="O251" s="4345"/>
      <c r="P251" s="4320"/>
      <c r="Q251" s="4350"/>
      <c r="R251" s="4320"/>
      <c r="S251" s="4350"/>
      <c r="T251" s="4349"/>
      <c r="U251" s="4350"/>
      <c r="V251" s="4367"/>
      <c r="W251" s="4368"/>
      <c r="X251" s="130"/>
      <c r="Y251" s="2400"/>
      <c r="Z251" s="614"/>
      <c r="AA251" s="614"/>
      <c r="AB251" s="2873"/>
      <c r="AC251" s="2878" t="s">
        <v>3681</v>
      </c>
      <c r="AD251" s="2878"/>
      <c r="AE251" s="3032"/>
      <c r="AF251" s="3032"/>
      <c r="AG251" s="3032"/>
      <c r="AH251" s="3032"/>
      <c r="AI251" s="2879" t="s">
        <v>338</v>
      </c>
      <c r="AJ251" s="4410">
        <f>IF(AJ256&lt;&gt;"",AJ256,IF(AJ235,0,SUM(AJ215,-AJ246)))</f>
        <v>0</v>
      </c>
      <c r="AK251" s="2879"/>
      <c r="AL251" s="4410">
        <f>IF(AL256&lt;&gt;"",AL256,IF(AL235,0,SUM(AL215,-AL246)))</f>
        <v>0</v>
      </c>
      <c r="AM251" s="2879"/>
      <c r="AN251" s="4410">
        <f>IF(AN256&lt;&gt;"",AN256,IF(AN235,0,SUM(AN215,-AN246)))</f>
        <v>0</v>
      </c>
      <c r="AO251" s="2879"/>
      <c r="AP251" s="4410">
        <f>IF(AP256&lt;&gt;"",AP256,IF(AP235,0,SUM(AP215,-AP246)))</f>
        <v>0</v>
      </c>
      <c r="AQ251" s="2879"/>
      <c r="AR251" s="3033"/>
      <c r="AS251" s="624"/>
      <c r="AX251"/>
      <c r="AY251"/>
      <c r="AZ251"/>
      <c r="BA251"/>
      <c r="BB251"/>
      <c r="BC251"/>
      <c r="BD251"/>
      <c r="BE251"/>
      <c r="BF251"/>
      <c r="BG251"/>
      <c r="BH251"/>
      <c r="BI251"/>
    </row>
    <row r="252" spans="1:61" s="3" customFormat="1" ht="12.6" customHeight="1" thickBot="1">
      <c r="A252" s="936"/>
      <c r="B252" s="4384"/>
      <c r="C252" s="4351"/>
      <c r="D252" s="4353"/>
      <c r="E252" s="3529" t="s">
        <v>3642</v>
      </c>
      <c r="F252" s="4342"/>
      <c r="G252" s="4341" t="s">
        <v>2449</v>
      </c>
      <c r="H252" s="4335"/>
      <c r="I252" s="3530" t="s">
        <v>3641</v>
      </c>
      <c r="J252" s="4335"/>
      <c r="K252" s="4356" t="s">
        <v>2449</v>
      </c>
      <c r="L252" s="5786">
        <v>0.04</v>
      </c>
      <c r="M252" s="5787"/>
      <c r="N252" s="5788"/>
      <c r="O252" s="4345"/>
      <c r="P252" s="4349"/>
      <c r="Q252" s="4350"/>
      <c r="R252" s="4349"/>
      <c r="S252" s="4350"/>
      <c r="T252" s="4349"/>
      <c r="U252" s="4350"/>
      <c r="V252" s="4367"/>
      <c r="W252" s="4368"/>
      <c r="X252" s="130"/>
      <c r="Y252" s="2400"/>
      <c r="Z252" s="614"/>
      <c r="AA252" s="614"/>
      <c r="AB252" s="2881"/>
      <c r="AC252" s="3044"/>
      <c r="AD252" s="3044"/>
      <c r="AE252" s="3044"/>
      <c r="AF252" s="3044"/>
      <c r="AG252" s="3044"/>
      <c r="AH252" s="3044"/>
      <c r="AI252" s="3044"/>
      <c r="AJ252" s="3044"/>
      <c r="AK252" s="3044"/>
      <c r="AL252" s="3044"/>
      <c r="AM252" s="3044"/>
      <c r="AN252" s="3044"/>
      <c r="AO252" s="3044"/>
      <c r="AP252" s="3044"/>
      <c r="AQ252" s="3044"/>
      <c r="AR252" s="3045"/>
      <c r="AS252" s="624"/>
      <c r="AX252"/>
      <c r="AY252"/>
      <c r="AZ252"/>
      <c r="BA252"/>
      <c r="BB252"/>
      <c r="BC252"/>
      <c r="BD252"/>
      <c r="BE252"/>
      <c r="BF252"/>
      <c r="BG252"/>
      <c r="BH252"/>
      <c r="BI252"/>
    </row>
    <row r="253" spans="1:61" s="3" customFormat="1" ht="15.95" customHeight="1">
      <c r="A253" s="936"/>
      <c r="B253" s="4385"/>
      <c r="C253" s="4335"/>
      <c r="D253" s="4357"/>
      <c r="E253" s="4335"/>
      <c r="F253" s="4335"/>
      <c r="G253" s="4335"/>
      <c r="H253" s="4335"/>
      <c r="I253" s="4359">
        <v>366</v>
      </c>
      <c r="J253" s="4335"/>
      <c r="K253" s="4335"/>
      <c r="L253" s="4335"/>
      <c r="M253" s="4335"/>
      <c r="N253" s="4358"/>
      <c r="O253" s="4365">
        <v>10</v>
      </c>
      <c r="P253" s="5735">
        <f>ROUND(AY333,2)</f>
        <v>0</v>
      </c>
      <c r="Q253" s="5736"/>
      <c r="R253" s="5735">
        <f>ROUND(BC333,2)</f>
        <v>0</v>
      </c>
      <c r="S253" s="5736"/>
      <c r="T253" s="5735">
        <f>ROUND(BF333,2)</f>
        <v>0</v>
      </c>
      <c r="U253" s="5736"/>
      <c r="V253" s="4369"/>
      <c r="W253" s="4370"/>
      <c r="X253" s="130"/>
      <c r="Y253" s="2400"/>
      <c r="Z253" s="614"/>
      <c r="AA253" s="614"/>
      <c r="AB253" s="614"/>
      <c r="AC253" s="614"/>
      <c r="AD253" s="614"/>
      <c r="AE253" s="614"/>
      <c r="AF253" s="614"/>
      <c r="AG253" s="614"/>
      <c r="AH253" s="614"/>
      <c r="AI253" s="4411"/>
      <c r="AJ253" s="4411"/>
      <c r="AK253" s="4411"/>
      <c r="AL253" s="4411"/>
      <c r="AM253" s="4411"/>
      <c r="AN253" s="4411"/>
      <c r="AO253" s="4411"/>
      <c r="AP253" s="4411"/>
      <c r="AQ253" s="4411"/>
      <c r="AR253" s="4411"/>
      <c r="AS253" s="624"/>
      <c r="AX253"/>
      <c r="AY253"/>
      <c r="AZ253"/>
      <c r="BA253"/>
      <c r="BB253"/>
      <c r="BC253"/>
      <c r="BD253"/>
      <c r="BE253"/>
      <c r="BF253"/>
      <c r="BG253"/>
      <c r="BH253"/>
      <c r="BI253"/>
    </row>
    <row r="254" spans="1:61" s="4374" customFormat="1" ht="20.100000000000001" customHeight="1">
      <c r="A254" s="4371"/>
      <c r="B254" s="4384"/>
      <c r="C254" s="4347" t="s">
        <v>3711</v>
      </c>
      <c r="D254" s="4347"/>
      <c r="E254" s="4342"/>
      <c r="F254" s="4347" t="str">
        <f>TEXT(K255,"MMMM D, YYYY")&amp;"—"&amp;TEXT(K256,"MMMM D, YYYY")</f>
        <v>January 1, 2017—April 15, 2017</v>
      </c>
      <c r="G254" s="4342"/>
      <c r="H254" s="4342"/>
      <c r="I254" s="4342"/>
      <c r="J254" s="4342"/>
      <c r="K254" s="4342"/>
      <c r="L254" s="4342"/>
      <c r="M254" s="4342"/>
      <c r="N254" s="4348"/>
      <c r="O254" s="4372"/>
      <c r="P254" s="5789"/>
      <c r="Q254" s="5790"/>
      <c r="R254" s="5789"/>
      <c r="S254" s="5790"/>
      <c r="T254" s="4363"/>
      <c r="U254" s="4364"/>
      <c r="V254" s="4367"/>
      <c r="W254" s="4368"/>
      <c r="X254" s="4373"/>
      <c r="Y254" s="2400"/>
      <c r="Z254" s="614"/>
      <c r="AA254" s="614"/>
      <c r="AB254" s="614"/>
      <c r="AC254" s="614"/>
      <c r="AD254" s="614"/>
      <c r="AE254" s="614"/>
      <c r="AF254" s="614"/>
      <c r="AG254" s="614"/>
      <c r="AH254" s="614"/>
      <c r="AI254" s="4413"/>
      <c r="AJ254" s="5755" t="s">
        <v>3683</v>
      </c>
      <c r="AK254" s="5755"/>
      <c r="AL254" s="5755"/>
      <c r="AM254" s="5755"/>
      <c r="AN254" s="5755"/>
      <c r="AO254" s="5755"/>
      <c r="AP254" s="5755"/>
      <c r="AQ254" s="4413"/>
      <c r="AR254" s="4413"/>
      <c r="AS254" s="624"/>
      <c r="AX254"/>
      <c r="AY254"/>
      <c r="AZ254"/>
      <c r="BA254"/>
      <c r="BB254"/>
      <c r="BC254"/>
      <c r="BD254"/>
      <c r="BE254"/>
      <c r="BF254"/>
      <c r="BG254"/>
      <c r="BH254"/>
      <c r="BI254"/>
    </row>
    <row r="255" spans="1:61" s="3" customFormat="1" ht="15.75" thickBot="1">
      <c r="A255" s="936"/>
      <c r="B255" s="4384"/>
      <c r="C255" s="4351">
        <v>11</v>
      </c>
      <c r="D255" s="4353" t="s">
        <v>3637</v>
      </c>
      <c r="E255" s="4342"/>
      <c r="F255" s="4342"/>
      <c r="G255" s="4342"/>
      <c r="H255" s="4342"/>
      <c r="I255" s="4342"/>
      <c r="J255" s="4342"/>
      <c r="K255" s="5720">
        <f>DATEVALUE("1/1/"&amp;TaxYear+1)</f>
        <v>42736</v>
      </c>
      <c r="L255" s="5721"/>
      <c r="M255" s="5721"/>
      <c r="N255" s="5722"/>
      <c r="O255" s="4366">
        <v>11</v>
      </c>
      <c r="P255" s="5782">
        <f>$K246</f>
        <v>42735</v>
      </c>
      <c r="Q255" s="5783"/>
      <c r="R255" s="5782">
        <f>$K246</f>
        <v>42735</v>
      </c>
      <c r="S255" s="5783"/>
      <c r="T255" s="5782">
        <f>$K246</f>
        <v>42735</v>
      </c>
      <c r="U255" s="5783"/>
      <c r="V255" s="5782">
        <f>V216</f>
        <v>42750</v>
      </c>
      <c r="W255" s="5783"/>
      <c r="X255" s="130"/>
      <c r="Y255" s="2400"/>
      <c r="Z255" s="614"/>
      <c r="AA255" s="614"/>
      <c r="AB255" s="614"/>
      <c r="AC255" s="614"/>
      <c r="AD255" s="614"/>
      <c r="AE255" s="614"/>
      <c r="AF255" s="614"/>
      <c r="AG255" s="614"/>
      <c r="AH255" s="614"/>
      <c r="AI255" s="4413"/>
      <c r="AJ255" s="4478"/>
      <c r="AK255" s="4413"/>
      <c r="AL255" s="4478"/>
      <c r="AM255" s="4413"/>
      <c r="AN255" s="4478"/>
      <c r="AO255" s="4413"/>
      <c r="AP255" s="4478"/>
      <c r="AQ255" s="4413"/>
      <c r="AR255" s="4413"/>
      <c r="AS255" s="624"/>
      <c r="AX255"/>
      <c r="AY255"/>
      <c r="AZ255"/>
      <c r="BA255"/>
      <c r="BB255"/>
      <c r="BC255"/>
      <c r="BD255"/>
      <c r="BE255"/>
      <c r="BF255"/>
      <c r="BG255"/>
      <c r="BH255"/>
      <c r="BI255"/>
    </row>
    <row r="256" spans="1:61" s="3" customFormat="1" ht="12.6" customHeight="1" thickBot="1">
      <c r="A256" s="936"/>
      <c r="B256" s="4384"/>
      <c r="C256" s="4342"/>
      <c r="D256" s="4342"/>
      <c r="E256" s="4342"/>
      <c r="F256" s="4342"/>
      <c r="G256" s="4342"/>
      <c r="H256" s="4342"/>
      <c r="I256" s="4342"/>
      <c r="J256" s="4342"/>
      <c r="K256" s="5720">
        <f>DATEVALUE("4/15/"&amp;TaxYear+1)</f>
        <v>42840</v>
      </c>
      <c r="L256" s="5721"/>
      <c r="M256" s="5721"/>
      <c r="N256" s="5722"/>
      <c r="O256" s="4345"/>
      <c r="P256" s="5784" t="s">
        <v>3638</v>
      </c>
      <c r="Q256" s="5785"/>
      <c r="R256" s="5784" t="s">
        <v>3638</v>
      </c>
      <c r="S256" s="5785"/>
      <c r="T256" s="5784" t="s">
        <v>3638</v>
      </c>
      <c r="U256" s="5785"/>
      <c r="V256" s="5784" t="s">
        <v>3638</v>
      </c>
      <c r="W256" s="5785"/>
      <c r="X256" s="130"/>
      <c r="Y256" s="2400"/>
      <c r="Z256" s="614"/>
      <c r="AA256" s="614"/>
      <c r="AB256" s="614"/>
      <c r="AC256" s="614"/>
      <c r="AD256" s="614"/>
      <c r="AE256" s="614"/>
      <c r="AF256" s="614"/>
      <c r="AG256" s="614"/>
      <c r="AH256" s="614"/>
      <c r="AI256" s="4418" t="s">
        <v>338</v>
      </c>
      <c r="AJ256" s="4479"/>
      <c r="AK256" s="4414"/>
      <c r="AL256" s="4479"/>
      <c r="AM256" s="4414"/>
      <c r="AN256" s="4479"/>
      <c r="AO256" s="4414"/>
      <c r="AP256" s="4479"/>
      <c r="AQ256" s="4414"/>
      <c r="AR256" s="4414"/>
      <c r="AS256" s="624"/>
      <c r="AX256"/>
      <c r="AY256"/>
      <c r="AZ256"/>
      <c r="BA256"/>
      <c r="BB256"/>
      <c r="BC256"/>
      <c r="BD256"/>
      <c r="BE256"/>
      <c r="BF256"/>
      <c r="BG256"/>
      <c r="BH256"/>
      <c r="BI256"/>
    </row>
    <row r="257" spans="1:61" s="3" customFormat="1" ht="12.6" customHeight="1">
      <c r="A257" s="936"/>
      <c r="B257" s="4384"/>
      <c r="C257" s="4342"/>
      <c r="D257" s="4342"/>
      <c r="E257" s="4342"/>
      <c r="F257" s="4342"/>
      <c r="G257" s="4342"/>
      <c r="H257" s="4342"/>
      <c r="I257" s="4342"/>
      <c r="J257" s="4342"/>
      <c r="K257" s="4342"/>
      <c r="L257" s="4342"/>
      <c r="M257" s="4342"/>
      <c r="N257" s="4348"/>
      <c r="O257" s="4345"/>
      <c r="P257" s="4444"/>
      <c r="Q257" s="4350"/>
      <c r="R257" s="4320"/>
      <c r="S257" s="4350"/>
      <c r="T257" s="4320"/>
      <c r="U257" s="4350"/>
      <c r="V257" s="4320"/>
      <c r="W257" s="4350"/>
      <c r="X257" s="130"/>
      <c r="Y257" s="2400"/>
      <c r="Z257" s="614"/>
      <c r="AA257" s="614"/>
      <c r="AB257" s="614"/>
      <c r="AC257" s="614"/>
      <c r="AD257" s="614"/>
      <c r="AE257" s="614"/>
      <c r="AF257" s="614"/>
      <c r="AG257" s="614"/>
      <c r="AH257" s="614"/>
      <c r="AI257" s="4415"/>
      <c r="AJ257" s="4415"/>
      <c r="AK257" s="4415"/>
      <c r="AL257" s="4415"/>
      <c r="AM257" s="4415"/>
      <c r="AN257" s="4415"/>
      <c r="AO257" s="4415"/>
      <c r="AP257" s="4415"/>
      <c r="AQ257" s="4415"/>
      <c r="AR257" s="4415"/>
      <c r="AS257" s="624"/>
      <c r="AX257"/>
      <c r="AY257"/>
      <c r="AZ257"/>
      <c r="BA257"/>
      <c r="BB257"/>
      <c r="BC257"/>
      <c r="BD257"/>
      <c r="BE257"/>
      <c r="BF257"/>
      <c r="BG257"/>
      <c r="BH257"/>
      <c r="BI257"/>
    </row>
    <row r="258" spans="1:61" s="3" customFormat="1" ht="12.6" customHeight="1">
      <c r="A258" s="936"/>
      <c r="B258" s="4384"/>
      <c r="C258" s="4351">
        <v>12</v>
      </c>
      <c r="D258" s="4352" t="s">
        <v>3648</v>
      </c>
      <c r="E258" s="4342"/>
      <c r="F258" s="4342"/>
      <c r="G258" s="4342"/>
      <c r="H258" s="4342"/>
      <c r="I258" s="4342"/>
      <c r="J258" s="4342"/>
      <c r="K258" s="4342"/>
      <c r="L258" s="4342"/>
      <c r="M258" s="4342"/>
      <c r="N258" s="4348"/>
      <c r="O258" s="4345"/>
      <c r="P258" s="4349"/>
      <c r="Q258" s="4451">
        <f>IF(P$218&gt;$K256,$K256,P$218)</f>
        <v>0</v>
      </c>
      <c r="R258" s="4349"/>
      <c r="S258" s="4451">
        <f>IF(R$218&gt;$K256,$K256,R$218)</f>
        <v>42840</v>
      </c>
      <c r="T258" s="4349"/>
      <c r="U258" s="4451">
        <f>IF(T$218&gt;$K256,$K256,T$218)</f>
        <v>42840</v>
      </c>
      <c r="V258" s="4349"/>
      <c r="W258" s="4451">
        <f>IF(V$218&gt;$K256,$K256,V$218)</f>
        <v>42840</v>
      </c>
      <c r="X258" s="130"/>
      <c r="Y258" s="2400"/>
      <c r="Z258" s="614"/>
      <c r="AA258" s="614"/>
      <c r="AB258" s="614"/>
      <c r="AC258" s="614"/>
      <c r="AD258" s="614"/>
      <c r="AE258" s="614"/>
      <c r="AF258" s="614"/>
      <c r="AG258" s="614"/>
      <c r="AH258" s="614"/>
      <c r="AI258" s="614"/>
      <c r="AJ258" s="614"/>
      <c r="AK258" s="614"/>
      <c r="AL258" s="614"/>
      <c r="AM258" s="614"/>
      <c r="AN258" s="614"/>
      <c r="AO258" s="614"/>
      <c r="AP258" s="614"/>
      <c r="AQ258" s="614"/>
      <c r="AR258" s="614"/>
      <c r="AS258" s="624"/>
      <c r="AX258"/>
      <c r="AY258"/>
      <c r="AZ258"/>
      <c r="BA258"/>
      <c r="BB258"/>
      <c r="BC258"/>
      <c r="BD258"/>
      <c r="BE258"/>
      <c r="BF258"/>
      <c r="BG258"/>
      <c r="BH258"/>
      <c r="BI258"/>
    </row>
    <row r="259" spans="1:61" s="3" customFormat="1" ht="12.6" customHeight="1">
      <c r="A259" s="936"/>
      <c r="B259" s="4384"/>
      <c r="C259" s="4342"/>
      <c r="D259" s="4352" t="s">
        <v>3728</v>
      </c>
      <c r="E259" s="4342"/>
      <c r="F259" s="4342"/>
      <c r="G259" s="4352" t="str">
        <f>"4/15/"&amp;TaxYear+1-2000&amp;", whichever is earlier"</f>
        <v>4/15/17, whichever is earlier</v>
      </c>
      <c r="H259" s="4342"/>
      <c r="I259" s="4342"/>
      <c r="J259" s="4342"/>
      <c r="K259" s="4342"/>
      <c r="L259" s="4342"/>
      <c r="M259" s="4342"/>
      <c r="N259" s="4362" t="s">
        <v>1379</v>
      </c>
      <c r="O259" s="4365">
        <v>12</v>
      </c>
      <c r="P259" s="5778" t="str">
        <f>IF(P263=0,"",IF(Q258-P255&lt;0,0,Q258-P255))</f>
        <v/>
      </c>
      <c r="Q259" s="5779"/>
      <c r="R259" s="5778" t="str">
        <f>IF(R263=0,"",IF(S258-R255&lt;0,0,S258-R255))</f>
        <v/>
      </c>
      <c r="S259" s="5779"/>
      <c r="T259" s="5778" t="str">
        <f>IF(T263=0,"",IF(U258-T255&lt;0,0,U258-T255))</f>
        <v/>
      </c>
      <c r="U259" s="5779"/>
      <c r="V259" s="5778" t="str">
        <f>IF(V263=0,"",IF(W258-V255&lt;0,0,W258-V255))</f>
        <v/>
      </c>
      <c r="W259" s="5779"/>
      <c r="X259" s="130"/>
      <c r="Y259" s="2400"/>
      <c r="Z259" s="614"/>
      <c r="AA259" s="614"/>
      <c r="AB259" s="614"/>
      <c r="AC259" s="614"/>
      <c r="AD259" s="614"/>
      <c r="AE259" s="614"/>
      <c r="AF259" s="614"/>
      <c r="AG259" s="614"/>
      <c r="AH259" s="614"/>
      <c r="AI259" s="614"/>
      <c r="AJ259" s="614"/>
      <c r="AK259" s="614"/>
      <c r="AL259" s="614"/>
      <c r="AM259" s="614"/>
      <c r="AN259" s="614"/>
      <c r="AO259" s="614"/>
      <c r="AP259" s="614"/>
      <c r="AQ259" s="614"/>
      <c r="AR259" s="614"/>
      <c r="AS259" s="624"/>
      <c r="AX259"/>
      <c r="AY259"/>
      <c r="AZ259"/>
      <c r="BA259"/>
      <c r="BB259"/>
      <c r="BC259"/>
      <c r="BD259"/>
      <c r="BE259"/>
      <c r="BF259"/>
      <c r="BG259"/>
      <c r="BH259"/>
      <c r="BI259"/>
    </row>
    <row r="260" spans="1:61" s="3" customFormat="1" ht="12.6" customHeight="1">
      <c r="A260" s="936"/>
      <c r="B260" s="4384"/>
      <c r="C260" s="4342"/>
      <c r="D260" s="4342"/>
      <c r="E260" s="4342"/>
      <c r="F260" s="4342"/>
      <c r="G260" s="4342"/>
      <c r="H260" s="4342"/>
      <c r="I260" s="4342"/>
      <c r="J260" s="4342"/>
      <c r="K260" s="4342"/>
      <c r="L260" s="4342"/>
      <c r="M260" s="4342"/>
      <c r="N260" s="4348"/>
      <c r="O260" s="4345"/>
      <c r="P260" s="4349"/>
      <c r="Q260" s="4350"/>
      <c r="R260" s="4349"/>
      <c r="S260" s="4350"/>
      <c r="T260" s="4349"/>
      <c r="U260" s="4350"/>
      <c r="V260" s="4349"/>
      <c r="W260" s="4350"/>
      <c r="X260" s="130"/>
      <c r="Y260" s="2400"/>
      <c r="Z260" s="614"/>
      <c r="AA260" s="614"/>
      <c r="AB260" s="614"/>
      <c r="AC260" s="614"/>
      <c r="AD260" s="614"/>
      <c r="AE260" s="614"/>
      <c r="AF260" s="614"/>
      <c r="AG260" s="614"/>
      <c r="AH260" s="614"/>
      <c r="AI260" s="614"/>
      <c r="AJ260" s="614"/>
      <c r="AK260" s="614"/>
      <c r="AL260" s="614"/>
      <c r="AM260" s="614"/>
      <c r="AN260" s="614"/>
      <c r="AO260" s="614"/>
      <c r="AP260" s="614"/>
      <c r="AQ260" s="614"/>
      <c r="AR260" s="614"/>
      <c r="AS260" s="624"/>
      <c r="AX260"/>
      <c r="AY260"/>
      <c r="AZ260"/>
      <c r="BA260"/>
      <c r="BB260"/>
      <c r="BC260"/>
      <c r="BD260"/>
      <c r="BE260"/>
      <c r="BF260"/>
      <c r="BG260"/>
      <c r="BH260"/>
      <c r="BI260"/>
    </row>
    <row r="261" spans="1:61" s="3" customFormat="1" ht="12.6" customHeight="1">
      <c r="A261" s="936"/>
      <c r="B261" s="4384"/>
      <c r="C261" s="4351">
        <v>13</v>
      </c>
      <c r="D261" s="4342"/>
      <c r="E261" s="3529" t="s">
        <v>3640</v>
      </c>
      <c r="F261" s="4342"/>
      <c r="G261" s="4342"/>
      <c r="H261" s="4352" t="s">
        <v>2999</v>
      </c>
      <c r="I261" s="4351"/>
      <c r="J261" s="4342"/>
      <c r="K261" s="4342"/>
      <c r="L261" s="4342"/>
      <c r="M261" s="4342"/>
      <c r="N261" s="4348"/>
      <c r="O261" s="4345"/>
      <c r="P261" s="4320"/>
      <c r="Q261" s="4350"/>
      <c r="R261" s="4320"/>
      <c r="S261" s="4350"/>
      <c r="T261" s="4349"/>
      <c r="U261" s="4350"/>
      <c r="V261" s="4349"/>
      <c r="W261" s="4350"/>
      <c r="X261" s="130"/>
      <c r="Y261" s="2400"/>
      <c r="Z261" s="614"/>
      <c r="AA261" s="614"/>
      <c r="AB261" s="614"/>
      <c r="AC261" s="614"/>
      <c r="AD261" s="614"/>
      <c r="AE261" s="614"/>
      <c r="AF261" s="614"/>
      <c r="AG261" s="614"/>
      <c r="AH261" s="614"/>
      <c r="AI261" s="614"/>
      <c r="AJ261" s="614"/>
      <c r="AK261" s="614"/>
      <c r="AL261" s="614"/>
      <c r="AM261" s="614"/>
      <c r="AN261" s="614"/>
      <c r="AO261" s="614"/>
      <c r="AP261" s="614"/>
      <c r="AQ261" s="614"/>
      <c r="AR261" s="614"/>
      <c r="AS261" s="624"/>
      <c r="AX261"/>
      <c r="AY261"/>
      <c r="AZ261"/>
      <c r="BA261"/>
      <c r="BB261"/>
      <c r="BC261"/>
      <c r="BD261"/>
      <c r="BE261"/>
      <c r="BF261"/>
      <c r="BG261"/>
      <c r="BH261"/>
      <c r="BI261"/>
    </row>
    <row r="262" spans="1:61" s="3" customFormat="1" ht="12.6" customHeight="1">
      <c r="A262" s="936"/>
      <c r="B262" s="4384"/>
      <c r="C262" s="4351"/>
      <c r="D262" s="4353"/>
      <c r="E262" s="3529" t="s">
        <v>3642</v>
      </c>
      <c r="F262" s="4342"/>
      <c r="G262" s="4341" t="s">
        <v>2449</v>
      </c>
      <c r="H262" s="4335"/>
      <c r="I262" s="3530" t="s">
        <v>3641</v>
      </c>
      <c r="J262" s="4335"/>
      <c r="K262" s="4356" t="s">
        <v>2449</v>
      </c>
      <c r="L262" s="5786">
        <v>0.04</v>
      </c>
      <c r="M262" s="5787"/>
      <c r="N262" s="5788"/>
      <c r="O262" s="4345"/>
      <c r="P262" s="4349"/>
      <c r="Q262" s="4350"/>
      <c r="R262" s="4349"/>
      <c r="S262" s="4350"/>
      <c r="T262" s="4349"/>
      <c r="U262" s="4350"/>
      <c r="V262" s="4349"/>
      <c r="W262" s="4350"/>
      <c r="X262" s="130"/>
      <c r="Y262" s="2400"/>
      <c r="Z262" s="614"/>
      <c r="AA262" s="614"/>
      <c r="AB262" s="614"/>
      <c r="AC262" s="614"/>
      <c r="AD262" s="614"/>
      <c r="AE262" s="614"/>
      <c r="AF262" s="614"/>
      <c r="AG262" s="614"/>
      <c r="AH262" s="614"/>
      <c r="AI262" s="614"/>
      <c r="AJ262" s="614"/>
      <c r="AK262" s="614"/>
      <c r="AL262" s="614"/>
      <c r="AM262" s="614"/>
      <c r="AN262" s="614"/>
      <c r="AO262" s="614"/>
      <c r="AP262" s="614"/>
      <c r="AQ262" s="614"/>
      <c r="AR262" s="614"/>
      <c r="AS262" s="624"/>
      <c r="AX262"/>
      <c r="AY262"/>
      <c r="AZ262"/>
      <c r="BA262"/>
      <c r="BB262"/>
      <c r="BC262"/>
      <c r="BD262"/>
      <c r="BE262"/>
      <c r="BF262"/>
      <c r="BG262"/>
      <c r="BH262"/>
      <c r="BI262"/>
    </row>
    <row r="263" spans="1:61" s="3" customFormat="1" ht="15.95" customHeight="1">
      <c r="A263" s="936"/>
      <c r="B263" s="4384"/>
      <c r="C263" s="4342"/>
      <c r="D263" s="4353"/>
      <c r="E263" s="4342"/>
      <c r="F263" s="4342"/>
      <c r="G263" s="4342"/>
      <c r="H263" s="4342"/>
      <c r="I263" s="4361">
        <v>366</v>
      </c>
      <c r="J263" s="4342"/>
      <c r="K263" s="4342"/>
      <c r="L263" s="4342"/>
      <c r="M263" s="4342"/>
      <c r="N263" s="4362"/>
      <c r="O263" s="4354">
        <v>13</v>
      </c>
      <c r="P263" s="5735">
        <f>ROUND(AZ333,2)</f>
        <v>0</v>
      </c>
      <c r="Q263" s="5736"/>
      <c r="R263" s="5735">
        <f>ROUND(BD333,2)</f>
        <v>0</v>
      </c>
      <c r="S263" s="5736"/>
      <c r="T263" s="5735">
        <f>ROUND(BG333,2)</f>
        <v>0</v>
      </c>
      <c r="U263" s="5736"/>
      <c r="V263" s="5735">
        <f>ROUND(BH333,2)</f>
        <v>0</v>
      </c>
      <c r="W263" s="5736"/>
      <c r="X263" s="130"/>
      <c r="Y263" s="2400"/>
      <c r="Z263" s="614"/>
      <c r="AA263" s="614"/>
      <c r="AB263" s="614"/>
      <c r="AC263" s="614"/>
      <c r="AD263" s="614"/>
      <c r="AE263" s="614"/>
      <c r="AF263" s="614"/>
      <c r="AG263" s="614"/>
      <c r="AH263" s="614"/>
      <c r="AI263" s="614"/>
      <c r="AJ263" s="614"/>
      <c r="AK263" s="614"/>
      <c r="AL263" s="614"/>
      <c r="AM263" s="614"/>
      <c r="AN263" s="614"/>
      <c r="AO263" s="614"/>
      <c r="AP263" s="614"/>
      <c r="AQ263" s="614"/>
      <c r="AR263" s="614"/>
      <c r="AS263" s="624"/>
      <c r="AX263"/>
      <c r="AY263"/>
      <c r="AZ263"/>
      <c r="BA263"/>
      <c r="BB263"/>
      <c r="BC263"/>
      <c r="BD263"/>
      <c r="BE263"/>
      <c r="BF263"/>
      <c r="BG263"/>
      <c r="BH263"/>
      <c r="BI263"/>
    </row>
    <row r="264" spans="1:61" ht="15">
      <c r="A264" s="936"/>
      <c r="B264" s="3382"/>
      <c r="C264" s="4375">
        <v>14</v>
      </c>
      <c r="D264" s="3383" t="s">
        <v>3645</v>
      </c>
      <c r="E264" s="3383"/>
      <c r="F264" s="3383"/>
      <c r="G264" s="3383"/>
      <c r="H264" s="3383"/>
      <c r="I264" s="3383"/>
      <c r="J264" s="3383"/>
      <c r="K264" s="3383"/>
      <c r="L264" s="3383"/>
      <c r="M264" s="3383"/>
      <c r="N264" s="3383"/>
      <c r="O264" s="3383"/>
      <c r="P264" s="3383"/>
      <c r="Q264" s="3383"/>
      <c r="R264" s="3383"/>
      <c r="S264" s="3383"/>
      <c r="T264" s="3383"/>
      <c r="U264" s="3383"/>
      <c r="V264" s="3382"/>
      <c r="W264" s="3384"/>
      <c r="X264" s="130"/>
      <c r="Y264" s="2400"/>
      <c r="Z264" s="614"/>
      <c r="AA264" s="614"/>
      <c r="AB264" s="614"/>
      <c r="AC264" s="614"/>
      <c r="AD264" s="614"/>
      <c r="AE264" s="614"/>
      <c r="AF264" s="614"/>
      <c r="AG264" s="614"/>
      <c r="AH264" s="614"/>
      <c r="AI264" s="614"/>
      <c r="AJ264" s="614"/>
      <c r="AK264" s="614"/>
      <c r="AL264" s="614"/>
      <c r="AM264" s="614"/>
      <c r="AN264" s="614"/>
      <c r="AO264" s="614"/>
      <c r="AP264" s="614"/>
      <c r="AQ264" s="614"/>
      <c r="AR264" s="614"/>
      <c r="AS264" s="624"/>
    </row>
    <row r="265" spans="1:61">
      <c r="A265" s="936"/>
      <c r="B265" s="3385"/>
      <c r="C265" s="3032"/>
      <c r="D265" s="3032" t="s">
        <v>3646</v>
      </c>
      <c r="E265" s="3032"/>
      <c r="F265" s="3032"/>
      <c r="G265" s="3032"/>
      <c r="H265" s="3032"/>
      <c r="I265" s="3032"/>
      <c r="J265" s="3032"/>
      <c r="K265" s="3032"/>
      <c r="L265" s="3032"/>
      <c r="M265" s="3032"/>
      <c r="N265" s="3032"/>
      <c r="O265" s="3032"/>
      <c r="P265" s="3032"/>
      <c r="Q265" s="3032"/>
      <c r="R265" s="3032"/>
      <c r="S265" s="3032"/>
      <c r="T265" s="3032"/>
      <c r="U265" s="4362" t="s">
        <v>3005</v>
      </c>
      <c r="V265" s="5780">
        <f>ROUND(SUM(P233,R233,P243,R243,T243,P253,R253,T253,P263,R263,T263,V263),2)</f>
        <v>0</v>
      </c>
      <c r="W265" s="5781"/>
      <c r="X265" s="130"/>
      <c r="Y265" s="2400"/>
      <c r="Z265" s="614"/>
      <c r="AA265" s="614"/>
      <c r="AB265" s="614"/>
      <c r="AC265" s="614"/>
      <c r="AD265" s="614"/>
      <c r="AE265" s="614"/>
      <c r="AF265" s="614"/>
      <c r="AG265" s="614"/>
      <c r="AH265" s="614"/>
      <c r="AI265" s="614"/>
      <c r="AJ265" s="614"/>
      <c r="AK265" s="614"/>
      <c r="AL265" s="614"/>
      <c r="AM265" s="614"/>
      <c r="AN265" s="614"/>
      <c r="AO265" s="614"/>
      <c r="AP265" s="614"/>
      <c r="AQ265" s="614"/>
      <c r="AR265" s="614"/>
      <c r="AS265" s="624"/>
    </row>
    <row r="266" spans="1:61">
      <c r="A266" s="936"/>
      <c r="B266" s="3390"/>
      <c r="C266" s="3391"/>
      <c r="D266" s="3391"/>
      <c r="E266" s="3391"/>
      <c r="F266" s="3391"/>
      <c r="G266" s="3391"/>
      <c r="H266" s="3391"/>
      <c r="I266" s="3391"/>
      <c r="J266" s="3391"/>
      <c r="K266" s="3391"/>
      <c r="L266" s="3391"/>
      <c r="M266" s="3391"/>
      <c r="N266" s="3391"/>
      <c r="O266" s="3391"/>
      <c r="P266" s="3391"/>
      <c r="Q266" s="3391"/>
      <c r="R266" s="3391"/>
      <c r="S266" s="3391"/>
      <c r="T266" s="3391"/>
      <c r="U266" s="3391"/>
      <c r="V266" s="3390"/>
      <c r="W266" s="3392"/>
      <c r="X266" s="130"/>
      <c r="Y266" s="2400"/>
      <c r="Z266" s="614"/>
      <c r="AA266" s="614"/>
      <c r="AB266" s="614"/>
      <c r="AC266" s="614"/>
      <c r="AD266" s="614"/>
      <c r="AE266" s="614"/>
      <c r="AF266" s="614"/>
      <c r="AG266" s="614"/>
      <c r="AH266" s="614"/>
      <c r="AI266" s="614"/>
      <c r="AJ266" s="614"/>
      <c r="AK266" s="614"/>
      <c r="AL266" s="614"/>
      <c r="AM266" s="614"/>
      <c r="AN266" s="614"/>
      <c r="AO266" s="614"/>
      <c r="AP266" s="614"/>
      <c r="AQ266" s="614"/>
      <c r="AR266" s="614"/>
      <c r="AS266" s="624"/>
    </row>
    <row r="267" spans="1:61">
      <c r="A267" s="936"/>
      <c r="B267" s="3383"/>
      <c r="C267" s="3383"/>
      <c r="D267" s="3383"/>
      <c r="E267" s="3383"/>
      <c r="F267" s="3383"/>
      <c r="G267" s="3383"/>
      <c r="H267" s="3383"/>
      <c r="I267" s="3383"/>
      <c r="J267" s="3383"/>
      <c r="K267" s="3383"/>
      <c r="L267" s="3383"/>
      <c r="M267" s="3383"/>
      <c r="N267" s="3383"/>
      <c r="O267" s="3383"/>
      <c r="P267" s="3383"/>
      <c r="Q267" s="3383"/>
      <c r="R267" s="3383"/>
      <c r="S267" s="3383"/>
      <c r="T267" s="3383"/>
      <c r="U267" s="3383"/>
      <c r="V267" s="3383"/>
      <c r="W267" s="3383"/>
      <c r="X267" s="130"/>
      <c r="Y267" s="2400"/>
      <c r="Z267" s="614"/>
      <c r="AA267" s="614"/>
      <c r="AB267" s="614"/>
      <c r="AC267" s="614"/>
      <c r="AD267" s="614"/>
      <c r="AE267" s="614"/>
      <c r="AF267" s="614"/>
      <c r="AG267" s="614"/>
      <c r="AH267" s="614"/>
      <c r="AI267" s="614"/>
      <c r="AJ267" s="614"/>
      <c r="AK267" s="614"/>
      <c r="AL267" s="614"/>
      <c r="AM267" s="614"/>
      <c r="AN267" s="614"/>
      <c r="AO267" s="614"/>
      <c r="AP267" s="614"/>
      <c r="AQ267" s="614"/>
      <c r="AR267" s="614"/>
      <c r="AS267" s="624"/>
    </row>
    <row r="268" spans="1:61" ht="15.75">
      <c r="A268" s="936"/>
      <c r="B268" s="3032"/>
      <c r="C268" s="3032"/>
      <c r="D268" s="3032"/>
      <c r="E268" s="3032"/>
      <c r="F268" s="3032"/>
      <c r="G268" s="3032"/>
      <c r="H268" s="3032"/>
      <c r="I268" s="3032"/>
      <c r="J268" s="3032"/>
      <c r="K268" s="3032"/>
      <c r="L268" s="3032"/>
      <c r="M268" s="3032"/>
      <c r="N268" s="3032"/>
      <c r="O268" s="4387" t="s">
        <v>3650</v>
      </c>
      <c r="P268" s="3032"/>
      <c r="Q268" s="3032"/>
      <c r="R268" s="3032"/>
      <c r="S268" s="3032"/>
      <c r="T268" s="3032"/>
      <c r="U268" s="3032"/>
      <c r="V268" s="3032"/>
      <c r="W268" s="4386" t="s">
        <v>3647</v>
      </c>
      <c r="X268" s="130"/>
      <c r="Y268" s="2400"/>
      <c r="Z268" s="614"/>
      <c r="AA268" s="614"/>
      <c r="AB268" s="614"/>
      <c r="AC268" s="614"/>
      <c r="AD268" s="614"/>
      <c r="AE268" s="614"/>
      <c r="AF268" s="614"/>
      <c r="AG268" s="614"/>
      <c r="AH268" s="614"/>
      <c r="AI268" s="614"/>
      <c r="AJ268" s="614"/>
      <c r="AK268" s="614"/>
      <c r="AL268" s="614"/>
      <c r="AM268" s="614"/>
      <c r="AN268" s="614"/>
      <c r="AO268" s="614"/>
      <c r="AP268" s="614"/>
      <c r="AQ268" s="614"/>
      <c r="AR268" s="614"/>
      <c r="AS268" s="624"/>
    </row>
    <row r="269" spans="1:61">
      <c r="A269" s="936"/>
      <c r="B269" s="3032"/>
      <c r="C269" s="3032"/>
      <c r="D269" s="3032"/>
      <c r="E269" s="3032"/>
      <c r="F269" s="3032"/>
      <c r="G269" s="3032"/>
      <c r="H269" s="3032"/>
      <c r="I269" s="3032"/>
      <c r="J269" s="3032"/>
      <c r="K269" s="3032"/>
      <c r="L269" s="3032"/>
      <c r="M269" s="3032"/>
      <c r="N269" s="3032"/>
      <c r="O269" s="3032"/>
      <c r="P269" s="3032"/>
      <c r="Q269" s="3032"/>
      <c r="R269" s="3032"/>
      <c r="S269" s="3032"/>
      <c r="T269" s="3032"/>
      <c r="U269" s="3032"/>
      <c r="V269" s="3032"/>
      <c r="W269" s="3032"/>
      <c r="X269" s="130"/>
      <c r="Y269" s="2400"/>
      <c r="Z269" s="614"/>
      <c r="AA269" s="614"/>
      <c r="AB269" s="614"/>
      <c r="AC269" s="614"/>
      <c r="AD269" s="614"/>
      <c r="AE269" s="614"/>
      <c r="AF269" s="614"/>
      <c r="AG269" s="614"/>
      <c r="AH269" s="614"/>
      <c r="AI269" s="614"/>
      <c r="AJ269" s="614"/>
      <c r="AK269" s="614"/>
      <c r="AL269" s="614"/>
      <c r="AM269" s="614"/>
      <c r="AN269" s="614"/>
      <c r="AO269" s="614"/>
      <c r="AP269" s="614"/>
      <c r="AQ269" s="614"/>
      <c r="AR269" s="614"/>
      <c r="AS269" s="624"/>
    </row>
    <row r="270" spans="1:61">
      <c r="A270" s="936"/>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2400"/>
      <c r="Z270" s="614"/>
      <c r="AA270" s="614"/>
      <c r="AB270" s="614"/>
      <c r="AC270" s="614"/>
      <c r="AD270" s="614"/>
      <c r="AE270" s="614"/>
      <c r="AF270" s="614"/>
      <c r="AG270" s="614"/>
      <c r="AH270" s="614"/>
      <c r="AI270" s="614"/>
      <c r="AJ270" s="614"/>
      <c r="AK270" s="614"/>
      <c r="AL270" s="614"/>
      <c r="AM270" s="614"/>
      <c r="AN270" s="614"/>
      <c r="AO270" s="614"/>
      <c r="AP270" s="614"/>
      <c r="AQ270" s="614"/>
      <c r="AR270" s="614"/>
      <c r="AS270" s="624"/>
    </row>
    <row r="271" spans="1:61">
      <c r="P271" s="614"/>
      <c r="Q271" s="614"/>
      <c r="R271" s="614"/>
      <c r="S271" s="614"/>
      <c r="T271" s="614"/>
      <c r="U271" s="614"/>
      <c r="V271" s="614"/>
      <c r="W271" s="614"/>
      <c r="X271" s="614"/>
      <c r="Y271"/>
      <c r="AK271" s="3"/>
      <c r="AL271" s="3"/>
      <c r="AM271" s="3"/>
      <c r="AN271" s="3"/>
      <c r="AO271" s="3"/>
      <c r="AP271" s="3"/>
      <c r="AQ271" s="3"/>
      <c r="AR271" s="3"/>
      <c r="AS271" s="3"/>
    </row>
    <row r="272" spans="1:61">
      <c r="P272" s="614"/>
      <c r="Q272" s="2117"/>
      <c r="R272" s="2117"/>
      <c r="S272" s="4468" t="str">
        <f>IF($X$278,"Payments must be entered in order","")</f>
        <v/>
      </c>
      <c r="T272" s="4468"/>
      <c r="U272" s="2117"/>
      <c r="V272" s="2117"/>
      <c r="W272" s="2117"/>
      <c r="X272" s="614"/>
      <c r="Y272"/>
      <c r="AK272" s="3"/>
      <c r="AL272" s="3"/>
      <c r="AM272" s="3"/>
      <c r="AN272" s="3"/>
      <c r="AO272" s="3"/>
      <c r="AP272" s="3"/>
      <c r="AQ272" s="3"/>
      <c r="AR272" s="3"/>
      <c r="AS272" s="3"/>
    </row>
    <row r="273" spans="15:60" ht="15.75">
      <c r="P273" s="614"/>
      <c r="Q273" s="2611"/>
      <c r="R273" s="2117"/>
      <c r="S273" s="4473"/>
      <c r="T273" s="4473" t="str">
        <f>IF(Y278&gt;0,"Entries must be made in order (by date).","Enter payment information here.")</f>
        <v>Enter payment information here.</v>
      </c>
      <c r="U273" s="2117"/>
      <c r="V273" s="2117"/>
      <c r="W273" s="2117"/>
      <c r="X273" s="614"/>
      <c r="Y273"/>
      <c r="AK273" s="3"/>
      <c r="AL273" s="3"/>
      <c r="AM273" s="3"/>
      <c r="AN273" s="3"/>
      <c r="AO273" s="3"/>
      <c r="AP273" s="3"/>
      <c r="AQ273" s="3"/>
      <c r="AR273" s="3"/>
      <c r="AS273" s="3"/>
      <c r="BC273" s="2758"/>
      <c r="BD273" s="2758"/>
    </row>
    <row r="274" spans="15:60">
      <c r="P274" s="614"/>
      <c r="Q274" s="2117"/>
      <c r="R274" s="2117"/>
      <c r="S274" s="4469" t="str">
        <f>IF($X$278,"by date.","")</f>
        <v/>
      </c>
      <c r="T274" s="4469"/>
      <c r="U274" s="2117"/>
      <c r="V274" s="2117"/>
      <c r="W274" s="2117"/>
      <c r="X274" s="614"/>
      <c r="Y274"/>
      <c r="AK274" s="3"/>
      <c r="AL274" s="3"/>
      <c r="AM274" s="3"/>
      <c r="AN274" s="3"/>
      <c r="AO274" s="3"/>
      <c r="AP274" s="3"/>
      <c r="AQ274" s="3"/>
      <c r="AR274" s="3"/>
      <c r="AS274" s="4374"/>
    </row>
    <row r="275" spans="15:60">
      <c r="P275" s="614"/>
      <c r="Q275" s="614"/>
      <c r="R275" s="614"/>
      <c r="S275" s="614"/>
      <c r="T275" s="614"/>
      <c r="U275" s="614"/>
      <c r="V275" s="614"/>
      <c r="W275" s="614"/>
      <c r="X275" s="614"/>
      <c r="Y275"/>
      <c r="AK275" s="3"/>
      <c r="AL275" s="3"/>
      <c r="AM275" s="3"/>
      <c r="AN275" s="3"/>
      <c r="AO275" s="3"/>
      <c r="AP275" s="3"/>
      <c r="AQ275" s="3"/>
      <c r="AR275" s="3"/>
      <c r="AS275" s="3"/>
      <c r="BE275" s="1374"/>
      <c r="BF275" s="1374"/>
      <c r="BG275" s="1374"/>
      <c r="BH275" s="1374"/>
    </row>
    <row r="276" spans="15:60" ht="14.25">
      <c r="O276" s="437"/>
      <c r="P276" s="614"/>
      <c r="Q276" s="614"/>
      <c r="R276" s="614"/>
      <c r="S276" s="4447" t="s">
        <v>3741</v>
      </c>
      <c r="T276" s="614"/>
      <c r="U276" s="614"/>
      <c r="V276" s="614"/>
      <c r="W276" s="4447" t="s">
        <v>3758</v>
      </c>
      <c r="X276" s="614"/>
      <c r="Y276"/>
      <c r="AK276" s="3"/>
      <c r="AL276" s="3"/>
      <c r="AM276" s="3"/>
      <c r="AN276" s="3"/>
      <c r="AO276" s="3"/>
      <c r="AP276" s="3"/>
      <c r="AQ276" s="3"/>
      <c r="AR276" s="3"/>
      <c r="AS276" s="3"/>
      <c r="AX276" s="4336"/>
      <c r="AY276" s="4336"/>
      <c r="AZ276" s="4336"/>
      <c r="BA276" s="4336"/>
      <c r="BB276" s="4336"/>
      <c r="BC276" s="4336"/>
      <c r="BD276" s="4336"/>
    </row>
    <row r="277" spans="15:60" ht="12.75" customHeight="1" thickBot="1">
      <c r="O277" s="437"/>
      <c r="P277" s="614"/>
      <c r="Q277" s="4447" t="s">
        <v>3727</v>
      </c>
      <c r="R277" s="614"/>
      <c r="S277" s="4447" t="s">
        <v>3744</v>
      </c>
      <c r="T277" s="614"/>
      <c r="U277" s="4447" t="s">
        <v>3742</v>
      </c>
      <c r="V277" s="614"/>
      <c r="W277" s="4447" t="s">
        <v>3757</v>
      </c>
      <c r="X277" s="614"/>
      <c r="Y277"/>
      <c r="AJ277" s="3"/>
      <c r="AK277" s="3"/>
      <c r="AL277" s="3"/>
      <c r="AM277" s="3"/>
      <c r="AN277" s="3"/>
      <c r="AO277" s="3"/>
      <c r="AP277" s="3"/>
      <c r="AQ277" s="3"/>
      <c r="AR277" s="3"/>
      <c r="AS277" s="3"/>
      <c r="AW277" s="2624" t="s">
        <v>3729</v>
      </c>
      <c r="AX277" s="2624" t="s">
        <v>3730</v>
      </c>
      <c r="AY277" s="2624" t="s">
        <v>3731</v>
      </c>
      <c r="AZ277" s="2624" t="s">
        <v>3732</v>
      </c>
      <c r="BA277" s="2624" t="s">
        <v>3733</v>
      </c>
      <c r="BB277" s="2624" t="s">
        <v>3734</v>
      </c>
      <c r="BC277" s="2624" t="s">
        <v>3735</v>
      </c>
      <c r="BD277" s="2624" t="s">
        <v>3736</v>
      </c>
      <c r="BE277" s="2624" t="s">
        <v>3737</v>
      </c>
      <c r="BF277" s="2624" t="s">
        <v>3738</v>
      </c>
      <c r="BG277" s="2624" t="s">
        <v>3739</v>
      </c>
      <c r="BH277" s="2624" t="s">
        <v>3740</v>
      </c>
    </row>
    <row r="278" spans="15:60">
      <c r="O278" s="4474">
        <f t="shared" ref="O278:O309" si="30">ROW(Q278)</f>
        <v>278</v>
      </c>
      <c r="P278" s="614"/>
      <c r="Q278" s="4491"/>
      <c r="R278" s="614"/>
      <c r="S278" s="4488"/>
      <c r="T278" s="614"/>
      <c r="U278" s="4498" t="str">
        <f>IF(S278&lt;&gt;"",S278,"")</f>
        <v/>
      </c>
      <c r="V278" s="614"/>
      <c r="W278" s="4485" t="str">
        <f>IF(S278="","",IF(AND(Q278&lt;$P$216,Q279&gt;=$P$216),SUM($P$118,-U278),IF(AND(Q278&lt;$R$216,Q279&gt;=$R$216),SUM($P$118,$R$118,-U278),IF(AND(Q278&lt;$T$216,Q279&gt;=$T$216),SUM($P$118,$R$118,$T$118,-U278),IF(AND(Q278&lt;$V$216,Q279&gt;=$V$216),SUM($P$118,$R$118,$T$118,$V$118,-U278),0)))))</f>
        <v/>
      </c>
      <c r="X278" s="614"/>
      <c r="Y278" s="2591">
        <f>SUM(Y279:Y332)</f>
        <v>0</v>
      </c>
      <c r="AJ278" s="3"/>
      <c r="AK278" s="3"/>
      <c r="AL278" s="3"/>
      <c r="AM278" s="3"/>
      <c r="AN278" s="3"/>
      <c r="AO278" s="3"/>
      <c r="AP278" s="3"/>
      <c r="AQ278" s="3"/>
      <c r="AR278" s="3"/>
      <c r="AW278" s="4497">
        <f>IF(OR($Q278&lt;$P$225,$Q278&gt;$K$226),0,MIN($P$217,$S278)*SUM(MIN($Q278,$K$226),-$P$225)/$I$233*$L$232)</f>
        <v>0</v>
      </c>
      <c r="AX278" s="4497">
        <f>IF(OR($Q278&lt;$P$235,$Q278&gt;$K$236),0,MIN($P$217,$S278)*SUM(MIN($Q278,$K$236),-$P$235)/$I$243*$L$242)</f>
        <v>0</v>
      </c>
      <c r="AY278" s="4497">
        <f>IF(OR($Q278&lt;$P$245,$Q278&gt;$K$246),0,MIN($P$217,$S278)*SUM(MIN($Q278,$K$246),-$P$245)/$I$253*$L$252)</f>
        <v>0</v>
      </c>
      <c r="AZ278" s="4497">
        <f>IF(OR($Q278&lt;$P$255,$Q278&gt;$K$256),0,MIN($P$217,$S278)*SUM(MIN($Q278,$K$256),-$P$255)/$I$263*$L$262)</f>
        <v>0</v>
      </c>
      <c r="BA278" s="4497">
        <f>IF(OR($Q278&lt;$R$225,$Q278&gt;$K$226),0,IF($U278&gt;$P$217,MIN(SUM($U278,-$P$217),$S278,$R$217)*SUM(MIN($Q278,$K$226),-$R$225)/$I$233*$L$232,MIN(SUM($P$217,$R$217),$S278)*SUM(MIN($Q278,$K$226),-$R$225)/$I$233*$L$232))</f>
        <v>0</v>
      </c>
      <c r="BB278" s="4497">
        <f>IF(OR($Q278&lt;$R$235,$Q278&gt;$K$236),0,IF($U278&gt;$P$217,MIN(SUM($U278,-$P$217),$S278,$R$217)*SUM(MIN($Q278,$K$236),-$R$235)/$I$243*$L$242,MIN(SUM($P$217,$R$217),$S278)*SUM(MIN($Q278,$K$236),-$R$235)/$I$243*$L$242))</f>
        <v>0</v>
      </c>
      <c r="BC278" s="4497">
        <f>IF(OR($Q278&lt;$R$245,$Q278&gt;$K$246),0,IF($U278&gt;$P$217,MIN(SUM($U278,-$P$217),$S278,$R$217)*SUM(MIN($Q278,$K$246),-$R$245)/$I$253*$L$252,MIN(SUM($P$217,$R$217),$S278)*SUM(MIN($Q278,$K$246),-$R$245)/$I$253*$L$252))</f>
        <v>0</v>
      </c>
      <c r="BD278" s="4497">
        <f>IF(OR($Q278&lt;$R$255,$Q278&gt;$K$256),0,IF($U278&gt;$P$217,MIN(SUM($U278,-$P$217),$S278,$R$217)*SUM(MIN($Q278,$K$256),-$R$255)/$I$263*$L$262,MIN(SUM($P$217,$R$217),$S278)*SUM(MIN($Q278,$K$256),-$R$255)/$I$263*$L$262))</f>
        <v>0</v>
      </c>
      <c r="BE278" s="4497">
        <f>IF(OR($Q278&lt;$T$235,$Q278&gt;$K$236),0,IF($U278&gt;SUM($P$217,$R$217),MIN(SUM($U278,-$P$217,-$R$217),$S278)*SUM(MIN($Q278,$K$236),-$T$235)/$I$243*$L$242,MIN(SUM($P$217,$R$217,$T$217),$S278)*SUM(MIN($Q278,$K$236),-$T$235)/$I$243*$L$242))</f>
        <v>0</v>
      </c>
      <c r="BF278" s="4497">
        <f xml:space="preserve"> IF(OR($Q278&lt;$T$245,$Q278&gt;$K$246),0,IF($U278&gt;SUM($P$217,$R$217),MIN(SUM($U278,-$P$217,-$R$217),$S278)*SUM(MIN($Q278,$K$246),-$T$245)/$I$253*$L$252,MIN(SUM($P$217,$R$217,$T$217),$S278)*SUM(MIN($Q278,$K$246),-$T$245)/$I$253*$L$252))</f>
        <v>0</v>
      </c>
      <c r="BG278" s="4497">
        <f xml:space="preserve"> IF(OR($Q278&lt;$T$255,$Q278&gt;$K$256),0,IF($U278&gt;SUM($P$217,$R$217),MIN(SUM($U278,-$P$217,-$R$217),$S278,$T$217)*SUM(MIN($Q278,$K$256),-$T$255)/$I$263*$L$262,MIN(SUM($P$217,$R$217,$T$217,-$U278),$S278)*SUM(MIN($Q278,$K$256),-$T$255)/$I$263*$L$262))</f>
        <v>0</v>
      </c>
      <c r="BH278" s="4497">
        <f xml:space="preserve"> IF(OR($Q278&lt;$V$255,$Q278&gt;$K$256),0,IF($U278&gt;SUM($P$217,$R$217,$T$217),MIN(SUM($U278,-$P$217,-$R$217,-$T$217),$S278,$R$217)*SUM(MIN($Q278,$K$256),-$V$255)/$I$263*$L$262,MIN(SUM($P$217,$R$217,$T$217,$V$217),$S278)*SUM(MIN($Q278,$K$256),-$V$255)/$I$263*$L$262))</f>
        <v>0</v>
      </c>
    </row>
    <row r="279" spans="15:60" ht="26.25" customHeight="1">
      <c r="O279" s="4474">
        <f t="shared" si="30"/>
        <v>279</v>
      </c>
      <c r="P279" s="614"/>
      <c r="Q279" s="4492"/>
      <c r="R279" s="614"/>
      <c r="S279" s="4489"/>
      <c r="T279" s="614"/>
      <c r="U279" s="4499" t="str">
        <f>IF(S279&lt;&gt;"",U278+S279,"")</f>
        <v/>
      </c>
      <c r="V279" s="614"/>
      <c r="W279" s="4486" t="str">
        <f t="shared" ref="W279:W332" si="31">IF(S279="","",IF(AND(Q279&lt;$P$216,Q280&gt;=$P$216),SUM($P$118,-U279),IF(AND(Q279&lt;$R$216,Q280&gt;=$R$216),SUM($P$118,$R$118,-U279),IF(AND(Q279&lt;$T$216,Q280&gt;=$T$216),SUM($P$118,$R$118,$T$118,-U279),IF(AND(Q279&lt;$V$216,Q280&gt;=$V$216),SUM($P$118,$R$118,$T$118,$V$118,-U279),0)))))</f>
        <v/>
      </c>
      <c r="X279" s="614"/>
      <c r="Y279" s="2591">
        <f>IF(OR(Q279="",Q279&gt;Q278),0,1)</f>
        <v>0</v>
      </c>
      <c r="AJ279" s="3"/>
      <c r="AK279" s="3"/>
      <c r="AL279" s="3"/>
      <c r="AM279" s="3"/>
      <c r="AN279" s="3"/>
      <c r="AO279" s="3"/>
      <c r="AP279" s="3"/>
      <c r="AQ279" s="3"/>
      <c r="AR279" s="3"/>
      <c r="AW279" s="4497">
        <f>IF(OR($Q279&lt;$P$225,$Q279&gt;$K$226),0,IF($U278&gt;$P$217,0,IF(SUM($P$217,-$U278)&lt;0,0,MIN(SUM($P$217,-$U278),$S279)*SUM(MIN($Q279,$K$226),-$P$225)/$I$233*$L$232)))</f>
        <v>0</v>
      </c>
      <c r="AX279" s="4497">
        <f>IF(OR($Q279&lt;$P$235,$Q279&gt;$K$236),0,IF($U278&gt;$P$217,0,IF(SUM($P$217,-$U278)&lt;0,0,MIN(SUM($P$217,-$U278),$S279)*SUM(MIN($Q279,$K$236),-$P$235)/$I$243*$L$242)))</f>
        <v>0</v>
      </c>
      <c r="AY279" s="4497">
        <f>IF(OR($Q279&lt;$P$245,$Q279&gt;$K$246),0,IF($U278&gt;$P$217,0,IF(SUM($P$217,-$U278)&lt;0,0,MIN(SUM($P$217,-$U278),$S279)*SUM(MIN($Q279,$K$246),-$P$245)/$I$253*$L$252)))</f>
        <v>0</v>
      </c>
      <c r="AZ279" s="4497">
        <f>IF(OR($Q279&lt;$P$255,$Q279&gt;$K$256),0,IF($U278&gt;$P$217,0,IF(SUM($P$217,-$U278)&lt;0,0,MIN(SUM($P$217,-$U278),$S279)*SUM(MIN($Q279,$K$256),-$P$255)/$I$263*$L$262)))</f>
        <v>0</v>
      </c>
      <c r="BA279" s="4497">
        <f>IF($U278&gt;=SUM($P$217,$R$217),0,IF(OR($Q279&lt;$R$225,$Q279&gt;$K$226),0,IF(AND($U278&lt;$P$217,$U279&gt;$P$217),MIN(SUM($U279,-$P$217),$S279)*SUM(MIN($Q279,$K$226),-$R$225)/$I$233*$L$232,IF($U278&lt;$P$217,0,IF(SUM($P$217,$R$217,-$U278)&lt;0,0,MIN(SUM($P$217,$R$217,-$U278),$S279)*SUM(MIN($Q279,$K$226),-$R$225)/$I$233*$L$232)))))</f>
        <v>0</v>
      </c>
      <c r="BB279" s="4497">
        <f>IF($U278&gt;=SUM($P$217,$R$217),0,IF(OR($Q279&lt;$R$235,$Q279&gt;$K$236),0,IF(AND($U278&lt;$P$217,$U279&gt;$P$217),MIN(SUM($U279,-$P$217),$S279)*SUM(MIN($Q279,$K$236),-$R$235)/$I$243*$L$242,IF($U278&lt;$P$217,0,MIN(SUM($P$217,$R$217,-$U278),$S279)*SUM(MIN($Q279,$K$236),-$R$235)/$I$243*$L$242))))</f>
        <v>0</v>
      </c>
      <c r="BC279" s="4497">
        <f>IF($U278&gt;=SUM($P$217,$R$217),0,IF(OR($Q279&lt;$R$245,$Q279&gt;$K$246),0,IF(AND($U278&lt;$P$217,$U279&gt;$P$217),MIN(SUM($U279,-$P$217),$S279)*SUM(MIN($Q279,$K$246),-$R$245)/$I$253*$L$252,IF($U278&lt;$P$217,0,IF(SUM($P$217,$R$217,-$U278)&lt;0,0,MIN(SUM($P$217,$R$217,-$U278),$S279)*SUM(MIN($Q279,$K$246),-$R$245)/$I$253*$L$252)))))</f>
        <v>0</v>
      </c>
      <c r="BD279" s="4497">
        <f>IF($U278&gt;=SUM($P$217,$R$217),0,IF(OR($Q279&lt;$R$255,$Q279&gt;$K$256),0,IF(AND($U278&lt;$P$217,$U279&gt;$P$217),MIN(SUM($U279,-$P$217),$S279)*SUM(MIN($Q279,$K$256),-$R$255)/$I$263*$L$262,IF($U278&lt;$P$217,0,IF(SUM($P$217,$R$217,-$U278)&lt;0,0,MIN(SUM($P$217,$R$217,-$U278),$S279)*SUM(MIN($Q279,$K$256),-$R$255)/$I$263*$L$262)))))</f>
        <v>0</v>
      </c>
      <c r="BE279" s="4497">
        <f>IF($U278&gt;=SUM($P$217,$R$217,$T$217),0,IF(OR($Q279&lt;$T$235,$Q279&gt;$K$236),0,IF(AND($U278&lt;SUM($P$217,$R$217),$U279&gt;SUM($P$217,$R$217)),MIN(SUM($U279,-$P$217,-$R$217),$S279)*SUM(MIN($Q279,$K$236),-$T$235)/$I$243*$L$242,IF($U278&lt;SUM($P$217,$R$217),0,IF(SUM($P$217,$R$217,$T$217,-$U278)&lt;0,0,MIN(SUM($P$217,$R$217,$T$217,-$U278),$S279)*SUM(MIN($Q279,$K$236),-$T$235)/$I$243*$L$242)))))</f>
        <v>0</v>
      </c>
      <c r="BF279" s="4497">
        <f>IF($U278&gt;=SUM($P$217,$R$217,$T$217),0,IF(OR($Q279&lt;$T$245,$Q279&gt;$K$246),0,IF(AND($U278&lt;SUM($P$217,$R$217),$U279&gt;SUM($P$217,$R$217)),MIN(SUM($U279,-$P$217,-$R$217),$S279)*SUM(MIN($Q279,$K$246),-$T$245)/$I$253*$L$252,IF($U278&lt;SUM($P$217,$R$217),0,IF(SUM($P$217,$R$217,$T$217,-$U278)&lt;0,0,MIN(SUM($P$217,$R$217,$T$217,-$U278),$S279)*SUM(MIN($Q279,$K$246),-$T$245)/$I$253*$L$252)))))</f>
        <v>0</v>
      </c>
      <c r="BG279" s="4497">
        <f>IF($U278&gt;=SUM($P$217,$R$217,$T$217),0,IF(OR($Q279&lt;$T$255,$Q279&gt;$K$256),0,IF(AND($U278&lt;SUM($P$217,$R$217),$U279&gt;SUM($P$217,$R$217)),MIN(SUM($U279,-$P$217,-$R$217),$S279)*SUM(MIN($Q279,$K$256),-$T$255)/$I$263*$L$262,IF($U278&lt;SUM($P$217,$R$217),0,IF(SUM($P$217,$R$217,$T$217,-$U279)&lt;0,0,MIN(SUM($P$217,$R$217,$T$217,-$U279),$S279)*SUM(MIN($Q279,$K$256),-$T$255)/$I$263*$L$262)))))</f>
        <v>0</v>
      </c>
      <c r="BH279" s="4497">
        <f>IF($U278&gt;=SUM($P$217,$R$217,$T$217,$V$217),0,IF(OR($Q279&lt;$V$255,$Q279&gt;$K$256),0,IF(AND($U278&lt;SUM($P$217,$R$217,$T$217),$U279&gt;SUM($P$217,$R$217,$T$217)),MIN(SUM($U279,-$P$217,-$R$217,-$T$217),$S279)*SUM(MIN($Q279,$K$256),-$V$255)/$I$263*$L$262,IF($U278&lt;SUM($P$217,$R$217,$T$217),0,IF(SUM($P$217,$R$217,$T$217,$V$217,-$U278)&lt;0,0,MIN(SUM($P$217,$R$217,$T$217,$V$217,-$U278),$S279)*SUM(MIN($Q279,$K$256),-$V$255)/$I$263*$L$262)))))</f>
        <v>0</v>
      </c>
    </row>
    <row r="280" spans="15:60">
      <c r="O280" s="4474">
        <f t="shared" si="30"/>
        <v>280</v>
      </c>
      <c r="P280" s="614"/>
      <c r="Q280" s="4492"/>
      <c r="R280" s="614"/>
      <c r="S280" s="4489"/>
      <c r="T280" s="614"/>
      <c r="U280" s="4499" t="str">
        <f t="shared" ref="U280:U332" si="32">IF(S280&lt;&gt;"",U279+S280,"")</f>
        <v/>
      </c>
      <c r="V280" s="614"/>
      <c r="W280" s="4486" t="str">
        <f t="shared" si="31"/>
        <v/>
      </c>
      <c r="X280" s="614"/>
      <c r="Y280" s="2591">
        <f t="shared" ref="Y280:Y332" si="33">IF(OR(Q280="",Q280&gt;Q279),0,1)</f>
        <v>0</v>
      </c>
      <c r="AJ280" s="4374"/>
      <c r="AK280" s="4374"/>
      <c r="AL280" s="4374"/>
      <c r="AM280" s="4374"/>
      <c r="AN280" s="3"/>
      <c r="AO280" s="3"/>
      <c r="AP280" s="3"/>
      <c r="AQ280" s="3"/>
      <c r="AR280" s="3"/>
      <c r="AW280" s="4497">
        <f t="shared" ref="AW280:AW332" si="34">IF(OR($Q280&lt;$P$225,$Q280&gt;$K$226),0,IF($U279&gt;$P$217,0,IF(SUM($P$217,-$U279)&lt;0,0,MIN(SUM($P$217,-$U279),$S280)*SUM(MIN($Q280,$K$226),-$P$225)/$I$233*$L$232)))</f>
        <v>0</v>
      </c>
      <c r="AX280" s="4497">
        <f t="shared" ref="AX280:AX332" si="35">IF(OR($Q280&lt;$P$235,$Q280&gt;$K$236),0,IF($U279&gt;$P$217,0,IF(SUM($P$217,-$U279)&lt;0,0,MIN(SUM($P$217,-$U279),$S280)*SUM(MIN($Q280,$K$236),-$P$235)/$I$243*$L$242)))</f>
        <v>0</v>
      </c>
      <c r="AY280" s="4497">
        <f t="shared" ref="AY280:AY332" si="36">IF(OR($Q280&lt;$P$245,$Q280&gt;$K$246),0,IF($U279&gt;$P$217,0,IF(SUM($P$217,-$U279)&lt;0,0,MIN(SUM($P$217,-$U279),$S280)*SUM(MIN($Q280,$K$246),-$P$245)/$I$253*$L$252)))</f>
        <v>0</v>
      </c>
      <c r="AZ280" s="4497">
        <f t="shared" ref="AZ280:AZ332" si="37">IF(OR($Q280&lt;$P$255,$Q280&gt;$K$256),0,IF($U279&gt;$P$217,0,IF(SUM($P$217,-$U279)&lt;0,0,MIN(SUM($P$217,-$U279),$S280)*SUM(MIN($Q280,$K$256),-$P$255)/$I$263*$L$262)))</f>
        <v>0</v>
      </c>
      <c r="BA280" s="4497">
        <f t="shared" ref="BA280:BA332" si="38">IF($U279&gt;=SUM($P$217,$R$217),0,IF(OR($Q280&lt;$R$225,$Q280&gt;$K$226),0,IF(AND($U279&lt;$P$217,$U280&gt;$P$217),MIN(SUM($U280,-$P$217),$S280)*SUM(MIN($Q280,$K$226),-$R$225)/$I$233*$L$232,IF($U279&lt;$P$217,0,IF(SUM($P$217,$R$217,-$U279)&lt;0,0,MIN(SUM($P$217,$R$217,-$U279),$S280)*SUM(MIN($Q280,$K$226),-$R$225)/$I$233*$L$232)))))</f>
        <v>0</v>
      </c>
      <c r="BB280" s="4497">
        <f t="shared" ref="BB280:BB332" si="39">IF($U279&gt;=SUM($P$217,$R$217),0,IF(OR($Q280&lt;$R$235,$Q280&gt;$K$236),0,IF(AND($U279&lt;$P$217,$U280&gt;$P$217),MIN(SUM($U280,-$P$217),$S280)*SUM(MIN($Q280,$K$236),-$R$235)/$I$243*$L$242,IF($U279&lt;$P$217,0,MIN(SUM($P$217,$R$217,-$U279),$S280)*SUM(MIN($Q280,$K$236),-$R$235)/$I$243*$L$242))))</f>
        <v>0</v>
      </c>
      <c r="BC280" s="4497">
        <f t="shared" ref="BC280:BC332" si="40">IF($U279&gt;=SUM($P$217,$R$217),0,IF(OR($Q280&lt;$R$245,$Q280&gt;$K$246),0,IF(AND($U279&lt;$P$217,$U280&gt;$P$217),MIN(SUM($U280,-$P$217),$S280)*SUM(MIN($Q280,$K$246),-$R$245)/$I$253*$L$252,IF($U279&lt;$P$217,0,IF(SUM($P$217,$R$217,-$U279)&lt;0,0,MIN(SUM($P$217,$R$217,-$U279),$S280)*SUM(MIN($Q280,$K$246),-$R$245)/$I$253*$L$252)))))</f>
        <v>0</v>
      </c>
      <c r="BD280" s="4497">
        <f t="shared" ref="BD280:BD332" si="41">IF($U279&gt;=SUM($P$217,$R$217),0,IF(OR($Q280&lt;$R$255,$Q280&gt;$K$256),0,IF(AND($U279&lt;$P$217,$U280&gt;$P$217),MIN(SUM($U280,-$P$217),$S280)*SUM(MIN($Q280,$K$256),-$R$255)/$I$263*$L$262,IF($U279&lt;$P$217,0,IF(SUM($P$217,$R$217,-$U279)&lt;0,0,MIN(SUM($P$217,$R$217,-$U279),$S280)*SUM(MIN($Q280,$K$256),-$R$255)/$I$263*$L$262)))))</f>
        <v>0</v>
      </c>
      <c r="BE280" s="4497">
        <f t="shared" ref="BE280:BE332" si="42">IF($U279&gt;=SUM($P$217,$R$217,$T$217),0,IF(OR($Q280&lt;$T$235,$Q280&gt;$K$236),0,IF(AND($U279&lt;SUM($P$217,$R$217),$U280&gt;SUM($P$217,$R$217)),MIN(SUM($U280,-$P$217,-$R$217),$S280)*SUM(MIN($Q280,$K$236),-$T$235)/$I$243*$L$242,IF($U279&lt;SUM($P$217,$R$217),0,IF(SUM($P$217,$R$217,$T$217,-$U279)&lt;0,0,MIN(SUM($P$217,$R$217,$T$217,-$U279),$S280)*SUM(MIN($Q280,$K$236),-$T$235)/$I$243*$L$242)))))</f>
        <v>0</v>
      </c>
      <c r="BF280" s="4497">
        <f t="shared" ref="BF280:BF332" si="43">IF($U279&gt;=SUM($P$217,$R$217,$T$217),0,IF(OR($Q280&lt;$T$245,$Q280&gt;$K$246),0,IF(AND($U279&lt;SUM($P$217,$R$217),$U280&gt;SUM($P$217,$R$217)),MIN(SUM($U280,-$P$217,-$R$217),$S280)*SUM(MIN($Q280,$K$246),-$T$245)/$I$253*$L$252,IF($U279&lt;SUM($P$217,$R$217),0,IF(SUM($P$217,$R$217,$T$217,-$U279)&lt;0,0,MIN(SUM($P$217,$R$217,$T$217,-$U279),$S280)*SUM(MIN($Q280,$K$246),-$T$245)/$I$253*$L$252)))))</f>
        <v>0</v>
      </c>
      <c r="BG280" s="4497">
        <f t="shared" ref="BG280:BG332" si="44">IF($U279&gt;=SUM($P$217,$R$217,$T$217),0,IF(OR($Q280&lt;$T$255,$Q280&gt;$K$256),0,IF(AND($U279&lt;SUM($P$217,$R$217),$U280&gt;SUM($P$217,$R$217)),MIN(SUM($U280,-$P$217,-$R$217),$S280)*SUM(MIN($Q280,$K$256),-$T$255)/$I$263*$L$262,IF($U279&lt;SUM($P$217,$R$217),0,IF(SUM($P$217,$R$217,$T$217,-$U280)&lt;0,0,MIN(SUM($P$217,$R$217,$T$217,-$U280),$S280)*SUM(MIN($Q280,$K$256),-$T$255)/$I$263*$L$262)))))</f>
        <v>0</v>
      </c>
      <c r="BH280" s="4497">
        <f t="shared" ref="BH280:BH332" si="45">IF($U279&gt;=SUM($P$217,$R$217,$T$217,$V$217),0,IF(OR($Q280&lt;$V$255,$Q280&gt;$K$256),0,IF(AND($U279&lt;SUM($P$217,$R$217,$T$217),$U280&gt;SUM($P$217,$R$217,$T$217)),MIN(SUM($U280,-$P$217,-$R$217,-$T$217),$S280)*SUM(MIN($Q280,$K$256),-$V$255)/$I$263*$L$262,IF($U279&lt;SUM($P$217,$R$217,$T$217),0,IF(SUM($P$217,$R$217,$T$217,$V$217,-$U279)&lt;0,0,MIN(SUM($P$217,$R$217,$T$217,$V$217,-$U279),$S280)*SUM(MIN($Q280,$K$256),-$V$255)/$I$263*$L$262)))))</f>
        <v>0</v>
      </c>
    </row>
    <row r="281" spans="15:60">
      <c r="O281" s="4474">
        <f t="shared" si="30"/>
        <v>281</v>
      </c>
      <c r="P281" s="614"/>
      <c r="Q281" s="4492"/>
      <c r="R281" s="614"/>
      <c r="S281" s="4489"/>
      <c r="T281" s="614"/>
      <c r="U281" s="4499" t="str">
        <f t="shared" si="32"/>
        <v/>
      </c>
      <c r="V281" s="614"/>
      <c r="W281" s="4486" t="str">
        <f t="shared" si="31"/>
        <v/>
      </c>
      <c r="X281" s="614"/>
      <c r="Y281" s="2591">
        <f t="shared" si="33"/>
        <v>0</v>
      </c>
      <c r="AJ281" s="3"/>
      <c r="AK281" s="3"/>
      <c r="AL281" s="3"/>
      <c r="AM281" s="3"/>
      <c r="AN281" s="4374"/>
      <c r="AO281" s="4374"/>
      <c r="AP281" s="4374"/>
      <c r="AQ281" s="4374"/>
      <c r="AR281" s="3"/>
      <c r="AW281" s="4497">
        <f t="shared" si="34"/>
        <v>0</v>
      </c>
      <c r="AX281" s="4497">
        <f t="shared" si="35"/>
        <v>0</v>
      </c>
      <c r="AY281" s="4497">
        <f t="shared" si="36"/>
        <v>0</v>
      </c>
      <c r="AZ281" s="4497">
        <f t="shared" si="37"/>
        <v>0</v>
      </c>
      <c r="BA281" s="4497">
        <f t="shared" si="38"/>
        <v>0</v>
      </c>
      <c r="BB281" s="4497">
        <f t="shared" si="39"/>
        <v>0</v>
      </c>
      <c r="BC281" s="4497">
        <f t="shared" si="40"/>
        <v>0</v>
      </c>
      <c r="BD281" s="4497">
        <f t="shared" si="41"/>
        <v>0</v>
      </c>
      <c r="BE281" s="4497">
        <f t="shared" si="42"/>
        <v>0</v>
      </c>
      <c r="BF281" s="4497">
        <f t="shared" si="43"/>
        <v>0</v>
      </c>
      <c r="BG281" s="4497">
        <f t="shared" si="44"/>
        <v>0</v>
      </c>
      <c r="BH281" s="4497">
        <f t="shared" si="45"/>
        <v>0</v>
      </c>
    </row>
    <row r="282" spans="15:60">
      <c r="O282" s="4474">
        <f t="shared" si="30"/>
        <v>282</v>
      </c>
      <c r="P282" s="614"/>
      <c r="Q282" s="4492"/>
      <c r="R282" s="614"/>
      <c r="S282" s="4489"/>
      <c r="T282" s="614"/>
      <c r="U282" s="4499" t="str">
        <f t="shared" si="32"/>
        <v/>
      </c>
      <c r="V282" s="614"/>
      <c r="W282" s="4486" t="str">
        <f t="shared" si="31"/>
        <v/>
      </c>
      <c r="X282" s="614"/>
      <c r="Y282" s="2591">
        <f t="shared" si="33"/>
        <v>0</v>
      </c>
      <c r="AJ282" s="3"/>
      <c r="AK282" s="3"/>
      <c r="AL282" s="3"/>
      <c r="AM282" s="3"/>
      <c r="AN282" s="3"/>
      <c r="AO282" s="3"/>
      <c r="AP282" s="3"/>
      <c r="AQ282" s="3"/>
      <c r="AR282" s="3"/>
      <c r="AW282" s="4497">
        <f t="shared" si="34"/>
        <v>0</v>
      </c>
      <c r="AX282" s="4497">
        <f t="shared" si="35"/>
        <v>0</v>
      </c>
      <c r="AY282" s="4497">
        <f t="shared" si="36"/>
        <v>0</v>
      </c>
      <c r="AZ282" s="4497">
        <f t="shared" si="37"/>
        <v>0</v>
      </c>
      <c r="BA282" s="4497">
        <f t="shared" si="38"/>
        <v>0</v>
      </c>
      <c r="BB282" s="4497">
        <f t="shared" si="39"/>
        <v>0</v>
      </c>
      <c r="BC282" s="4497">
        <f t="shared" si="40"/>
        <v>0</v>
      </c>
      <c r="BD282" s="4497">
        <f t="shared" si="41"/>
        <v>0</v>
      </c>
      <c r="BE282" s="4497">
        <f t="shared" si="42"/>
        <v>0</v>
      </c>
      <c r="BF282" s="4497">
        <f t="shared" si="43"/>
        <v>0</v>
      </c>
      <c r="BG282" s="4497">
        <f t="shared" si="44"/>
        <v>0</v>
      </c>
      <c r="BH282" s="4497">
        <f t="shared" si="45"/>
        <v>0</v>
      </c>
    </row>
    <row r="283" spans="15:60">
      <c r="O283" s="4474">
        <f t="shared" si="30"/>
        <v>283</v>
      </c>
      <c r="P283" s="614"/>
      <c r="Q283" s="4492"/>
      <c r="R283" s="614"/>
      <c r="S283" s="4489"/>
      <c r="T283" s="614"/>
      <c r="U283" s="4499" t="str">
        <f t="shared" si="32"/>
        <v/>
      </c>
      <c r="V283" s="614"/>
      <c r="W283" s="4486" t="str">
        <f t="shared" si="31"/>
        <v/>
      </c>
      <c r="X283" s="614"/>
      <c r="Y283" s="2591">
        <f t="shared" si="33"/>
        <v>0</v>
      </c>
      <c r="AJ283" s="3"/>
      <c r="AK283" s="3"/>
      <c r="AL283" s="3"/>
      <c r="AM283" s="3"/>
      <c r="AN283" s="3"/>
      <c r="AO283" s="3"/>
      <c r="AP283" s="3"/>
      <c r="AQ283" s="3"/>
      <c r="AR283" s="4374"/>
      <c r="AW283" s="4497">
        <f t="shared" si="34"/>
        <v>0</v>
      </c>
      <c r="AX283" s="4497">
        <f t="shared" si="35"/>
        <v>0</v>
      </c>
      <c r="AY283" s="4497">
        <f t="shared" si="36"/>
        <v>0</v>
      </c>
      <c r="AZ283" s="4497">
        <f t="shared" si="37"/>
        <v>0</v>
      </c>
      <c r="BA283" s="4497">
        <f t="shared" si="38"/>
        <v>0</v>
      </c>
      <c r="BB283" s="4497">
        <f t="shared" si="39"/>
        <v>0</v>
      </c>
      <c r="BC283" s="4497">
        <f t="shared" si="40"/>
        <v>0</v>
      </c>
      <c r="BD283" s="4497">
        <f t="shared" si="41"/>
        <v>0</v>
      </c>
      <c r="BE283" s="4497">
        <f t="shared" si="42"/>
        <v>0</v>
      </c>
      <c r="BF283" s="4497">
        <f t="shared" si="43"/>
        <v>0</v>
      </c>
      <c r="BG283" s="4497">
        <f t="shared" si="44"/>
        <v>0</v>
      </c>
      <c r="BH283" s="4497">
        <f t="shared" si="45"/>
        <v>0</v>
      </c>
    </row>
    <row r="284" spans="15:60">
      <c r="O284" s="4474">
        <f t="shared" si="30"/>
        <v>284</v>
      </c>
      <c r="P284" s="614"/>
      <c r="Q284" s="4492"/>
      <c r="R284" s="614"/>
      <c r="S284" s="4489"/>
      <c r="T284" s="614"/>
      <c r="U284" s="4499" t="str">
        <f t="shared" si="32"/>
        <v/>
      </c>
      <c r="V284" s="614"/>
      <c r="W284" s="4486" t="str">
        <f t="shared" si="31"/>
        <v/>
      </c>
      <c r="X284" s="614"/>
      <c r="Y284" s="2591">
        <f t="shared" si="33"/>
        <v>0</v>
      </c>
      <c r="AJ284" s="3"/>
      <c r="AK284" s="3"/>
      <c r="AL284" s="3"/>
      <c r="AM284" s="3"/>
      <c r="AN284" s="3"/>
      <c r="AO284" s="3"/>
      <c r="AP284" s="3"/>
      <c r="AQ284" s="3"/>
      <c r="AR284" s="3"/>
      <c r="AW284" s="4497">
        <f t="shared" si="34"/>
        <v>0</v>
      </c>
      <c r="AX284" s="4497">
        <f t="shared" si="35"/>
        <v>0</v>
      </c>
      <c r="AY284" s="4497">
        <f t="shared" si="36"/>
        <v>0</v>
      </c>
      <c r="AZ284" s="4497">
        <f t="shared" si="37"/>
        <v>0</v>
      </c>
      <c r="BA284" s="4497">
        <f t="shared" si="38"/>
        <v>0</v>
      </c>
      <c r="BB284" s="4497">
        <f t="shared" si="39"/>
        <v>0</v>
      </c>
      <c r="BC284" s="4497">
        <f t="shared" si="40"/>
        <v>0</v>
      </c>
      <c r="BD284" s="4497">
        <f t="shared" si="41"/>
        <v>0</v>
      </c>
      <c r="BE284" s="4497">
        <f t="shared" si="42"/>
        <v>0</v>
      </c>
      <c r="BF284" s="4497">
        <f t="shared" si="43"/>
        <v>0</v>
      </c>
      <c r="BG284" s="4497">
        <f t="shared" si="44"/>
        <v>0</v>
      </c>
      <c r="BH284" s="4497">
        <f t="shared" si="45"/>
        <v>0</v>
      </c>
    </row>
    <row r="285" spans="15:60">
      <c r="O285" s="4474">
        <f t="shared" si="30"/>
        <v>285</v>
      </c>
      <c r="P285" s="614"/>
      <c r="Q285" s="4492"/>
      <c r="R285" s="614"/>
      <c r="S285" s="4489"/>
      <c r="T285" s="614"/>
      <c r="U285" s="4499" t="str">
        <f t="shared" si="32"/>
        <v/>
      </c>
      <c r="V285" s="614"/>
      <c r="W285" s="4486" t="str">
        <f t="shared" si="31"/>
        <v/>
      </c>
      <c r="X285" s="614"/>
      <c r="Y285" s="2591">
        <f t="shared" si="33"/>
        <v>0</v>
      </c>
      <c r="AJ285" s="3"/>
      <c r="AK285" s="3"/>
      <c r="AL285" s="3"/>
      <c r="AM285" s="3"/>
      <c r="AN285" s="3"/>
      <c r="AO285" s="3"/>
      <c r="AP285" s="3"/>
      <c r="AQ285" s="3"/>
      <c r="AR285" s="3"/>
      <c r="AW285" s="4497">
        <f t="shared" si="34"/>
        <v>0</v>
      </c>
      <c r="AX285" s="4497">
        <f t="shared" si="35"/>
        <v>0</v>
      </c>
      <c r="AY285" s="4497">
        <f t="shared" si="36"/>
        <v>0</v>
      </c>
      <c r="AZ285" s="4497">
        <f t="shared" si="37"/>
        <v>0</v>
      </c>
      <c r="BA285" s="4497">
        <f t="shared" si="38"/>
        <v>0</v>
      </c>
      <c r="BB285" s="4497">
        <f t="shared" si="39"/>
        <v>0</v>
      </c>
      <c r="BC285" s="4497">
        <f t="shared" si="40"/>
        <v>0</v>
      </c>
      <c r="BD285" s="4497">
        <f t="shared" si="41"/>
        <v>0</v>
      </c>
      <c r="BE285" s="4497">
        <f t="shared" si="42"/>
        <v>0</v>
      </c>
      <c r="BF285" s="4497">
        <f t="shared" si="43"/>
        <v>0</v>
      </c>
      <c r="BG285" s="4497">
        <f t="shared" si="44"/>
        <v>0</v>
      </c>
      <c r="BH285" s="4497">
        <f t="shared" si="45"/>
        <v>0</v>
      </c>
    </row>
    <row r="286" spans="15:60">
      <c r="O286" s="4474">
        <f t="shared" si="30"/>
        <v>286</v>
      </c>
      <c r="P286" s="614"/>
      <c r="Q286" s="4492"/>
      <c r="R286" s="614"/>
      <c r="S286" s="4489"/>
      <c r="T286" s="614"/>
      <c r="U286" s="4499" t="str">
        <f t="shared" si="32"/>
        <v/>
      </c>
      <c r="V286" s="614"/>
      <c r="W286" s="4486" t="str">
        <f t="shared" si="31"/>
        <v/>
      </c>
      <c r="X286" s="614"/>
      <c r="Y286" s="2591">
        <f t="shared" si="33"/>
        <v>0</v>
      </c>
      <c r="AJ286" s="3"/>
      <c r="AK286" s="3"/>
      <c r="AL286" s="3"/>
      <c r="AM286" s="3"/>
      <c r="AN286" s="3"/>
      <c r="AO286" s="3"/>
      <c r="AP286" s="3"/>
      <c r="AQ286" s="3"/>
      <c r="AR286" s="3"/>
      <c r="AW286" s="4497">
        <f t="shared" si="34"/>
        <v>0</v>
      </c>
      <c r="AX286" s="4497">
        <f t="shared" si="35"/>
        <v>0</v>
      </c>
      <c r="AY286" s="4497">
        <f t="shared" si="36"/>
        <v>0</v>
      </c>
      <c r="AZ286" s="4497">
        <f t="shared" si="37"/>
        <v>0</v>
      </c>
      <c r="BA286" s="4497">
        <f t="shared" si="38"/>
        <v>0</v>
      </c>
      <c r="BB286" s="4497">
        <f t="shared" si="39"/>
        <v>0</v>
      </c>
      <c r="BC286" s="4497">
        <f t="shared" si="40"/>
        <v>0</v>
      </c>
      <c r="BD286" s="4497">
        <f t="shared" si="41"/>
        <v>0</v>
      </c>
      <c r="BE286" s="4497">
        <f t="shared" si="42"/>
        <v>0</v>
      </c>
      <c r="BF286" s="4497">
        <f t="shared" si="43"/>
        <v>0</v>
      </c>
      <c r="BG286" s="4497">
        <f t="shared" si="44"/>
        <v>0</v>
      </c>
      <c r="BH286" s="4497">
        <f t="shared" si="45"/>
        <v>0</v>
      </c>
    </row>
    <row r="287" spans="15:60">
      <c r="O287" s="4474">
        <f t="shared" si="30"/>
        <v>287</v>
      </c>
      <c r="P287" s="614"/>
      <c r="Q287" s="4492"/>
      <c r="R287" s="614"/>
      <c r="S287" s="4489"/>
      <c r="T287" s="614"/>
      <c r="U287" s="4499" t="str">
        <f t="shared" si="32"/>
        <v/>
      </c>
      <c r="V287" s="614"/>
      <c r="W287" s="4486" t="str">
        <f t="shared" si="31"/>
        <v/>
      </c>
      <c r="X287" s="614"/>
      <c r="Y287" s="2591">
        <f t="shared" si="33"/>
        <v>0</v>
      </c>
      <c r="AJ287" s="3"/>
      <c r="AK287" s="3"/>
      <c r="AL287" s="3"/>
      <c r="AM287" s="3"/>
      <c r="AN287" s="3"/>
      <c r="AO287" s="3"/>
      <c r="AP287" s="3"/>
      <c r="AQ287" s="3"/>
      <c r="AR287" s="3"/>
      <c r="AW287" s="4497">
        <f t="shared" si="34"/>
        <v>0</v>
      </c>
      <c r="AX287" s="4497">
        <f t="shared" si="35"/>
        <v>0</v>
      </c>
      <c r="AY287" s="4497">
        <f t="shared" si="36"/>
        <v>0</v>
      </c>
      <c r="AZ287" s="4497">
        <f t="shared" si="37"/>
        <v>0</v>
      </c>
      <c r="BA287" s="4497">
        <f t="shared" si="38"/>
        <v>0</v>
      </c>
      <c r="BB287" s="4497">
        <f t="shared" si="39"/>
        <v>0</v>
      </c>
      <c r="BC287" s="4497">
        <f t="shared" si="40"/>
        <v>0</v>
      </c>
      <c r="BD287" s="4497">
        <f t="shared" si="41"/>
        <v>0</v>
      </c>
      <c r="BE287" s="4497">
        <f t="shared" si="42"/>
        <v>0</v>
      </c>
      <c r="BF287" s="4497">
        <f t="shared" si="43"/>
        <v>0</v>
      </c>
      <c r="BG287" s="4497">
        <f t="shared" si="44"/>
        <v>0</v>
      </c>
      <c r="BH287" s="4497">
        <f t="shared" si="45"/>
        <v>0</v>
      </c>
    </row>
    <row r="288" spans="15:60">
      <c r="O288" s="4474">
        <f t="shared" si="30"/>
        <v>288</v>
      </c>
      <c r="P288" s="614"/>
      <c r="Q288" s="4492"/>
      <c r="R288" s="614"/>
      <c r="S288" s="4489"/>
      <c r="T288" s="614"/>
      <c r="U288" s="4499" t="str">
        <f t="shared" si="32"/>
        <v/>
      </c>
      <c r="V288" s="614"/>
      <c r="W288" s="4486" t="str">
        <f t="shared" si="31"/>
        <v/>
      </c>
      <c r="X288" s="614"/>
      <c r="Y288" s="2591">
        <f t="shared" si="33"/>
        <v>0</v>
      </c>
      <c r="AJ288" s="3"/>
      <c r="AK288" s="3"/>
      <c r="AL288" s="3"/>
      <c r="AM288" s="3"/>
      <c r="AN288" s="3"/>
      <c r="AO288" s="3"/>
      <c r="AP288" s="3"/>
      <c r="AQ288" s="3"/>
      <c r="AR288" s="3"/>
      <c r="AW288" s="4497">
        <f t="shared" si="34"/>
        <v>0</v>
      </c>
      <c r="AX288" s="4497">
        <f t="shared" si="35"/>
        <v>0</v>
      </c>
      <c r="AY288" s="4497">
        <f t="shared" si="36"/>
        <v>0</v>
      </c>
      <c r="AZ288" s="4497">
        <f t="shared" si="37"/>
        <v>0</v>
      </c>
      <c r="BA288" s="4497">
        <f t="shared" si="38"/>
        <v>0</v>
      </c>
      <c r="BB288" s="4497">
        <f t="shared" si="39"/>
        <v>0</v>
      </c>
      <c r="BC288" s="4497">
        <f t="shared" si="40"/>
        <v>0</v>
      </c>
      <c r="BD288" s="4497">
        <f t="shared" si="41"/>
        <v>0</v>
      </c>
      <c r="BE288" s="4497">
        <f t="shared" si="42"/>
        <v>0</v>
      </c>
      <c r="BF288" s="4497">
        <f t="shared" si="43"/>
        <v>0</v>
      </c>
      <c r="BG288" s="4497">
        <f t="shared" si="44"/>
        <v>0</v>
      </c>
      <c r="BH288" s="4497">
        <f t="shared" si="45"/>
        <v>0</v>
      </c>
    </row>
    <row r="289" spans="15:60">
      <c r="O289" s="4474">
        <f t="shared" si="30"/>
        <v>289</v>
      </c>
      <c r="P289" s="614"/>
      <c r="Q289" s="4492"/>
      <c r="R289" s="614"/>
      <c r="S289" s="4489"/>
      <c r="T289" s="614"/>
      <c r="U289" s="4499" t="str">
        <f t="shared" si="32"/>
        <v/>
      </c>
      <c r="V289" s="614"/>
      <c r="W289" s="4486" t="str">
        <f t="shared" si="31"/>
        <v/>
      </c>
      <c r="X289" s="614"/>
      <c r="Y289" s="2591">
        <f t="shared" si="33"/>
        <v>0</v>
      </c>
      <c r="AJ289" s="3"/>
      <c r="AK289" s="3"/>
      <c r="AL289" s="3"/>
      <c r="AM289" s="3"/>
      <c r="AN289" s="3"/>
      <c r="AO289" s="3"/>
      <c r="AP289" s="3"/>
      <c r="AQ289" s="3"/>
      <c r="AR289" s="3"/>
      <c r="AW289" s="4497">
        <f t="shared" si="34"/>
        <v>0</v>
      </c>
      <c r="AX289" s="4497">
        <f t="shared" si="35"/>
        <v>0</v>
      </c>
      <c r="AY289" s="4497">
        <f t="shared" si="36"/>
        <v>0</v>
      </c>
      <c r="AZ289" s="4497">
        <f t="shared" si="37"/>
        <v>0</v>
      </c>
      <c r="BA289" s="4497">
        <f t="shared" si="38"/>
        <v>0</v>
      </c>
      <c r="BB289" s="4497">
        <f t="shared" si="39"/>
        <v>0</v>
      </c>
      <c r="BC289" s="4497">
        <f t="shared" si="40"/>
        <v>0</v>
      </c>
      <c r="BD289" s="4497">
        <f t="shared" si="41"/>
        <v>0</v>
      </c>
      <c r="BE289" s="4497">
        <f t="shared" si="42"/>
        <v>0</v>
      </c>
      <c r="BF289" s="4497">
        <f t="shared" si="43"/>
        <v>0</v>
      </c>
      <c r="BG289" s="4497">
        <f t="shared" si="44"/>
        <v>0</v>
      </c>
      <c r="BH289" s="4497">
        <f t="shared" si="45"/>
        <v>0</v>
      </c>
    </row>
    <row r="290" spans="15:60">
      <c r="O290" s="4474">
        <f t="shared" si="30"/>
        <v>290</v>
      </c>
      <c r="P290" s="614"/>
      <c r="Q290" s="4492"/>
      <c r="R290" s="614"/>
      <c r="S290" s="4489"/>
      <c r="T290" s="614"/>
      <c r="U290" s="4499" t="str">
        <f t="shared" si="32"/>
        <v/>
      </c>
      <c r="V290" s="614"/>
      <c r="W290" s="4486" t="str">
        <f t="shared" si="31"/>
        <v/>
      </c>
      <c r="X290" s="614"/>
      <c r="Y290" s="2591">
        <f t="shared" si="33"/>
        <v>0</v>
      </c>
      <c r="AJ290" s="4374"/>
      <c r="AK290" s="4374"/>
      <c r="AL290" s="4374"/>
      <c r="AM290" s="4374"/>
      <c r="AN290" s="3"/>
      <c r="AO290" s="3"/>
      <c r="AP290" s="3"/>
      <c r="AQ290" s="3"/>
      <c r="AR290" s="3"/>
      <c r="AW290" s="4497">
        <f t="shared" si="34"/>
        <v>0</v>
      </c>
      <c r="AX290" s="4497">
        <f t="shared" si="35"/>
        <v>0</v>
      </c>
      <c r="AY290" s="4497">
        <f t="shared" si="36"/>
        <v>0</v>
      </c>
      <c r="AZ290" s="4497">
        <f t="shared" si="37"/>
        <v>0</v>
      </c>
      <c r="BA290" s="4497">
        <f t="shared" si="38"/>
        <v>0</v>
      </c>
      <c r="BB290" s="4497">
        <f t="shared" si="39"/>
        <v>0</v>
      </c>
      <c r="BC290" s="4497">
        <f t="shared" si="40"/>
        <v>0</v>
      </c>
      <c r="BD290" s="4497">
        <f t="shared" si="41"/>
        <v>0</v>
      </c>
      <c r="BE290" s="4497">
        <f t="shared" si="42"/>
        <v>0</v>
      </c>
      <c r="BF290" s="4497">
        <f t="shared" si="43"/>
        <v>0</v>
      </c>
      <c r="BG290" s="4497">
        <f t="shared" si="44"/>
        <v>0</v>
      </c>
      <c r="BH290" s="4497">
        <f t="shared" si="45"/>
        <v>0</v>
      </c>
    </row>
    <row r="291" spans="15:60">
      <c r="O291" s="4474">
        <f t="shared" si="30"/>
        <v>291</v>
      </c>
      <c r="P291" s="614"/>
      <c r="Q291" s="4492"/>
      <c r="R291" s="614"/>
      <c r="S291" s="4489"/>
      <c r="T291" s="614"/>
      <c r="U291" s="4499" t="str">
        <f t="shared" si="32"/>
        <v/>
      </c>
      <c r="V291" s="614"/>
      <c r="W291" s="4486" t="str">
        <f t="shared" si="31"/>
        <v/>
      </c>
      <c r="X291" s="614"/>
      <c r="Y291" s="2591">
        <f t="shared" si="33"/>
        <v>0</v>
      </c>
      <c r="AJ291" s="3"/>
      <c r="AK291" s="3"/>
      <c r="AL291" s="3"/>
      <c r="AM291" s="3"/>
      <c r="AN291" s="4374"/>
      <c r="AO291" s="4374"/>
      <c r="AP291" s="4374"/>
      <c r="AQ291" s="4374"/>
      <c r="AR291" s="3"/>
      <c r="AW291" s="4497">
        <f t="shared" si="34"/>
        <v>0</v>
      </c>
      <c r="AX291" s="4497">
        <f t="shared" si="35"/>
        <v>0</v>
      </c>
      <c r="AY291" s="4497">
        <f t="shared" si="36"/>
        <v>0</v>
      </c>
      <c r="AZ291" s="4497">
        <f t="shared" si="37"/>
        <v>0</v>
      </c>
      <c r="BA291" s="4497">
        <f t="shared" si="38"/>
        <v>0</v>
      </c>
      <c r="BB291" s="4497">
        <f t="shared" si="39"/>
        <v>0</v>
      </c>
      <c r="BC291" s="4497">
        <f t="shared" si="40"/>
        <v>0</v>
      </c>
      <c r="BD291" s="4497">
        <f t="shared" si="41"/>
        <v>0</v>
      </c>
      <c r="BE291" s="4497">
        <f t="shared" si="42"/>
        <v>0</v>
      </c>
      <c r="BF291" s="4497">
        <f t="shared" si="43"/>
        <v>0</v>
      </c>
      <c r="BG291" s="4497">
        <f t="shared" si="44"/>
        <v>0</v>
      </c>
      <c r="BH291" s="4497">
        <f t="shared" si="45"/>
        <v>0</v>
      </c>
    </row>
    <row r="292" spans="15:60">
      <c r="O292" s="4474">
        <f t="shared" si="30"/>
        <v>292</v>
      </c>
      <c r="P292" s="614"/>
      <c r="Q292" s="4492"/>
      <c r="R292" s="614"/>
      <c r="S292" s="4489"/>
      <c r="T292" s="614"/>
      <c r="U292" s="4499" t="str">
        <f t="shared" si="32"/>
        <v/>
      </c>
      <c r="V292" s="614"/>
      <c r="W292" s="4486" t="str">
        <f t="shared" si="31"/>
        <v/>
      </c>
      <c r="X292" s="614"/>
      <c r="Y292" s="2591">
        <f t="shared" si="33"/>
        <v>0</v>
      </c>
      <c r="AJ292" s="3"/>
      <c r="AK292" s="3"/>
      <c r="AL292" s="3"/>
      <c r="AM292" s="3"/>
      <c r="AN292" s="3"/>
      <c r="AO292" s="3"/>
      <c r="AP292" s="3"/>
      <c r="AQ292" s="3"/>
      <c r="AR292" s="3"/>
      <c r="AW292" s="4497">
        <f t="shared" si="34"/>
        <v>0</v>
      </c>
      <c r="AX292" s="4497">
        <f t="shared" si="35"/>
        <v>0</v>
      </c>
      <c r="AY292" s="4497">
        <f t="shared" si="36"/>
        <v>0</v>
      </c>
      <c r="AZ292" s="4497">
        <f t="shared" si="37"/>
        <v>0</v>
      </c>
      <c r="BA292" s="4497">
        <f t="shared" si="38"/>
        <v>0</v>
      </c>
      <c r="BB292" s="4497">
        <f t="shared" si="39"/>
        <v>0</v>
      </c>
      <c r="BC292" s="4497">
        <f t="shared" si="40"/>
        <v>0</v>
      </c>
      <c r="BD292" s="4497">
        <f t="shared" si="41"/>
        <v>0</v>
      </c>
      <c r="BE292" s="4497">
        <f t="shared" si="42"/>
        <v>0</v>
      </c>
      <c r="BF292" s="4497">
        <f t="shared" si="43"/>
        <v>0</v>
      </c>
      <c r="BG292" s="4497">
        <f t="shared" si="44"/>
        <v>0</v>
      </c>
      <c r="BH292" s="4497">
        <f t="shared" si="45"/>
        <v>0</v>
      </c>
    </row>
    <row r="293" spans="15:60">
      <c r="O293" s="4474">
        <f t="shared" si="30"/>
        <v>293</v>
      </c>
      <c r="P293" s="614"/>
      <c r="Q293" s="4492"/>
      <c r="R293" s="614"/>
      <c r="S293" s="4489"/>
      <c r="T293" s="614"/>
      <c r="U293" s="4499" t="str">
        <f t="shared" si="32"/>
        <v/>
      </c>
      <c r="V293" s="614"/>
      <c r="W293" s="4486" t="str">
        <f t="shared" si="31"/>
        <v/>
      </c>
      <c r="X293" s="614"/>
      <c r="Y293" s="2591">
        <f t="shared" si="33"/>
        <v>0</v>
      </c>
      <c r="AJ293" s="3"/>
      <c r="AK293" s="3"/>
      <c r="AL293" s="3"/>
      <c r="AM293" s="3"/>
      <c r="AN293" s="3"/>
      <c r="AO293" s="3"/>
      <c r="AP293" s="3"/>
      <c r="AQ293" s="3"/>
      <c r="AW293" s="4497">
        <f t="shared" si="34"/>
        <v>0</v>
      </c>
      <c r="AX293" s="4497">
        <f t="shared" si="35"/>
        <v>0</v>
      </c>
      <c r="AY293" s="4497">
        <f t="shared" si="36"/>
        <v>0</v>
      </c>
      <c r="AZ293" s="4497">
        <f t="shared" si="37"/>
        <v>0</v>
      </c>
      <c r="BA293" s="4497">
        <f t="shared" si="38"/>
        <v>0</v>
      </c>
      <c r="BB293" s="4497">
        <f t="shared" si="39"/>
        <v>0</v>
      </c>
      <c r="BC293" s="4497">
        <f t="shared" si="40"/>
        <v>0</v>
      </c>
      <c r="BD293" s="4497">
        <f t="shared" si="41"/>
        <v>0</v>
      </c>
      <c r="BE293" s="4497">
        <f t="shared" si="42"/>
        <v>0</v>
      </c>
      <c r="BF293" s="4497">
        <f t="shared" si="43"/>
        <v>0</v>
      </c>
      <c r="BG293" s="4497">
        <f t="shared" si="44"/>
        <v>0</v>
      </c>
      <c r="BH293" s="4497">
        <f t="shared" si="45"/>
        <v>0</v>
      </c>
    </row>
    <row r="294" spans="15:60">
      <c r="O294" s="4474">
        <f t="shared" si="30"/>
        <v>294</v>
      </c>
      <c r="P294" s="614"/>
      <c r="Q294" s="4492"/>
      <c r="R294" s="614"/>
      <c r="S294" s="4489"/>
      <c r="T294" s="614"/>
      <c r="U294" s="4499" t="str">
        <f t="shared" si="32"/>
        <v/>
      </c>
      <c r="V294" s="614"/>
      <c r="W294" s="4486" t="str">
        <f t="shared" si="31"/>
        <v/>
      </c>
      <c r="X294" s="614"/>
      <c r="Y294" s="2591">
        <f t="shared" si="33"/>
        <v>0</v>
      </c>
      <c r="AJ294" s="3"/>
      <c r="AK294" s="3"/>
      <c r="AL294" s="3"/>
      <c r="AM294" s="3"/>
      <c r="AN294" s="3"/>
      <c r="AO294" s="3"/>
      <c r="AP294" s="3"/>
      <c r="AQ294" s="3"/>
      <c r="AW294" s="4497">
        <f t="shared" si="34"/>
        <v>0</v>
      </c>
      <c r="AX294" s="4497">
        <f t="shared" si="35"/>
        <v>0</v>
      </c>
      <c r="AY294" s="4497">
        <f t="shared" si="36"/>
        <v>0</v>
      </c>
      <c r="AZ294" s="4497">
        <f t="shared" si="37"/>
        <v>0</v>
      </c>
      <c r="BA294" s="4497">
        <f t="shared" si="38"/>
        <v>0</v>
      </c>
      <c r="BB294" s="4497">
        <f t="shared" si="39"/>
        <v>0</v>
      </c>
      <c r="BC294" s="4497">
        <f t="shared" si="40"/>
        <v>0</v>
      </c>
      <c r="BD294" s="4497">
        <f t="shared" si="41"/>
        <v>0</v>
      </c>
      <c r="BE294" s="4497">
        <f t="shared" si="42"/>
        <v>0</v>
      </c>
      <c r="BF294" s="4497">
        <f t="shared" si="43"/>
        <v>0</v>
      </c>
      <c r="BG294" s="4497">
        <f t="shared" si="44"/>
        <v>0</v>
      </c>
      <c r="BH294" s="4497">
        <f t="shared" si="45"/>
        <v>0</v>
      </c>
    </row>
    <row r="295" spans="15:60">
      <c r="O295" s="4474">
        <f t="shared" si="30"/>
        <v>295</v>
      </c>
      <c r="P295" s="614"/>
      <c r="Q295" s="4492"/>
      <c r="R295" s="614"/>
      <c r="S295" s="4489"/>
      <c r="T295" s="614"/>
      <c r="U295" s="4499" t="str">
        <f t="shared" si="32"/>
        <v/>
      </c>
      <c r="V295" s="614"/>
      <c r="W295" s="4486" t="str">
        <f t="shared" si="31"/>
        <v/>
      </c>
      <c r="X295" s="614"/>
      <c r="Y295" s="2591">
        <f t="shared" si="33"/>
        <v>0</v>
      </c>
      <c r="AJ295" s="3"/>
      <c r="AK295" s="3"/>
      <c r="AL295" s="3"/>
      <c r="AM295" s="3"/>
      <c r="AN295" s="3"/>
      <c r="AO295" s="3"/>
      <c r="AP295" s="3"/>
      <c r="AQ295" s="3"/>
      <c r="AW295" s="4497">
        <f t="shared" si="34"/>
        <v>0</v>
      </c>
      <c r="AX295" s="4497">
        <f t="shared" si="35"/>
        <v>0</v>
      </c>
      <c r="AY295" s="4497">
        <f t="shared" si="36"/>
        <v>0</v>
      </c>
      <c r="AZ295" s="4497">
        <f t="shared" si="37"/>
        <v>0</v>
      </c>
      <c r="BA295" s="4497">
        <f t="shared" si="38"/>
        <v>0</v>
      </c>
      <c r="BB295" s="4497">
        <f t="shared" si="39"/>
        <v>0</v>
      </c>
      <c r="BC295" s="4497">
        <f t="shared" si="40"/>
        <v>0</v>
      </c>
      <c r="BD295" s="4497">
        <f t="shared" si="41"/>
        <v>0</v>
      </c>
      <c r="BE295" s="4497">
        <f t="shared" si="42"/>
        <v>0</v>
      </c>
      <c r="BF295" s="4497">
        <f t="shared" si="43"/>
        <v>0</v>
      </c>
      <c r="BG295" s="4497">
        <f t="shared" si="44"/>
        <v>0</v>
      </c>
      <c r="BH295" s="4497">
        <f t="shared" si="45"/>
        <v>0</v>
      </c>
    </row>
    <row r="296" spans="15:60">
      <c r="O296" s="4474">
        <f t="shared" si="30"/>
        <v>296</v>
      </c>
      <c r="P296" s="614"/>
      <c r="Q296" s="4492"/>
      <c r="R296" s="614"/>
      <c r="S296" s="4489"/>
      <c r="T296" s="614"/>
      <c r="U296" s="4499" t="str">
        <f t="shared" si="32"/>
        <v/>
      </c>
      <c r="V296" s="614"/>
      <c r="W296" s="4486" t="str">
        <f t="shared" si="31"/>
        <v/>
      </c>
      <c r="X296" s="614"/>
      <c r="Y296" s="2591">
        <f t="shared" si="33"/>
        <v>0</v>
      </c>
      <c r="AJ296" s="3"/>
      <c r="AK296" s="3"/>
      <c r="AL296" s="3"/>
      <c r="AM296" s="3"/>
      <c r="AN296" s="3"/>
      <c r="AO296" s="3"/>
      <c r="AP296" s="3"/>
      <c r="AQ296" s="3"/>
      <c r="AW296" s="4497">
        <f t="shared" si="34"/>
        <v>0</v>
      </c>
      <c r="AX296" s="4497">
        <f t="shared" si="35"/>
        <v>0</v>
      </c>
      <c r="AY296" s="4497">
        <f t="shared" si="36"/>
        <v>0</v>
      </c>
      <c r="AZ296" s="4497">
        <f t="shared" si="37"/>
        <v>0</v>
      </c>
      <c r="BA296" s="4497">
        <f t="shared" si="38"/>
        <v>0</v>
      </c>
      <c r="BB296" s="4497">
        <f t="shared" si="39"/>
        <v>0</v>
      </c>
      <c r="BC296" s="4497">
        <f t="shared" si="40"/>
        <v>0</v>
      </c>
      <c r="BD296" s="4497">
        <f t="shared" si="41"/>
        <v>0</v>
      </c>
      <c r="BE296" s="4497">
        <f t="shared" si="42"/>
        <v>0</v>
      </c>
      <c r="BF296" s="4497">
        <f t="shared" si="43"/>
        <v>0</v>
      </c>
      <c r="BG296" s="4497">
        <f t="shared" si="44"/>
        <v>0</v>
      </c>
      <c r="BH296" s="4497">
        <f t="shared" si="45"/>
        <v>0</v>
      </c>
    </row>
    <row r="297" spans="15:60">
      <c r="O297" s="4474">
        <f t="shared" si="30"/>
        <v>297</v>
      </c>
      <c r="P297" s="614"/>
      <c r="Q297" s="4492"/>
      <c r="R297" s="614"/>
      <c r="S297" s="4489"/>
      <c r="T297" s="614"/>
      <c r="U297" s="4499" t="str">
        <f t="shared" si="32"/>
        <v/>
      </c>
      <c r="V297" s="614"/>
      <c r="W297" s="4486" t="str">
        <f t="shared" si="31"/>
        <v/>
      </c>
      <c r="X297" s="614"/>
      <c r="Y297" s="2591">
        <f t="shared" si="33"/>
        <v>0</v>
      </c>
      <c r="AJ297" s="3"/>
      <c r="AK297" s="3"/>
      <c r="AL297" s="3"/>
      <c r="AM297" s="3"/>
      <c r="AN297" s="3"/>
      <c r="AO297" s="3"/>
      <c r="AP297" s="3"/>
      <c r="AQ297" s="3"/>
      <c r="AW297" s="4497">
        <f t="shared" si="34"/>
        <v>0</v>
      </c>
      <c r="AX297" s="4497">
        <f t="shared" si="35"/>
        <v>0</v>
      </c>
      <c r="AY297" s="4497">
        <f t="shared" si="36"/>
        <v>0</v>
      </c>
      <c r="AZ297" s="4497">
        <f t="shared" si="37"/>
        <v>0</v>
      </c>
      <c r="BA297" s="4497">
        <f t="shared" si="38"/>
        <v>0</v>
      </c>
      <c r="BB297" s="4497">
        <f t="shared" si="39"/>
        <v>0</v>
      </c>
      <c r="BC297" s="4497">
        <f t="shared" si="40"/>
        <v>0</v>
      </c>
      <c r="BD297" s="4497">
        <f t="shared" si="41"/>
        <v>0</v>
      </c>
      <c r="BE297" s="4497">
        <f t="shared" si="42"/>
        <v>0</v>
      </c>
      <c r="BF297" s="4497">
        <f t="shared" si="43"/>
        <v>0</v>
      </c>
      <c r="BG297" s="4497">
        <f t="shared" si="44"/>
        <v>0</v>
      </c>
      <c r="BH297" s="4497">
        <f t="shared" si="45"/>
        <v>0</v>
      </c>
    </row>
    <row r="298" spans="15:60">
      <c r="O298" s="4474">
        <f t="shared" si="30"/>
        <v>298</v>
      </c>
      <c r="P298" s="614"/>
      <c r="Q298" s="4492"/>
      <c r="R298" s="614"/>
      <c r="S298" s="4489"/>
      <c r="T298" s="614"/>
      <c r="U298" s="4499" t="str">
        <f t="shared" si="32"/>
        <v/>
      </c>
      <c r="V298" s="614"/>
      <c r="W298" s="4486" t="str">
        <f t="shared" si="31"/>
        <v/>
      </c>
      <c r="X298" s="614"/>
      <c r="Y298" s="2591">
        <f t="shared" si="33"/>
        <v>0</v>
      </c>
      <c r="AJ298" s="3"/>
      <c r="AK298" s="3"/>
      <c r="AL298" s="3"/>
      <c r="AM298" s="3"/>
      <c r="AN298" s="3"/>
      <c r="AO298" s="3"/>
      <c r="AP298" s="3"/>
      <c r="AQ298" s="3"/>
      <c r="AW298" s="4497">
        <f t="shared" si="34"/>
        <v>0</v>
      </c>
      <c r="AX298" s="4497">
        <f t="shared" si="35"/>
        <v>0</v>
      </c>
      <c r="AY298" s="4497">
        <f t="shared" si="36"/>
        <v>0</v>
      </c>
      <c r="AZ298" s="4497">
        <f t="shared" si="37"/>
        <v>0</v>
      </c>
      <c r="BA298" s="4497">
        <f t="shared" si="38"/>
        <v>0</v>
      </c>
      <c r="BB298" s="4497">
        <f t="shared" si="39"/>
        <v>0</v>
      </c>
      <c r="BC298" s="4497">
        <f t="shared" si="40"/>
        <v>0</v>
      </c>
      <c r="BD298" s="4497">
        <f t="shared" si="41"/>
        <v>0</v>
      </c>
      <c r="BE298" s="4497">
        <f t="shared" si="42"/>
        <v>0</v>
      </c>
      <c r="BF298" s="4497">
        <f t="shared" si="43"/>
        <v>0</v>
      </c>
      <c r="BG298" s="4497">
        <f t="shared" si="44"/>
        <v>0</v>
      </c>
      <c r="BH298" s="4497">
        <f t="shared" si="45"/>
        <v>0</v>
      </c>
    </row>
    <row r="299" spans="15:60">
      <c r="O299" s="4474">
        <f t="shared" si="30"/>
        <v>299</v>
      </c>
      <c r="P299" s="614"/>
      <c r="Q299" s="4492"/>
      <c r="R299" s="614"/>
      <c r="S299" s="4489"/>
      <c r="T299" s="614"/>
      <c r="U299" s="4499" t="str">
        <f t="shared" si="32"/>
        <v/>
      </c>
      <c r="V299" s="614"/>
      <c r="W299" s="4486" t="str">
        <f t="shared" si="31"/>
        <v/>
      </c>
      <c r="X299" s="614"/>
      <c r="Y299" s="2591">
        <f t="shared" si="33"/>
        <v>0</v>
      </c>
      <c r="AJ299" s="3"/>
      <c r="AK299" s="3"/>
      <c r="AL299" s="3"/>
      <c r="AM299" s="3"/>
      <c r="AN299" s="3"/>
      <c r="AO299" s="3"/>
      <c r="AP299" s="3"/>
      <c r="AQ299" s="3"/>
      <c r="AW299" s="4497">
        <f t="shared" si="34"/>
        <v>0</v>
      </c>
      <c r="AX299" s="4497">
        <f t="shared" si="35"/>
        <v>0</v>
      </c>
      <c r="AY299" s="4497">
        <f t="shared" si="36"/>
        <v>0</v>
      </c>
      <c r="AZ299" s="4497">
        <f t="shared" si="37"/>
        <v>0</v>
      </c>
      <c r="BA299" s="4497">
        <f t="shared" si="38"/>
        <v>0</v>
      </c>
      <c r="BB299" s="4497">
        <f t="shared" si="39"/>
        <v>0</v>
      </c>
      <c r="BC299" s="4497">
        <f t="shared" si="40"/>
        <v>0</v>
      </c>
      <c r="BD299" s="4497">
        <f t="shared" si="41"/>
        <v>0</v>
      </c>
      <c r="BE299" s="4497">
        <f t="shared" si="42"/>
        <v>0</v>
      </c>
      <c r="BF299" s="4497">
        <f t="shared" si="43"/>
        <v>0</v>
      </c>
      <c r="BG299" s="4497">
        <f t="shared" si="44"/>
        <v>0</v>
      </c>
      <c r="BH299" s="4497">
        <f t="shared" si="45"/>
        <v>0</v>
      </c>
    </row>
    <row r="300" spans="15:60">
      <c r="O300" s="4474">
        <f t="shared" si="30"/>
        <v>300</v>
      </c>
      <c r="P300" s="614"/>
      <c r="Q300" s="4492"/>
      <c r="R300" s="614"/>
      <c r="S300" s="4489"/>
      <c r="T300" s="614"/>
      <c r="U300" s="4499" t="str">
        <f t="shared" si="32"/>
        <v/>
      </c>
      <c r="V300" s="614"/>
      <c r="W300" s="4486" t="str">
        <f t="shared" si="31"/>
        <v/>
      </c>
      <c r="X300" s="614"/>
      <c r="Y300" s="2591">
        <f t="shared" si="33"/>
        <v>0</v>
      </c>
      <c r="AB300" s="3"/>
      <c r="AC300" s="3"/>
      <c r="AD300" s="3"/>
      <c r="AE300" s="3"/>
      <c r="AF300" s="3"/>
      <c r="AG300" s="3"/>
      <c r="AH300" s="3"/>
      <c r="AI300" s="3"/>
      <c r="AJ300" s="4374"/>
      <c r="AK300" s="4374"/>
      <c r="AL300" s="3"/>
      <c r="AW300" s="4497">
        <f t="shared" si="34"/>
        <v>0</v>
      </c>
      <c r="AX300" s="4497">
        <f t="shared" si="35"/>
        <v>0</v>
      </c>
      <c r="AY300" s="4497">
        <f t="shared" si="36"/>
        <v>0</v>
      </c>
      <c r="AZ300" s="4497">
        <f t="shared" si="37"/>
        <v>0</v>
      </c>
      <c r="BA300" s="4497">
        <f t="shared" si="38"/>
        <v>0</v>
      </c>
      <c r="BB300" s="4497">
        <f t="shared" si="39"/>
        <v>0</v>
      </c>
      <c r="BC300" s="4497">
        <f t="shared" si="40"/>
        <v>0</v>
      </c>
      <c r="BD300" s="4497">
        <f t="shared" si="41"/>
        <v>0</v>
      </c>
      <c r="BE300" s="4497">
        <f t="shared" si="42"/>
        <v>0</v>
      </c>
      <c r="BF300" s="4497">
        <f t="shared" si="43"/>
        <v>0</v>
      </c>
      <c r="BG300" s="4497">
        <f t="shared" si="44"/>
        <v>0</v>
      </c>
      <c r="BH300" s="4497">
        <f t="shared" si="45"/>
        <v>0</v>
      </c>
    </row>
    <row r="301" spans="15:60">
      <c r="O301" s="4474">
        <f t="shared" si="30"/>
        <v>301</v>
      </c>
      <c r="P301" s="614"/>
      <c r="Q301" s="4492"/>
      <c r="R301" s="614"/>
      <c r="S301" s="4489"/>
      <c r="T301" s="614"/>
      <c r="U301" s="4499" t="str">
        <f t="shared" si="32"/>
        <v/>
      </c>
      <c r="V301" s="614"/>
      <c r="W301" s="4486" t="str">
        <f t="shared" si="31"/>
        <v/>
      </c>
      <c r="X301" s="614"/>
      <c r="Y301" s="2591">
        <f t="shared" si="33"/>
        <v>0</v>
      </c>
      <c r="AA301" s="3"/>
      <c r="AB301" s="3"/>
      <c r="AC301" s="3"/>
      <c r="AD301" s="3"/>
      <c r="AE301" s="3"/>
      <c r="AF301" s="3"/>
      <c r="AG301" s="3"/>
      <c r="AH301" s="3"/>
      <c r="AI301" s="3"/>
      <c r="AJ301" s="3"/>
      <c r="AK301" s="3"/>
      <c r="AL301" s="3"/>
      <c r="AW301" s="4497">
        <f t="shared" si="34"/>
        <v>0</v>
      </c>
      <c r="AX301" s="4497">
        <f t="shared" si="35"/>
        <v>0</v>
      </c>
      <c r="AY301" s="4497">
        <f t="shared" si="36"/>
        <v>0</v>
      </c>
      <c r="AZ301" s="4497">
        <f t="shared" si="37"/>
        <v>0</v>
      </c>
      <c r="BA301" s="4497">
        <f t="shared" si="38"/>
        <v>0</v>
      </c>
      <c r="BB301" s="4497">
        <f t="shared" si="39"/>
        <v>0</v>
      </c>
      <c r="BC301" s="4497">
        <f t="shared" si="40"/>
        <v>0</v>
      </c>
      <c r="BD301" s="4497">
        <f t="shared" si="41"/>
        <v>0</v>
      </c>
      <c r="BE301" s="4497">
        <f t="shared" si="42"/>
        <v>0</v>
      </c>
      <c r="BF301" s="4497">
        <f t="shared" si="43"/>
        <v>0</v>
      </c>
      <c r="BG301" s="4497">
        <f t="shared" si="44"/>
        <v>0</v>
      </c>
      <c r="BH301" s="4497">
        <f t="shared" si="45"/>
        <v>0</v>
      </c>
    </row>
    <row r="302" spans="15:60">
      <c r="O302" s="4474">
        <f t="shared" si="30"/>
        <v>302</v>
      </c>
      <c r="P302" s="614"/>
      <c r="Q302" s="4492"/>
      <c r="R302" s="614"/>
      <c r="S302" s="4489"/>
      <c r="T302" s="614"/>
      <c r="U302" s="4499" t="str">
        <f t="shared" si="32"/>
        <v/>
      </c>
      <c r="V302" s="614"/>
      <c r="W302" s="4486" t="str">
        <f t="shared" si="31"/>
        <v/>
      </c>
      <c r="X302" s="614"/>
      <c r="Y302" s="2591">
        <f t="shared" si="33"/>
        <v>0</v>
      </c>
      <c r="AA302" s="3"/>
      <c r="AB302" s="3"/>
      <c r="AC302" s="3"/>
      <c r="AD302" s="3"/>
      <c r="AE302" s="3"/>
      <c r="AF302" s="3"/>
      <c r="AG302" s="3"/>
      <c r="AH302" s="3"/>
      <c r="AI302" s="3"/>
      <c r="AJ302" s="3"/>
      <c r="AK302" s="3"/>
      <c r="AL302" s="3"/>
      <c r="AW302" s="4497">
        <f t="shared" si="34"/>
        <v>0</v>
      </c>
      <c r="AX302" s="4497">
        <f t="shared" si="35"/>
        <v>0</v>
      </c>
      <c r="AY302" s="4497">
        <f t="shared" si="36"/>
        <v>0</v>
      </c>
      <c r="AZ302" s="4497">
        <f t="shared" si="37"/>
        <v>0</v>
      </c>
      <c r="BA302" s="4497">
        <f t="shared" si="38"/>
        <v>0</v>
      </c>
      <c r="BB302" s="4497">
        <f t="shared" si="39"/>
        <v>0</v>
      </c>
      <c r="BC302" s="4497">
        <f t="shared" si="40"/>
        <v>0</v>
      </c>
      <c r="BD302" s="4497">
        <f t="shared" si="41"/>
        <v>0</v>
      </c>
      <c r="BE302" s="4497">
        <f t="shared" si="42"/>
        <v>0</v>
      </c>
      <c r="BF302" s="4497">
        <f t="shared" si="43"/>
        <v>0</v>
      </c>
      <c r="BG302" s="4497">
        <f t="shared" si="44"/>
        <v>0</v>
      </c>
      <c r="BH302" s="4497">
        <f t="shared" si="45"/>
        <v>0</v>
      </c>
    </row>
    <row r="303" spans="15:60">
      <c r="O303" s="4474">
        <f t="shared" si="30"/>
        <v>303</v>
      </c>
      <c r="P303" s="614"/>
      <c r="Q303" s="4492"/>
      <c r="R303" s="614"/>
      <c r="S303" s="4489"/>
      <c r="T303" s="614"/>
      <c r="U303" s="4499" t="str">
        <f t="shared" si="32"/>
        <v/>
      </c>
      <c r="V303" s="614"/>
      <c r="W303" s="4486" t="str">
        <f t="shared" si="31"/>
        <v/>
      </c>
      <c r="X303" s="614"/>
      <c r="Y303" s="2591">
        <f t="shared" si="33"/>
        <v>0</v>
      </c>
      <c r="AA303" s="3"/>
      <c r="AB303" s="3"/>
      <c r="AC303" s="3"/>
      <c r="AD303" s="3"/>
      <c r="AE303" s="3"/>
      <c r="AF303" s="3"/>
      <c r="AG303" s="3"/>
      <c r="AH303" s="3"/>
      <c r="AI303" s="3"/>
      <c r="AJ303" s="3"/>
      <c r="AK303" s="3"/>
      <c r="AL303" s="3"/>
      <c r="AW303" s="4497">
        <f t="shared" si="34"/>
        <v>0</v>
      </c>
      <c r="AX303" s="4497">
        <f t="shared" si="35"/>
        <v>0</v>
      </c>
      <c r="AY303" s="4497">
        <f t="shared" si="36"/>
        <v>0</v>
      </c>
      <c r="AZ303" s="4497">
        <f t="shared" si="37"/>
        <v>0</v>
      </c>
      <c r="BA303" s="4497">
        <f t="shared" si="38"/>
        <v>0</v>
      </c>
      <c r="BB303" s="4497">
        <f t="shared" si="39"/>
        <v>0</v>
      </c>
      <c r="BC303" s="4497">
        <f t="shared" si="40"/>
        <v>0</v>
      </c>
      <c r="BD303" s="4497">
        <f t="shared" si="41"/>
        <v>0</v>
      </c>
      <c r="BE303" s="4497">
        <f t="shared" si="42"/>
        <v>0</v>
      </c>
      <c r="BF303" s="4497">
        <f t="shared" si="43"/>
        <v>0</v>
      </c>
      <c r="BG303" s="4497">
        <f t="shared" si="44"/>
        <v>0</v>
      </c>
      <c r="BH303" s="4497">
        <f t="shared" si="45"/>
        <v>0</v>
      </c>
    </row>
    <row r="304" spans="15:60">
      <c r="O304" s="4474">
        <f t="shared" si="30"/>
        <v>304</v>
      </c>
      <c r="P304" s="614"/>
      <c r="Q304" s="4492"/>
      <c r="R304" s="614"/>
      <c r="S304" s="4489"/>
      <c r="T304" s="614"/>
      <c r="U304" s="4499" t="str">
        <f t="shared" si="32"/>
        <v/>
      </c>
      <c r="V304" s="614"/>
      <c r="W304" s="4486" t="str">
        <f t="shared" si="31"/>
        <v/>
      </c>
      <c r="X304" s="614"/>
      <c r="Y304" s="2591">
        <f t="shared" si="33"/>
        <v>0</v>
      </c>
      <c r="AA304" s="3"/>
      <c r="AB304" s="3"/>
      <c r="AC304" s="3"/>
      <c r="AD304" s="3"/>
      <c r="AE304" s="3"/>
      <c r="AF304" s="3"/>
      <c r="AG304" s="3"/>
      <c r="AH304" s="3"/>
      <c r="AI304" s="3"/>
      <c r="AJ304" s="3"/>
      <c r="AK304" s="3"/>
      <c r="AL304" s="3"/>
      <c r="AW304" s="4497">
        <f t="shared" si="34"/>
        <v>0</v>
      </c>
      <c r="AX304" s="4497">
        <f t="shared" si="35"/>
        <v>0</v>
      </c>
      <c r="AY304" s="4497">
        <f t="shared" si="36"/>
        <v>0</v>
      </c>
      <c r="AZ304" s="4497">
        <f t="shared" si="37"/>
        <v>0</v>
      </c>
      <c r="BA304" s="4497">
        <f t="shared" si="38"/>
        <v>0</v>
      </c>
      <c r="BB304" s="4497">
        <f t="shared" si="39"/>
        <v>0</v>
      </c>
      <c r="BC304" s="4497">
        <f t="shared" si="40"/>
        <v>0</v>
      </c>
      <c r="BD304" s="4497">
        <f t="shared" si="41"/>
        <v>0</v>
      </c>
      <c r="BE304" s="4497">
        <f t="shared" si="42"/>
        <v>0</v>
      </c>
      <c r="BF304" s="4497">
        <f t="shared" si="43"/>
        <v>0</v>
      </c>
      <c r="BG304" s="4497">
        <f t="shared" si="44"/>
        <v>0</v>
      </c>
      <c r="BH304" s="4497">
        <f t="shared" si="45"/>
        <v>0</v>
      </c>
    </row>
    <row r="305" spans="15:60">
      <c r="O305" s="4474">
        <f t="shared" si="30"/>
        <v>305</v>
      </c>
      <c r="P305" s="614"/>
      <c r="Q305" s="4492"/>
      <c r="R305" s="614"/>
      <c r="S305" s="4489"/>
      <c r="T305" s="614"/>
      <c r="U305" s="4499" t="str">
        <f t="shared" si="32"/>
        <v/>
      </c>
      <c r="V305" s="614"/>
      <c r="W305" s="4486" t="str">
        <f t="shared" si="31"/>
        <v/>
      </c>
      <c r="X305" s="614"/>
      <c r="Y305" s="2591">
        <f t="shared" si="33"/>
        <v>0</v>
      </c>
      <c r="AA305" s="3"/>
      <c r="AB305" s="3"/>
      <c r="AC305" s="3"/>
      <c r="AD305" s="3"/>
      <c r="AE305" s="3"/>
      <c r="AF305" s="3"/>
      <c r="AG305" s="3"/>
      <c r="AH305" s="3"/>
      <c r="AI305" s="3"/>
      <c r="AJ305" s="3"/>
      <c r="AK305" s="3"/>
      <c r="AL305" s="3"/>
      <c r="AW305" s="4497">
        <f t="shared" si="34"/>
        <v>0</v>
      </c>
      <c r="AX305" s="4497">
        <f t="shared" si="35"/>
        <v>0</v>
      </c>
      <c r="AY305" s="4497">
        <f t="shared" si="36"/>
        <v>0</v>
      </c>
      <c r="AZ305" s="4497">
        <f t="shared" si="37"/>
        <v>0</v>
      </c>
      <c r="BA305" s="4497">
        <f t="shared" si="38"/>
        <v>0</v>
      </c>
      <c r="BB305" s="4497">
        <f t="shared" si="39"/>
        <v>0</v>
      </c>
      <c r="BC305" s="4497">
        <f t="shared" si="40"/>
        <v>0</v>
      </c>
      <c r="BD305" s="4497">
        <f t="shared" si="41"/>
        <v>0</v>
      </c>
      <c r="BE305" s="4497">
        <f t="shared" si="42"/>
        <v>0</v>
      </c>
      <c r="BF305" s="4497">
        <f t="shared" si="43"/>
        <v>0</v>
      </c>
      <c r="BG305" s="4497">
        <f t="shared" si="44"/>
        <v>0</v>
      </c>
      <c r="BH305" s="4497">
        <f t="shared" si="45"/>
        <v>0</v>
      </c>
    </row>
    <row r="306" spans="15:60">
      <c r="O306" s="4474">
        <f t="shared" si="30"/>
        <v>306</v>
      </c>
      <c r="P306" s="614"/>
      <c r="Q306" s="4492"/>
      <c r="R306" s="614"/>
      <c r="S306" s="4489"/>
      <c r="T306" s="614"/>
      <c r="U306" s="4499" t="str">
        <f t="shared" si="32"/>
        <v/>
      </c>
      <c r="V306" s="614"/>
      <c r="W306" s="4486" t="str">
        <f t="shared" si="31"/>
        <v/>
      </c>
      <c r="X306" s="614"/>
      <c r="Y306" s="2591">
        <f t="shared" si="33"/>
        <v>0</v>
      </c>
      <c r="AA306" s="3"/>
      <c r="AB306" s="3"/>
      <c r="AC306" s="3"/>
      <c r="AD306" s="3"/>
      <c r="AE306" s="3"/>
      <c r="AF306" s="3"/>
      <c r="AG306" s="3"/>
      <c r="AH306" s="3"/>
      <c r="AI306" s="3"/>
      <c r="AJ306" s="3"/>
      <c r="AK306" s="3"/>
      <c r="AL306" s="3"/>
      <c r="AW306" s="4497">
        <f t="shared" si="34"/>
        <v>0</v>
      </c>
      <c r="AX306" s="4497">
        <f t="shared" si="35"/>
        <v>0</v>
      </c>
      <c r="AY306" s="4497">
        <f t="shared" si="36"/>
        <v>0</v>
      </c>
      <c r="AZ306" s="4497">
        <f t="shared" si="37"/>
        <v>0</v>
      </c>
      <c r="BA306" s="4497">
        <f t="shared" si="38"/>
        <v>0</v>
      </c>
      <c r="BB306" s="4497">
        <f t="shared" si="39"/>
        <v>0</v>
      </c>
      <c r="BC306" s="4497">
        <f t="shared" si="40"/>
        <v>0</v>
      </c>
      <c r="BD306" s="4497">
        <f t="shared" si="41"/>
        <v>0</v>
      </c>
      <c r="BE306" s="4497">
        <f t="shared" si="42"/>
        <v>0</v>
      </c>
      <c r="BF306" s="4497">
        <f t="shared" si="43"/>
        <v>0</v>
      </c>
      <c r="BG306" s="4497">
        <f t="shared" si="44"/>
        <v>0</v>
      </c>
      <c r="BH306" s="4497">
        <f t="shared" si="45"/>
        <v>0</v>
      </c>
    </row>
    <row r="307" spans="15:60">
      <c r="O307" s="4474">
        <f t="shared" si="30"/>
        <v>307</v>
      </c>
      <c r="P307" s="614"/>
      <c r="Q307" s="4492"/>
      <c r="R307" s="614"/>
      <c r="S307" s="4489"/>
      <c r="T307" s="614"/>
      <c r="U307" s="4499" t="str">
        <f t="shared" si="32"/>
        <v/>
      </c>
      <c r="V307" s="614"/>
      <c r="W307" s="4486" t="str">
        <f t="shared" si="31"/>
        <v/>
      </c>
      <c r="X307" s="614"/>
      <c r="Y307" s="2591">
        <f t="shared" si="33"/>
        <v>0</v>
      </c>
      <c r="AA307" s="3"/>
      <c r="AB307" s="3"/>
      <c r="AC307" s="3"/>
      <c r="AD307" s="3"/>
      <c r="AE307" s="3"/>
      <c r="AF307" s="3"/>
      <c r="AG307" s="3"/>
      <c r="AH307" s="3"/>
      <c r="AI307" s="3"/>
      <c r="AJ307" s="3"/>
      <c r="AK307" s="3"/>
      <c r="AL307" s="3"/>
      <c r="AW307" s="4497">
        <f t="shared" si="34"/>
        <v>0</v>
      </c>
      <c r="AX307" s="4497">
        <f t="shared" si="35"/>
        <v>0</v>
      </c>
      <c r="AY307" s="4497">
        <f t="shared" si="36"/>
        <v>0</v>
      </c>
      <c r="AZ307" s="4497">
        <f t="shared" si="37"/>
        <v>0</v>
      </c>
      <c r="BA307" s="4497">
        <f t="shared" si="38"/>
        <v>0</v>
      </c>
      <c r="BB307" s="4497">
        <f t="shared" si="39"/>
        <v>0</v>
      </c>
      <c r="BC307" s="4497">
        <f t="shared" si="40"/>
        <v>0</v>
      </c>
      <c r="BD307" s="4497">
        <f t="shared" si="41"/>
        <v>0</v>
      </c>
      <c r="BE307" s="4497">
        <f t="shared" si="42"/>
        <v>0</v>
      </c>
      <c r="BF307" s="4497">
        <f t="shared" si="43"/>
        <v>0</v>
      </c>
      <c r="BG307" s="4497">
        <f t="shared" si="44"/>
        <v>0</v>
      </c>
      <c r="BH307" s="4497">
        <f t="shared" si="45"/>
        <v>0</v>
      </c>
    </row>
    <row r="308" spans="15:60">
      <c r="O308" s="4474">
        <f t="shared" si="30"/>
        <v>308</v>
      </c>
      <c r="P308" s="614"/>
      <c r="Q308" s="4492"/>
      <c r="R308" s="614"/>
      <c r="S308" s="4489"/>
      <c r="T308" s="614"/>
      <c r="U308" s="4499" t="str">
        <f t="shared" si="32"/>
        <v/>
      </c>
      <c r="V308" s="614"/>
      <c r="W308" s="4486" t="str">
        <f t="shared" si="31"/>
        <v/>
      </c>
      <c r="X308" s="614"/>
      <c r="Y308" s="2591">
        <f t="shared" si="33"/>
        <v>0</v>
      </c>
      <c r="AF308" s="3"/>
      <c r="AG308" s="3"/>
      <c r="AH308" s="3"/>
      <c r="AI308" s="3"/>
      <c r="AJ308" s="3"/>
      <c r="AK308" s="3"/>
      <c r="AL308" s="3"/>
      <c r="AW308" s="4497">
        <f t="shared" si="34"/>
        <v>0</v>
      </c>
      <c r="AX308" s="4497">
        <f t="shared" si="35"/>
        <v>0</v>
      </c>
      <c r="AY308" s="4497">
        <f t="shared" si="36"/>
        <v>0</v>
      </c>
      <c r="AZ308" s="4497">
        <f t="shared" si="37"/>
        <v>0</v>
      </c>
      <c r="BA308" s="4497">
        <f t="shared" si="38"/>
        <v>0</v>
      </c>
      <c r="BB308" s="4497">
        <f t="shared" si="39"/>
        <v>0</v>
      </c>
      <c r="BC308" s="4497">
        <f t="shared" si="40"/>
        <v>0</v>
      </c>
      <c r="BD308" s="4497">
        <f t="shared" si="41"/>
        <v>0</v>
      </c>
      <c r="BE308" s="4497">
        <f t="shared" si="42"/>
        <v>0</v>
      </c>
      <c r="BF308" s="4497">
        <f t="shared" si="43"/>
        <v>0</v>
      </c>
      <c r="BG308" s="4497">
        <f t="shared" si="44"/>
        <v>0</v>
      </c>
      <c r="BH308" s="4497">
        <f t="shared" si="45"/>
        <v>0</v>
      </c>
    </row>
    <row r="309" spans="15:60">
      <c r="O309" s="4474">
        <f t="shared" si="30"/>
        <v>309</v>
      </c>
      <c r="P309" s="614"/>
      <c r="Q309" s="4492"/>
      <c r="R309" s="614"/>
      <c r="S309" s="4489"/>
      <c r="T309" s="614"/>
      <c r="U309" s="4499" t="str">
        <f t="shared" si="32"/>
        <v/>
      </c>
      <c r="V309" s="614"/>
      <c r="W309" s="4486" t="str">
        <f t="shared" si="31"/>
        <v/>
      </c>
      <c r="X309" s="614"/>
      <c r="Y309" s="2591">
        <f t="shared" si="33"/>
        <v>0</v>
      </c>
      <c r="AF309" s="4374"/>
      <c r="AG309" s="4374"/>
      <c r="AH309" s="4374"/>
      <c r="AI309" s="4374"/>
      <c r="AJ309" s="3"/>
      <c r="AK309" s="3"/>
      <c r="AL309" s="4374"/>
      <c r="AW309" s="4497">
        <f t="shared" si="34"/>
        <v>0</v>
      </c>
      <c r="AX309" s="4497">
        <f t="shared" si="35"/>
        <v>0</v>
      </c>
      <c r="AY309" s="4497">
        <f t="shared" si="36"/>
        <v>0</v>
      </c>
      <c r="AZ309" s="4497">
        <f t="shared" si="37"/>
        <v>0</v>
      </c>
      <c r="BA309" s="4497">
        <f t="shared" si="38"/>
        <v>0</v>
      </c>
      <c r="BB309" s="4497">
        <f t="shared" si="39"/>
        <v>0</v>
      </c>
      <c r="BC309" s="4497">
        <f t="shared" si="40"/>
        <v>0</v>
      </c>
      <c r="BD309" s="4497">
        <f t="shared" si="41"/>
        <v>0</v>
      </c>
      <c r="BE309" s="4497">
        <f t="shared" si="42"/>
        <v>0</v>
      </c>
      <c r="BF309" s="4497">
        <f t="shared" si="43"/>
        <v>0</v>
      </c>
      <c r="BG309" s="4497">
        <f t="shared" si="44"/>
        <v>0</v>
      </c>
      <c r="BH309" s="4497">
        <f t="shared" si="45"/>
        <v>0</v>
      </c>
    </row>
    <row r="310" spans="15:60">
      <c r="O310" s="4474">
        <f t="shared" ref="O310:O332" si="46">ROW(Q310)</f>
        <v>310</v>
      </c>
      <c r="P310" s="614"/>
      <c r="Q310" s="4492"/>
      <c r="R310" s="614"/>
      <c r="S310" s="4489"/>
      <c r="T310" s="614"/>
      <c r="U310" s="4499" t="str">
        <f t="shared" si="32"/>
        <v/>
      </c>
      <c r="V310" s="614"/>
      <c r="W310" s="4486" t="str">
        <f t="shared" si="31"/>
        <v/>
      </c>
      <c r="X310" s="614"/>
      <c r="Y310" s="2591">
        <f t="shared" si="33"/>
        <v>0</v>
      </c>
      <c r="AF310" s="3"/>
      <c r="AG310" s="3"/>
      <c r="AH310" s="3"/>
      <c r="AI310" s="3"/>
      <c r="AJ310" s="4374"/>
      <c r="AK310" s="4374"/>
      <c r="AL310" s="3"/>
      <c r="AW310" s="4497">
        <f t="shared" si="34"/>
        <v>0</v>
      </c>
      <c r="AX310" s="4497">
        <f t="shared" si="35"/>
        <v>0</v>
      </c>
      <c r="AY310" s="4497">
        <f t="shared" si="36"/>
        <v>0</v>
      </c>
      <c r="AZ310" s="4497">
        <f t="shared" si="37"/>
        <v>0</v>
      </c>
      <c r="BA310" s="4497">
        <f t="shared" si="38"/>
        <v>0</v>
      </c>
      <c r="BB310" s="4497">
        <f t="shared" si="39"/>
        <v>0</v>
      </c>
      <c r="BC310" s="4497">
        <f t="shared" si="40"/>
        <v>0</v>
      </c>
      <c r="BD310" s="4497">
        <f t="shared" si="41"/>
        <v>0</v>
      </c>
      <c r="BE310" s="4497">
        <f t="shared" si="42"/>
        <v>0</v>
      </c>
      <c r="BF310" s="4497">
        <f t="shared" si="43"/>
        <v>0</v>
      </c>
      <c r="BG310" s="4497">
        <f t="shared" si="44"/>
        <v>0</v>
      </c>
      <c r="BH310" s="4497">
        <f t="shared" si="45"/>
        <v>0</v>
      </c>
    </row>
    <row r="311" spans="15:60">
      <c r="O311" s="4474">
        <f t="shared" si="46"/>
        <v>311</v>
      </c>
      <c r="P311" s="614"/>
      <c r="Q311" s="4492"/>
      <c r="R311" s="614"/>
      <c r="S311" s="4489"/>
      <c r="T311" s="614"/>
      <c r="U311" s="4499" t="str">
        <f t="shared" si="32"/>
        <v/>
      </c>
      <c r="V311" s="614"/>
      <c r="W311" s="4486" t="str">
        <f t="shared" si="31"/>
        <v/>
      </c>
      <c r="X311" s="614"/>
      <c r="Y311" s="2591">
        <f t="shared" si="33"/>
        <v>0</v>
      </c>
      <c r="AF311" s="3"/>
      <c r="AG311" s="3"/>
      <c r="AH311" s="3"/>
      <c r="AI311" s="3"/>
      <c r="AJ311" s="3"/>
      <c r="AK311" s="3"/>
      <c r="AL311" s="3"/>
      <c r="AW311" s="4497">
        <f t="shared" si="34"/>
        <v>0</v>
      </c>
      <c r="AX311" s="4497">
        <f t="shared" si="35"/>
        <v>0</v>
      </c>
      <c r="AY311" s="4497">
        <f t="shared" si="36"/>
        <v>0</v>
      </c>
      <c r="AZ311" s="4497">
        <f t="shared" si="37"/>
        <v>0</v>
      </c>
      <c r="BA311" s="4497">
        <f t="shared" si="38"/>
        <v>0</v>
      </c>
      <c r="BB311" s="4497">
        <f t="shared" si="39"/>
        <v>0</v>
      </c>
      <c r="BC311" s="4497">
        <f t="shared" si="40"/>
        <v>0</v>
      </c>
      <c r="BD311" s="4497">
        <f t="shared" si="41"/>
        <v>0</v>
      </c>
      <c r="BE311" s="4497">
        <f t="shared" si="42"/>
        <v>0</v>
      </c>
      <c r="BF311" s="4497">
        <f t="shared" si="43"/>
        <v>0</v>
      </c>
      <c r="BG311" s="4497">
        <f t="shared" si="44"/>
        <v>0</v>
      </c>
      <c r="BH311" s="4497">
        <f t="shared" si="45"/>
        <v>0</v>
      </c>
    </row>
    <row r="312" spans="15:60">
      <c r="O312" s="4474">
        <f t="shared" si="46"/>
        <v>312</v>
      </c>
      <c r="P312" s="614"/>
      <c r="Q312" s="4492"/>
      <c r="R312" s="614"/>
      <c r="S312" s="4489"/>
      <c r="T312" s="614"/>
      <c r="U312" s="4499" t="str">
        <f t="shared" si="32"/>
        <v/>
      </c>
      <c r="V312" s="614"/>
      <c r="W312" s="4486" t="str">
        <f t="shared" si="31"/>
        <v/>
      </c>
      <c r="X312" s="614"/>
      <c r="Y312" s="2591">
        <f t="shared" si="33"/>
        <v>0</v>
      </c>
      <c r="AF312" s="3"/>
      <c r="AG312" s="3"/>
      <c r="AH312" s="3"/>
      <c r="AI312" s="3"/>
      <c r="AJ312" s="3"/>
      <c r="AK312" s="3"/>
      <c r="AL312" s="3"/>
      <c r="AW312" s="4497">
        <f t="shared" si="34"/>
        <v>0</v>
      </c>
      <c r="AX312" s="4497">
        <f t="shared" si="35"/>
        <v>0</v>
      </c>
      <c r="AY312" s="4497">
        <f t="shared" si="36"/>
        <v>0</v>
      </c>
      <c r="AZ312" s="4497">
        <f t="shared" si="37"/>
        <v>0</v>
      </c>
      <c r="BA312" s="4497">
        <f t="shared" si="38"/>
        <v>0</v>
      </c>
      <c r="BB312" s="4497">
        <f t="shared" si="39"/>
        <v>0</v>
      </c>
      <c r="BC312" s="4497">
        <f t="shared" si="40"/>
        <v>0</v>
      </c>
      <c r="BD312" s="4497">
        <f t="shared" si="41"/>
        <v>0</v>
      </c>
      <c r="BE312" s="4497">
        <f t="shared" si="42"/>
        <v>0</v>
      </c>
      <c r="BF312" s="4497">
        <f t="shared" si="43"/>
        <v>0</v>
      </c>
      <c r="BG312" s="4497">
        <f t="shared" si="44"/>
        <v>0</v>
      </c>
      <c r="BH312" s="4497">
        <f t="shared" si="45"/>
        <v>0</v>
      </c>
    </row>
    <row r="313" spans="15:60">
      <c r="O313" s="4474">
        <f t="shared" si="46"/>
        <v>313</v>
      </c>
      <c r="P313" s="614"/>
      <c r="Q313" s="4492"/>
      <c r="R313" s="614"/>
      <c r="S313" s="4489"/>
      <c r="T313" s="614"/>
      <c r="U313" s="4499" t="str">
        <f t="shared" si="32"/>
        <v/>
      </c>
      <c r="V313" s="614"/>
      <c r="W313" s="4486" t="str">
        <f t="shared" si="31"/>
        <v/>
      </c>
      <c r="X313" s="614"/>
      <c r="Y313" s="2591">
        <f t="shared" si="33"/>
        <v>0</v>
      </c>
      <c r="AF313" s="3"/>
      <c r="AG313" s="3"/>
      <c r="AH313" s="3"/>
      <c r="AI313" s="3"/>
      <c r="AJ313" s="3"/>
      <c r="AK313" s="3"/>
      <c r="AL313" s="3"/>
      <c r="AW313" s="4497">
        <f t="shared" si="34"/>
        <v>0</v>
      </c>
      <c r="AX313" s="4497">
        <f t="shared" si="35"/>
        <v>0</v>
      </c>
      <c r="AY313" s="4497">
        <f t="shared" si="36"/>
        <v>0</v>
      </c>
      <c r="AZ313" s="4497">
        <f t="shared" si="37"/>
        <v>0</v>
      </c>
      <c r="BA313" s="4497">
        <f t="shared" si="38"/>
        <v>0</v>
      </c>
      <c r="BB313" s="4497">
        <f t="shared" si="39"/>
        <v>0</v>
      </c>
      <c r="BC313" s="4497">
        <f t="shared" si="40"/>
        <v>0</v>
      </c>
      <c r="BD313" s="4497">
        <f t="shared" si="41"/>
        <v>0</v>
      </c>
      <c r="BE313" s="4497">
        <f t="shared" si="42"/>
        <v>0</v>
      </c>
      <c r="BF313" s="4497">
        <f t="shared" si="43"/>
        <v>0</v>
      </c>
      <c r="BG313" s="4497">
        <f t="shared" si="44"/>
        <v>0</v>
      </c>
      <c r="BH313" s="4497">
        <f t="shared" si="45"/>
        <v>0</v>
      </c>
    </row>
    <row r="314" spans="15:60">
      <c r="O314" s="4474">
        <f t="shared" si="46"/>
        <v>314</v>
      </c>
      <c r="P314" s="614"/>
      <c r="Q314" s="4492"/>
      <c r="R314" s="614"/>
      <c r="S314" s="4489"/>
      <c r="T314" s="614"/>
      <c r="U314" s="4499" t="str">
        <f t="shared" si="32"/>
        <v/>
      </c>
      <c r="V314" s="614"/>
      <c r="W314" s="4486" t="str">
        <f t="shared" si="31"/>
        <v/>
      </c>
      <c r="X314" s="614"/>
      <c r="Y314" s="2591">
        <f t="shared" si="33"/>
        <v>0</v>
      </c>
      <c r="AF314" s="3"/>
      <c r="AG314" s="3"/>
      <c r="AH314" s="3"/>
      <c r="AI314" s="3"/>
      <c r="AJ314" s="3"/>
      <c r="AK314" s="3"/>
      <c r="AL314" s="3"/>
      <c r="AW314" s="4497">
        <f t="shared" si="34"/>
        <v>0</v>
      </c>
      <c r="AX314" s="4497">
        <f t="shared" si="35"/>
        <v>0</v>
      </c>
      <c r="AY314" s="4497">
        <f t="shared" si="36"/>
        <v>0</v>
      </c>
      <c r="AZ314" s="4497">
        <f t="shared" si="37"/>
        <v>0</v>
      </c>
      <c r="BA314" s="4497">
        <f t="shared" si="38"/>
        <v>0</v>
      </c>
      <c r="BB314" s="4497">
        <f t="shared" si="39"/>
        <v>0</v>
      </c>
      <c r="BC314" s="4497">
        <f t="shared" si="40"/>
        <v>0</v>
      </c>
      <c r="BD314" s="4497">
        <f t="shared" si="41"/>
        <v>0</v>
      </c>
      <c r="BE314" s="4497">
        <f t="shared" si="42"/>
        <v>0</v>
      </c>
      <c r="BF314" s="4497">
        <f t="shared" si="43"/>
        <v>0</v>
      </c>
      <c r="BG314" s="4497">
        <f t="shared" si="44"/>
        <v>0</v>
      </c>
      <c r="BH314" s="4497">
        <f t="shared" si="45"/>
        <v>0</v>
      </c>
    </row>
    <row r="315" spans="15:60">
      <c r="O315" s="4474">
        <f t="shared" si="46"/>
        <v>315</v>
      </c>
      <c r="P315" s="614"/>
      <c r="Q315" s="4492"/>
      <c r="R315" s="614"/>
      <c r="S315" s="4489"/>
      <c r="T315" s="614"/>
      <c r="U315" s="4499" t="str">
        <f t="shared" si="32"/>
        <v/>
      </c>
      <c r="V315" s="614"/>
      <c r="W315" s="4486" t="str">
        <f t="shared" si="31"/>
        <v/>
      </c>
      <c r="X315" s="614"/>
      <c r="Y315" s="2591">
        <f t="shared" si="33"/>
        <v>0</v>
      </c>
      <c r="AF315" s="3"/>
      <c r="AG315" s="3"/>
      <c r="AH315" s="3"/>
      <c r="AI315" s="3"/>
      <c r="AJ315" s="3"/>
      <c r="AK315" s="3"/>
      <c r="AL315" s="3"/>
      <c r="AW315" s="4497">
        <f t="shared" si="34"/>
        <v>0</v>
      </c>
      <c r="AX315" s="4497">
        <f t="shared" si="35"/>
        <v>0</v>
      </c>
      <c r="AY315" s="4497">
        <f t="shared" si="36"/>
        <v>0</v>
      </c>
      <c r="AZ315" s="4497">
        <f t="shared" si="37"/>
        <v>0</v>
      </c>
      <c r="BA315" s="4497">
        <f t="shared" si="38"/>
        <v>0</v>
      </c>
      <c r="BB315" s="4497">
        <f t="shared" si="39"/>
        <v>0</v>
      </c>
      <c r="BC315" s="4497">
        <f t="shared" si="40"/>
        <v>0</v>
      </c>
      <c r="BD315" s="4497">
        <f t="shared" si="41"/>
        <v>0</v>
      </c>
      <c r="BE315" s="4497">
        <f t="shared" si="42"/>
        <v>0</v>
      </c>
      <c r="BF315" s="4497">
        <f t="shared" si="43"/>
        <v>0</v>
      </c>
      <c r="BG315" s="4497">
        <f t="shared" si="44"/>
        <v>0</v>
      </c>
      <c r="BH315" s="4497">
        <f t="shared" si="45"/>
        <v>0</v>
      </c>
    </row>
    <row r="316" spans="15:60">
      <c r="O316" s="4474">
        <f t="shared" si="46"/>
        <v>316</v>
      </c>
      <c r="P316" s="614"/>
      <c r="Q316" s="4492"/>
      <c r="R316" s="614"/>
      <c r="S316" s="4489"/>
      <c r="T316" s="614"/>
      <c r="U316" s="4499" t="str">
        <f t="shared" si="32"/>
        <v/>
      </c>
      <c r="V316" s="614"/>
      <c r="W316" s="4486" t="str">
        <f t="shared" si="31"/>
        <v/>
      </c>
      <c r="X316" s="614"/>
      <c r="Y316" s="2591">
        <f t="shared" si="33"/>
        <v>0</v>
      </c>
      <c r="AF316" s="3"/>
      <c r="AG316" s="3"/>
      <c r="AH316" s="3"/>
      <c r="AI316" s="3"/>
      <c r="AJ316" s="3"/>
      <c r="AK316" s="3"/>
      <c r="AL316" s="3"/>
      <c r="AW316" s="4497">
        <f t="shared" si="34"/>
        <v>0</v>
      </c>
      <c r="AX316" s="4497">
        <f t="shared" si="35"/>
        <v>0</v>
      </c>
      <c r="AY316" s="4497">
        <f t="shared" si="36"/>
        <v>0</v>
      </c>
      <c r="AZ316" s="4497">
        <f t="shared" si="37"/>
        <v>0</v>
      </c>
      <c r="BA316" s="4497">
        <f t="shared" si="38"/>
        <v>0</v>
      </c>
      <c r="BB316" s="4497">
        <f t="shared" si="39"/>
        <v>0</v>
      </c>
      <c r="BC316" s="4497">
        <f t="shared" si="40"/>
        <v>0</v>
      </c>
      <c r="BD316" s="4497">
        <f t="shared" si="41"/>
        <v>0</v>
      </c>
      <c r="BE316" s="4497">
        <f t="shared" si="42"/>
        <v>0</v>
      </c>
      <c r="BF316" s="4497">
        <f t="shared" si="43"/>
        <v>0</v>
      </c>
      <c r="BG316" s="4497">
        <f t="shared" si="44"/>
        <v>0</v>
      </c>
      <c r="BH316" s="4497">
        <f t="shared" si="45"/>
        <v>0</v>
      </c>
    </row>
    <row r="317" spans="15:60">
      <c r="O317" s="4474">
        <f t="shared" si="46"/>
        <v>317</v>
      </c>
      <c r="P317" s="614"/>
      <c r="Q317" s="4492"/>
      <c r="R317" s="614"/>
      <c r="S317" s="4489"/>
      <c r="T317" s="614"/>
      <c r="U317" s="4499" t="str">
        <f t="shared" si="32"/>
        <v/>
      </c>
      <c r="V317" s="614"/>
      <c r="W317" s="4486" t="str">
        <f t="shared" si="31"/>
        <v/>
      </c>
      <c r="X317" s="614"/>
      <c r="Y317" s="2591">
        <f t="shared" si="33"/>
        <v>0</v>
      </c>
      <c r="AF317" s="3"/>
      <c r="AG317" s="3"/>
      <c r="AH317" s="3"/>
      <c r="AI317" s="3"/>
      <c r="AJ317" s="3"/>
      <c r="AK317" s="3"/>
      <c r="AL317" s="3"/>
      <c r="AW317" s="4497">
        <f t="shared" si="34"/>
        <v>0</v>
      </c>
      <c r="AX317" s="4497">
        <f t="shared" si="35"/>
        <v>0</v>
      </c>
      <c r="AY317" s="4497">
        <f t="shared" si="36"/>
        <v>0</v>
      </c>
      <c r="AZ317" s="4497">
        <f t="shared" si="37"/>
        <v>0</v>
      </c>
      <c r="BA317" s="4497">
        <f t="shared" si="38"/>
        <v>0</v>
      </c>
      <c r="BB317" s="4497">
        <f t="shared" si="39"/>
        <v>0</v>
      </c>
      <c r="BC317" s="4497">
        <f t="shared" si="40"/>
        <v>0</v>
      </c>
      <c r="BD317" s="4497">
        <f t="shared" si="41"/>
        <v>0</v>
      </c>
      <c r="BE317" s="4497">
        <f t="shared" si="42"/>
        <v>0</v>
      </c>
      <c r="BF317" s="4497">
        <f t="shared" si="43"/>
        <v>0</v>
      </c>
      <c r="BG317" s="4497">
        <f t="shared" si="44"/>
        <v>0</v>
      </c>
      <c r="BH317" s="4497">
        <f t="shared" si="45"/>
        <v>0</v>
      </c>
    </row>
    <row r="318" spans="15:60">
      <c r="O318" s="4474">
        <f t="shared" si="46"/>
        <v>318</v>
      </c>
      <c r="P318" s="614"/>
      <c r="Q318" s="4492"/>
      <c r="R318" s="614"/>
      <c r="S318" s="4489"/>
      <c r="T318" s="614"/>
      <c r="U318" s="4499" t="str">
        <f t="shared" si="32"/>
        <v/>
      </c>
      <c r="V318" s="614"/>
      <c r="W318" s="4486" t="str">
        <f t="shared" si="31"/>
        <v/>
      </c>
      <c r="X318" s="614"/>
      <c r="Y318" s="2591">
        <f t="shared" si="33"/>
        <v>0</v>
      </c>
      <c r="AF318" s="3"/>
      <c r="AG318" s="3"/>
      <c r="AH318" s="3"/>
      <c r="AI318" s="3"/>
      <c r="AJ318" s="3"/>
      <c r="AK318" s="3"/>
      <c r="AL318" s="3"/>
      <c r="AW318" s="4497">
        <f t="shared" si="34"/>
        <v>0</v>
      </c>
      <c r="AX318" s="4497">
        <f t="shared" si="35"/>
        <v>0</v>
      </c>
      <c r="AY318" s="4497">
        <f t="shared" si="36"/>
        <v>0</v>
      </c>
      <c r="AZ318" s="4497">
        <f t="shared" si="37"/>
        <v>0</v>
      </c>
      <c r="BA318" s="4497">
        <f t="shared" si="38"/>
        <v>0</v>
      </c>
      <c r="BB318" s="4497">
        <f t="shared" si="39"/>
        <v>0</v>
      </c>
      <c r="BC318" s="4497">
        <f t="shared" si="40"/>
        <v>0</v>
      </c>
      <c r="BD318" s="4497">
        <f t="shared" si="41"/>
        <v>0</v>
      </c>
      <c r="BE318" s="4497">
        <f t="shared" si="42"/>
        <v>0</v>
      </c>
      <c r="BF318" s="4497">
        <f t="shared" si="43"/>
        <v>0</v>
      </c>
      <c r="BG318" s="4497">
        <f t="shared" si="44"/>
        <v>0</v>
      </c>
      <c r="BH318" s="4497">
        <f t="shared" si="45"/>
        <v>0</v>
      </c>
    </row>
    <row r="319" spans="15:60">
      <c r="O319" s="4474">
        <f t="shared" si="46"/>
        <v>319</v>
      </c>
      <c r="P319" s="614"/>
      <c r="Q319" s="4492"/>
      <c r="R319" s="614"/>
      <c r="S319" s="4489"/>
      <c r="T319" s="614"/>
      <c r="U319" s="4499" t="str">
        <f t="shared" si="32"/>
        <v/>
      </c>
      <c r="V319" s="614"/>
      <c r="W319" s="4486" t="str">
        <f t="shared" si="31"/>
        <v/>
      </c>
      <c r="X319" s="614"/>
      <c r="Y319" s="2591">
        <f t="shared" si="33"/>
        <v>0</v>
      </c>
      <c r="AF319" s="4374"/>
      <c r="AG319" s="4374"/>
      <c r="AH319" s="4374"/>
      <c r="AI319" s="4374"/>
      <c r="AJ319" s="3"/>
      <c r="AK319" s="3"/>
      <c r="AL319" s="4374"/>
      <c r="AW319" s="4497">
        <f t="shared" si="34"/>
        <v>0</v>
      </c>
      <c r="AX319" s="4497">
        <f t="shared" si="35"/>
        <v>0</v>
      </c>
      <c r="AY319" s="4497">
        <f t="shared" si="36"/>
        <v>0</v>
      </c>
      <c r="AZ319" s="4497">
        <f t="shared" si="37"/>
        <v>0</v>
      </c>
      <c r="BA319" s="4497">
        <f t="shared" si="38"/>
        <v>0</v>
      </c>
      <c r="BB319" s="4497">
        <f t="shared" si="39"/>
        <v>0</v>
      </c>
      <c r="BC319" s="4497">
        <f t="shared" si="40"/>
        <v>0</v>
      </c>
      <c r="BD319" s="4497">
        <f t="shared" si="41"/>
        <v>0</v>
      </c>
      <c r="BE319" s="4497">
        <f t="shared" si="42"/>
        <v>0</v>
      </c>
      <c r="BF319" s="4497">
        <f t="shared" si="43"/>
        <v>0</v>
      </c>
      <c r="BG319" s="4497">
        <f t="shared" si="44"/>
        <v>0</v>
      </c>
      <c r="BH319" s="4497">
        <f t="shared" si="45"/>
        <v>0</v>
      </c>
    </row>
    <row r="320" spans="15:60">
      <c r="O320" s="4474">
        <f t="shared" si="46"/>
        <v>320</v>
      </c>
      <c r="P320" s="614"/>
      <c r="Q320" s="4492"/>
      <c r="R320" s="614"/>
      <c r="S320" s="4489"/>
      <c r="T320" s="614"/>
      <c r="U320" s="4499" t="str">
        <f t="shared" si="32"/>
        <v/>
      </c>
      <c r="V320" s="614"/>
      <c r="W320" s="4486" t="str">
        <f t="shared" si="31"/>
        <v/>
      </c>
      <c r="X320" s="614"/>
      <c r="Y320" s="2591">
        <f t="shared" si="33"/>
        <v>0</v>
      </c>
      <c r="AF320" s="3"/>
      <c r="AG320" s="3"/>
      <c r="AH320" s="3"/>
      <c r="AI320" s="3"/>
      <c r="AJ320" s="4374"/>
      <c r="AK320" s="4374"/>
      <c r="AL320" s="3"/>
      <c r="AW320" s="4497">
        <f t="shared" si="34"/>
        <v>0</v>
      </c>
      <c r="AX320" s="4497">
        <f t="shared" si="35"/>
        <v>0</v>
      </c>
      <c r="AY320" s="4497">
        <f t="shared" si="36"/>
        <v>0</v>
      </c>
      <c r="AZ320" s="4497">
        <f t="shared" si="37"/>
        <v>0</v>
      </c>
      <c r="BA320" s="4497">
        <f t="shared" si="38"/>
        <v>0</v>
      </c>
      <c r="BB320" s="4497">
        <f t="shared" si="39"/>
        <v>0</v>
      </c>
      <c r="BC320" s="4497">
        <f t="shared" si="40"/>
        <v>0</v>
      </c>
      <c r="BD320" s="4497">
        <f t="shared" si="41"/>
        <v>0</v>
      </c>
      <c r="BE320" s="4497">
        <f t="shared" si="42"/>
        <v>0</v>
      </c>
      <c r="BF320" s="4497">
        <f t="shared" si="43"/>
        <v>0</v>
      </c>
      <c r="BG320" s="4497">
        <f t="shared" si="44"/>
        <v>0</v>
      </c>
      <c r="BH320" s="4497">
        <f t="shared" si="45"/>
        <v>0</v>
      </c>
    </row>
    <row r="321" spans="15:60">
      <c r="O321" s="4474">
        <f t="shared" si="46"/>
        <v>321</v>
      </c>
      <c r="P321" s="614"/>
      <c r="Q321" s="4492"/>
      <c r="R321" s="614"/>
      <c r="S321" s="4489"/>
      <c r="T321" s="614"/>
      <c r="U321" s="4499" t="str">
        <f t="shared" si="32"/>
        <v/>
      </c>
      <c r="V321" s="614"/>
      <c r="W321" s="4486" t="str">
        <f t="shared" si="31"/>
        <v/>
      </c>
      <c r="X321" s="614"/>
      <c r="Y321" s="2591">
        <f t="shared" si="33"/>
        <v>0</v>
      </c>
      <c r="AF321" s="3"/>
      <c r="AG321" s="3"/>
      <c r="AH321" s="3"/>
      <c r="AI321" s="3"/>
      <c r="AJ321" s="3"/>
      <c r="AK321" s="3"/>
      <c r="AL321" s="3"/>
      <c r="AW321" s="4497">
        <f t="shared" si="34"/>
        <v>0</v>
      </c>
      <c r="AX321" s="4497">
        <f t="shared" si="35"/>
        <v>0</v>
      </c>
      <c r="AY321" s="4497">
        <f t="shared" si="36"/>
        <v>0</v>
      </c>
      <c r="AZ321" s="4497">
        <f t="shared" si="37"/>
        <v>0</v>
      </c>
      <c r="BA321" s="4497">
        <f t="shared" si="38"/>
        <v>0</v>
      </c>
      <c r="BB321" s="4497">
        <f t="shared" si="39"/>
        <v>0</v>
      </c>
      <c r="BC321" s="4497">
        <f t="shared" si="40"/>
        <v>0</v>
      </c>
      <c r="BD321" s="4497">
        <f t="shared" si="41"/>
        <v>0</v>
      </c>
      <c r="BE321" s="4497">
        <f t="shared" si="42"/>
        <v>0</v>
      </c>
      <c r="BF321" s="4497">
        <f t="shared" si="43"/>
        <v>0</v>
      </c>
      <c r="BG321" s="4497">
        <f t="shared" si="44"/>
        <v>0</v>
      </c>
      <c r="BH321" s="4497">
        <f t="shared" si="45"/>
        <v>0</v>
      </c>
    </row>
    <row r="322" spans="15:60">
      <c r="O322" s="4474">
        <f t="shared" si="46"/>
        <v>322</v>
      </c>
      <c r="P322" s="614"/>
      <c r="Q322" s="4492"/>
      <c r="R322" s="614"/>
      <c r="S322" s="4489"/>
      <c r="T322" s="614"/>
      <c r="U322" s="4499" t="str">
        <f t="shared" si="32"/>
        <v/>
      </c>
      <c r="V322" s="614"/>
      <c r="W322" s="4486" t="str">
        <f t="shared" si="31"/>
        <v/>
      </c>
      <c r="X322" s="614"/>
      <c r="Y322" s="2591">
        <f t="shared" si="33"/>
        <v>0</v>
      </c>
      <c r="AF322" s="3"/>
      <c r="AG322" s="3"/>
      <c r="AH322" s="3"/>
      <c r="AI322" s="3"/>
      <c r="AJ322" s="3"/>
      <c r="AK322" s="3"/>
      <c r="AL322" s="3"/>
      <c r="AW322" s="4497">
        <f t="shared" si="34"/>
        <v>0</v>
      </c>
      <c r="AX322" s="4497">
        <f t="shared" si="35"/>
        <v>0</v>
      </c>
      <c r="AY322" s="4497">
        <f t="shared" si="36"/>
        <v>0</v>
      </c>
      <c r="AZ322" s="4497">
        <f t="shared" si="37"/>
        <v>0</v>
      </c>
      <c r="BA322" s="4497">
        <f t="shared" si="38"/>
        <v>0</v>
      </c>
      <c r="BB322" s="4497">
        <f t="shared" si="39"/>
        <v>0</v>
      </c>
      <c r="BC322" s="4497">
        <f t="shared" si="40"/>
        <v>0</v>
      </c>
      <c r="BD322" s="4497">
        <f t="shared" si="41"/>
        <v>0</v>
      </c>
      <c r="BE322" s="4497">
        <f t="shared" si="42"/>
        <v>0</v>
      </c>
      <c r="BF322" s="4497">
        <f t="shared" si="43"/>
        <v>0</v>
      </c>
      <c r="BG322" s="4497">
        <f t="shared" si="44"/>
        <v>0</v>
      </c>
      <c r="BH322" s="4497">
        <f t="shared" si="45"/>
        <v>0</v>
      </c>
    </row>
    <row r="323" spans="15:60">
      <c r="O323" s="4474">
        <f t="shared" si="46"/>
        <v>323</v>
      </c>
      <c r="P323" s="614"/>
      <c r="Q323" s="4492"/>
      <c r="R323" s="614"/>
      <c r="S323" s="4489"/>
      <c r="T323" s="614"/>
      <c r="U323" s="4499" t="str">
        <f t="shared" si="32"/>
        <v/>
      </c>
      <c r="V323" s="614"/>
      <c r="W323" s="4486" t="str">
        <f t="shared" si="31"/>
        <v/>
      </c>
      <c r="X323" s="614"/>
      <c r="Y323" s="2591">
        <f t="shared" si="33"/>
        <v>0</v>
      </c>
      <c r="AF323" s="3"/>
      <c r="AG323" s="3"/>
      <c r="AH323" s="3"/>
      <c r="AI323" s="3"/>
      <c r="AJ323" s="3"/>
      <c r="AK323" s="3"/>
      <c r="AL323" s="3"/>
      <c r="AW323" s="4497">
        <f t="shared" si="34"/>
        <v>0</v>
      </c>
      <c r="AX323" s="4497">
        <f t="shared" si="35"/>
        <v>0</v>
      </c>
      <c r="AY323" s="4497">
        <f t="shared" si="36"/>
        <v>0</v>
      </c>
      <c r="AZ323" s="4497">
        <f t="shared" si="37"/>
        <v>0</v>
      </c>
      <c r="BA323" s="4497">
        <f t="shared" si="38"/>
        <v>0</v>
      </c>
      <c r="BB323" s="4497">
        <f t="shared" si="39"/>
        <v>0</v>
      </c>
      <c r="BC323" s="4497">
        <f t="shared" si="40"/>
        <v>0</v>
      </c>
      <c r="BD323" s="4497">
        <f t="shared" si="41"/>
        <v>0</v>
      </c>
      <c r="BE323" s="4497">
        <f t="shared" si="42"/>
        <v>0</v>
      </c>
      <c r="BF323" s="4497">
        <f t="shared" si="43"/>
        <v>0</v>
      </c>
      <c r="BG323" s="4497">
        <f t="shared" si="44"/>
        <v>0</v>
      </c>
      <c r="BH323" s="4497">
        <f t="shared" si="45"/>
        <v>0</v>
      </c>
    </row>
    <row r="324" spans="15:60">
      <c r="O324" s="4474">
        <f t="shared" si="46"/>
        <v>324</v>
      </c>
      <c r="P324" s="614"/>
      <c r="Q324" s="4492"/>
      <c r="R324" s="614"/>
      <c r="S324" s="4489"/>
      <c r="T324" s="614"/>
      <c r="U324" s="4499" t="str">
        <f t="shared" si="32"/>
        <v/>
      </c>
      <c r="V324" s="614"/>
      <c r="W324" s="4486" t="str">
        <f t="shared" si="31"/>
        <v/>
      </c>
      <c r="X324" s="614"/>
      <c r="Y324" s="2591">
        <f t="shared" si="33"/>
        <v>0</v>
      </c>
      <c r="AF324" s="3"/>
      <c r="AG324" s="3"/>
      <c r="AH324" s="3"/>
      <c r="AI324" s="3"/>
      <c r="AJ324" s="3"/>
      <c r="AK324" s="3"/>
      <c r="AL324" s="3"/>
      <c r="AW324" s="4497">
        <f t="shared" si="34"/>
        <v>0</v>
      </c>
      <c r="AX324" s="4497">
        <f t="shared" si="35"/>
        <v>0</v>
      </c>
      <c r="AY324" s="4497">
        <f t="shared" si="36"/>
        <v>0</v>
      </c>
      <c r="AZ324" s="4497">
        <f t="shared" si="37"/>
        <v>0</v>
      </c>
      <c r="BA324" s="4497">
        <f t="shared" si="38"/>
        <v>0</v>
      </c>
      <c r="BB324" s="4497">
        <f t="shared" si="39"/>
        <v>0</v>
      </c>
      <c r="BC324" s="4497">
        <f t="shared" si="40"/>
        <v>0</v>
      </c>
      <c r="BD324" s="4497">
        <f t="shared" si="41"/>
        <v>0</v>
      </c>
      <c r="BE324" s="4497">
        <f t="shared" si="42"/>
        <v>0</v>
      </c>
      <c r="BF324" s="4497">
        <f t="shared" si="43"/>
        <v>0</v>
      </c>
      <c r="BG324" s="4497">
        <f t="shared" si="44"/>
        <v>0</v>
      </c>
      <c r="BH324" s="4497">
        <f t="shared" si="45"/>
        <v>0</v>
      </c>
    </row>
    <row r="325" spans="15:60">
      <c r="O325" s="4474">
        <f t="shared" si="46"/>
        <v>325</v>
      </c>
      <c r="P325" s="614"/>
      <c r="Q325" s="4492"/>
      <c r="R325" s="614"/>
      <c r="S325" s="4489"/>
      <c r="T325" s="614"/>
      <c r="U325" s="4499" t="str">
        <f t="shared" si="32"/>
        <v/>
      </c>
      <c r="V325" s="614"/>
      <c r="W325" s="4486" t="str">
        <f t="shared" si="31"/>
        <v/>
      </c>
      <c r="X325" s="614"/>
      <c r="Y325" s="2591">
        <f t="shared" si="33"/>
        <v>0</v>
      </c>
      <c r="AF325" s="3"/>
      <c r="AG325" s="3"/>
      <c r="AH325" s="3"/>
      <c r="AI325" s="3"/>
      <c r="AJ325" s="3"/>
      <c r="AK325" s="3"/>
      <c r="AL325" s="3"/>
      <c r="AW325" s="4497">
        <f t="shared" si="34"/>
        <v>0</v>
      </c>
      <c r="AX325" s="4497">
        <f t="shared" si="35"/>
        <v>0</v>
      </c>
      <c r="AY325" s="4497">
        <f t="shared" si="36"/>
        <v>0</v>
      </c>
      <c r="AZ325" s="4497">
        <f t="shared" si="37"/>
        <v>0</v>
      </c>
      <c r="BA325" s="4497">
        <f t="shared" si="38"/>
        <v>0</v>
      </c>
      <c r="BB325" s="4497">
        <f t="shared" si="39"/>
        <v>0</v>
      </c>
      <c r="BC325" s="4497">
        <f t="shared" si="40"/>
        <v>0</v>
      </c>
      <c r="BD325" s="4497">
        <f t="shared" si="41"/>
        <v>0</v>
      </c>
      <c r="BE325" s="4497">
        <f t="shared" si="42"/>
        <v>0</v>
      </c>
      <c r="BF325" s="4497">
        <f t="shared" si="43"/>
        <v>0</v>
      </c>
      <c r="BG325" s="4497">
        <f t="shared" si="44"/>
        <v>0</v>
      </c>
      <c r="BH325" s="4497">
        <f t="shared" si="45"/>
        <v>0</v>
      </c>
    </row>
    <row r="326" spans="15:60">
      <c r="O326" s="4474">
        <f t="shared" si="46"/>
        <v>326</v>
      </c>
      <c r="P326" s="614"/>
      <c r="Q326" s="4492"/>
      <c r="R326" s="614"/>
      <c r="S326" s="4489"/>
      <c r="T326" s="614"/>
      <c r="U326" s="4499" t="str">
        <f t="shared" si="32"/>
        <v/>
      </c>
      <c r="V326" s="614"/>
      <c r="W326" s="4486" t="str">
        <f t="shared" si="31"/>
        <v/>
      </c>
      <c r="X326" s="614"/>
      <c r="Y326" s="2591">
        <f t="shared" si="33"/>
        <v>0</v>
      </c>
      <c r="AF326" s="3"/>
      <c r="AG326" s="3"/>
      <c r="AH326" s="3"/>
      <c r="AI326" s="3"/>
      <c r="AJ326" s="3"/>
      <c r="AK326" s="3"/>
      <c r="AL326" s="3"/>
      <c r="AW326" s="4497">
        <f t="shared" si="34"/>
        <v>0</v>
      </c>
      <c r="AX326" s="4497">
        <f t="shared" si="35"/>
        <v>0</v>
      </c>
      <c r="AY326" s="4497">
        <f t="shared" si="36"/>
        <v>0</v>
      </c>
      <c r="AZ326" s="4497">
        <f t="shared" si="37"/>
        <v>0</v>
      </c>
      <c r="BA326" s="4497">
        <f t="shared" si="38"/>
        <v>0</v>
      </c>
      <c r="BB326" s="4497">
        <f t="shared" si="39"/>
        <v>0</v>
      </c>
      <c r="BC326" s="4497">
        <f t="shared" si="40"/>
        <v>0</v>
      </c>
      <c r="BD326" s="4497">
        <f t="shared" si="41"/>
        <v>0</v>
      </c>
      <c r="BE326" s="4497">
        <f t="shared" si="42"/>
        <v>0</v>
      </c>
      <c r="BF326" s="4497">
        <f t="shared" si="43"/>
        <v>0</v>
      </c>
      <c r="BG326" s="4497">
        <f t="shared" si="44"/>
        <v>0</v>
      </c>
      <c r="BH326" s="4497">
        <f t="shared" si="45"/>
        <v>0</v>
      </c>
    </row>
    <row r="327" spans="15:60">
      <c r="O327" s="4474">
        <f t="shared" si="46"/>
        <v>327</v>
      </c>
      <c r="P327" s="614"/>
      <c r="Q327" s="4492"/>
      <c r="R327" s="614"/>
      <c r="S327" s="4489"/>
      <c r="T327" s="614"/>
      <c r="U327" s="4499" t="str">
        <f t="shared" si="32"/>
        <v/>
      </c>
      <c r="V327" s="614"/>
      <c r="W327" s="4486" t="str">
        <f t="shared" si="31"/>
        <v/>
      </c>
      <c r="X327" s="614"/>
      <c r="Y327" s="2591">
        <f t="shared" si="33"/>
        <v>0</v>
      </c>
      <c r="AF327" s="3"/>
      <c r="AG327" s="3"/>
      <c r="AH327" s="3"/>
      <c r="AI327" s="3"/>
      <c r="AJ327" s="3"/>
      <c r="AK327" s="3"/>
      <c r="AL327" s="3"/>
      <c r="AW327" s="4497">
        <f t="shared" si="34"/>
        <v>0</v>
      </c>
      <c r="AX327" s="4497">
        <f t="shared" si="35"/>
        <v>0</v>
      </c>
      <c r="AY327" s="4497">
        <f t="shared" si="36"/>
        <v>0</v>
      </c>
      <c r="AZ327" s="4497">
        <f t="shared" si="37"/>
        <v>0</v>
      </c>
      <c r="BA327" s="4497">
        <f t="shared" si="38"/>
        <v>0</v>
      </c>
      <c r="BB327" s="4497">
        <f t="shared" si="39"/>
        <v>0</v>
      </c>
      <c r="BC327" s="4497">
        <f t="shared" si="40"/>
        <v>0</v>
      </c>
      <c r="BD327" s="4497">
        <f t="shared" si="41"/>
        <v>0</v>
      </c>
      <c r="BE327" s="4497">
        <f t="shared" si="42"/>
        <v>0</v>
      </c>
      <c r="BF327" s="4497">
        <f t="shared" si="43"/>
        <v>0</v>
      </c>
      <c r="BG327" s="4497">
        <f t="shared" si="44"/>
        <v>0</v>
      </c>
      <c r="BH327" s="4497">
        <f t="shared" si="45"/>
        <v>0</v>
      </c>
    </row>
    <row r="328" spans="15:60">
      <c r="O328" s="4474">
        <f t="shared" si="46"/>
        <v>328</v>
      </c>
      <c r="P328" s="614"/>
      <c r="Q328" s="4492"/>
      <c r="R328" s="614"/>
      <c r="S328" s="4489"/>
      <c r="T328" s="614"/>
      <c r="U328" s="4499" t="str">
        <f t="shared" si="32"/>
        <v/>
      </c>
      <c r="V328" s="614"/>
      <c r="W328" s="4486" t="str">
        <f t="shared" si="31"/>
        <v/>
      </c>
      <c r="X328" s="614"/>
      <c r="Y328" s="2591">
        <f t="shared" si="33"/>
        <v>0</v>
      </c>
      <c r="AF328" s="3"/>
      <c r="AG328" s="3"/>
      <c r="AH328" s="3"/>
      <c r="AI328" s="3"/>
      <c r="AJ328" s="3"/>
      <c r="AK328" s="3"/>
      <c r="AL328" s="3"/>
      <c r="AW328" s="4497">
        <f t="shared" si="34"/>
        <v>0</v>
      </c>
      <c r="AX328" s="4497">
        <f t="shared" si="35"/>
        <v>0</v>
      </c>
      <c r="AY328" s="4497">
        <f t="shared" si="36"/>
        <v>0</v>
      </c>
      <c r="AZ328" s="4497">
        <f t="shared" si="37"/>
        <v>0</v>
      </c>
      <c r="BA328" s="4497">
        <f t="shared" si="38"/>
        <v>0</v>
      </c>
      <c r="BB328" s="4497">
        <f t="shared" si="39"/>
        <v>0</v>
      </c>
      <c r="BC328" s="4497">
        <f t="shared" si="40"/>
        <v>0</v>
      </c>
      <c r="BD328" s="4497">
        <f t="shared" si="41"/>
        <v>0</v>
      </c>
      <c r="BE328" s="4497">
        <f t="shared" si="42"/>
        <v>0</v>
      </c>
      <c r="BF328" s="4497">
        <f t="shared" si="43"/>
        <v>0</v>
      </c>
      <c r="BG328" s="4497">
        <f t="shared" si="44"/>
        <v>0</v>
      </c>
      <c r="BH328" s="4497">
        <f t="shared" si="45"/>
        <v>0</v>
      </c>
    </row>
    <row r="329" spans="15:60">
      <c r="O329" s="4474">
        <f t="shared" si="46"/>
        <v>329</v>
      </c>
      <c r="P329" s="614"/>
      <c r="Q329" s="4492"/>
      <c r="R329" s="614"/>
      <c r="S329" s="4489"/>
      <c r="T329" s="614"/>
      <c r="U329" s="4499" t="str">
        <f t="shared" si="32"/>
        <v/>
      </c>
      <c r="V329" s="614"/>
      <c r="W329" s="4486" t="str">
        <f t="shared" si="31"/>
        <v/>
      </c>
      <c r="X329" s="614"/>
      <c r="Y329" s="2591">
        <f t="shared" si="33"/>
        <v>0</v>
      </c>
      <c r="AF329" s="4374"/>
      <c r="AG329" s="4374"/>
      <c r="AH329" s="4374"/>
      <c r="AI329" s="4374"/>
      <c r="AJ329" s="3"/>
      <c r="AK329" s="3"/>
      <c r="AL329" s="4374"/>
      <c r="AW329" s="4497">
        <f t="shared" si="34"/>
        <v>0</v>
      </c>
      <c r="AX329" s="4497">
        <f t="shared" si="35"/>
        <v>0</v>
      </c>
      <c r="AY329" s="4497">
        <f t="shared" si="36"/>
        <v>0</v>
      </c>
      <c r="AZ329" s="4497">
        <f t="shared" si="37"/>
        <v>0</v>
      </c>
      <c r="BA329" s="4497">
        <f t="shared" si="38"/>
        <v>0</v>
      </c>
      <c r="BB329" s="4497">
        <f t="shared" si="39"/>
        <v>0</v>
      </c>
      <c r="BC329" s="4497">
        <f t="shared" si="40"/>
        <v>0</v>
      </c>
      <c r="BD329" s="4497">
        <f t="shared" si="41"/>
        <v>0</v>
      </c>
      <c r="BE329" s="4497">
        <f t="shared" si="42"/>
        <v>0</v>
      </c>
      <c r="BF329" s="4497">
        <f t="shared" si="43"/>
        <v>0</v>
      </c>
      <c r="BG329" s="4497">
        <f t="shared" si="44"/>
        <v>0</v>
      </c>
      <c r="BH329" s="4497">
        <f t="shared" si="45"/>
        <v>0</v>
      </c>
    </row>
    <row r="330" spans="15:60">
      <c r="O330" s="4474">
        <f t="shared" si="46"/>
        <v>330</v>
      </c>
      <c r="P330" s="614"/>
      <c r="Q330" s="4492"/>
      <c r="R330" s="614"/>
      <c r="S330" s="4489"/>
      <c r="T330" s="614"/>
      <c r="U330" s="4499" t="str">
        <f t="shared" si="32"/>
        <v/>
      </c>
      <c r="V330" s="614"/>
      <c r="W330" s="4486" t="str">
        <f t="shared" si="31"/>
        <v/>
      </c>
      <c r="X330" s="614"/>
      <c r="Y330" s="2591">
        <f t="shared" si="33"/>
        <v>0</v>
      </c>
      <c r="AF330" s="3"/>
      <c r="AG330" s="3"/>
      <c r="AH330" s="3"/>
      <c r="AI330" s="3"/>
      <c r="AJ330" s="4374"/>
      <c r="AK330" s="4374"/>
      <c r="AL330" s="3"/>
      <c r="AW330" s="4497">
        <f t="shared" si="34"/>
        <v>0</v>
      </c>
      <c r="AX330" s="4497">
        <f t="shared" si="35"/>
        <v>0</v>
      </c>
      <c r="AY330" s="4497">
        <f t="shared" si="36"/>
        <v>0</v>
      </c>
      <c r="AZ330" s="4497">
        <f t="shared" si="37"/>
        <v>0</v>
      </c>
      <c r="BA330" s="4497">
        <f t="shared" si="38"/>
        <v>0</v>
      </c>
      <c r="BB330" s="4497">
        <f t="shared" si="39"/>
        <v>0</v>
      </c>
      <c r="BC330" s="4497">
        <f t="shared" si="40"/>
        <v>0</v>
      </c>
      <c r="BD330" s="4497">
        <f t="shared" si="41"/>
        <v>0</v>
      </c>
      <c r="BE330" s="4497">
        <f t="shared" si="42"/>
        <v>0</v>
      </c>
      <c r="BF330" s="4497">
        <f t="shared" si="43"/>
        <v>0</v>
      </c>
      <c r="BG330" s="4497">
        <f t="shared" si="44"/>
        <v>0</v>
      </c>
      <c r="BH330" s="4497">
        <f t="shared" si="45"/>
        <v>0</v>
      </c>
    </row>
    <row r="331" spans="15:60">
      <c r="O331" s="4474">
        <f t="shared" si="46"/>
        <v>331</v>
      </c>
      <c r="P331" s="614"/>
      <c r="Q331" s="4492"/>
      <c r="R331" s="614"/>
      <c r="S331" s="4489"/>
      <c r="T331" s="614"/>
      <c r="U331" s="4499" t="str">
        <f t="shared" si="32"/>
        <v/>
      </c>
      <c r="V331" s="614"/>
      <c r="W331" s="4486" t="str">
        <f t="shared" si="31"/>
        <v/>
      </c>
      <c r="X331" s="614"/>
      <c r="Y331" s="2591">
        <f t="shared" si="33"/>
        <v>0</v>
      </c>
      <c r="AF331" s="3"/>
      <c r="AG331" s="3"/>
      <c r="AH331" s="3"/>
      <c r="AI331" s="3"/>
      <c r="AJ331" s="3"/>
      <c r="AK331" s="3"/>
      <c r="AL331" s="3"/>
      <c r="AW331" s="4497">
        <f t="shared" si="34"/>
        <v>0</v>
      </c>
      <c r="AX331" s="4497">
        <f t="shared" si="35"/>
        <v>0</v>
      </c>
      <c r="AY331" s="4497">
        <f t="shared" si="36"/>
        <v>0</v>
      </c>
      <c r="AZ331" s="4497">
        <f t="shared" si="37"/>
        <v>0</v>
      </c>
      <c r="BA331" s="4497">
        <f t="shared" si="38"/>
        <v>0</v>
      </c>
      <c r="BB331" s="4497">
        <f t="shared" si="39"/>
        <v>0</v>
      </c>
      <c r="BC331" s="4497">
        <f t="shared" si="40"/>
        <v>0</v>
      </c>
      <c r="BD331" s="4497">
        <f t="shared" si="41"/>
        <v>0</v>
      </c>
      <c r="BE331" s="4497">
        <f t="shared" si="42"/>
        <v>0</v>
      </c>
      <c r="BF331" s="4497">
        <f t="shared" si="43"/>
        <v>0</v>
      </c>
      <c r="BG331" s="4497">
        <f t="shared" si="44"/>
        <v>0</v>
      </c>
      <c r="BH331" s="4497">
        <f t="shared" si="45"/>
        <v>0</v>
      </c>
    </row>
    <row r="332" spans="15:60" ht="13.5" thickBot="1">
      <c r="O332" s="4474">
        <f t="shared" si="46"/>
        <v>332</v>
      </c>
      <c r="P332" s="614"/>
      <c r="Q332" s="4493"/>
      <c r="R332" s="614"/>
      <c r="S332" s="4490"/>
      <c r="T332" s="614"/>
      <c r="U332" s="4500" t="str">
        <f t="shared" si="32"/>
        <v/>
      </c>
      <c r="V332" s="614"/>
      <c r="W332" s="4487" t="str">
        <f t="shared" si="31"/>
        <v/>
      </c>
      <c r="X332" s="614"/>
      <c r="Y332" s="2591">
        <f t="shared" si="33"/>
        <v>0</v>
      </c>
      <c r="AF332" s="3"/>
      <c r="AG332" s="3"/>
      <c r="AH332" s="3"/>
      <c r="AI332" s="3"/>
      <c r="AJ332" s="3"/>
      <c r="AK332" s="3"/>
      <c r="AL332" s="3"/>
      <c r="AW332" s="4497">
        <f t="shared" si="34"/>
        <v>0</v>
      </c>
      <c r="AX332" s="4497">
        <f t="shared" si="35"/>
        <v>0</v>
      </c>
      <c r="AY332" s="4497">
        <f t="shared" si="36"/>
        <v>0</v>
      </c>
      <c r="AZ332" s="4497">
        <f t="shared" si="37"/>
        <v>0</v>
      </c>
      <c r="BA332" s="4497">
        <f t="shared" si="38"/>
        <v>0</v>
      </c>
      <c r="BB332" s="4497">
        <f t="shared" si="39"/>
        <v>0</v>
      </c>
      <c r="BC332" s="4497">
        <f t="shared" si="40"/>
        <v>0</v>
      </c>
      <c r="BD332" s="4497">
        <f t="shared" si="41"/>
        <v>0</v>
      </c>
      <c r="BE332" s="4497">
        <f t="shared" si="42"/>
        <v>0</v>
      </c>
      <c r="BF332" s="4497">
        <f t="shared" si="43"/>
        <v>0</v>
      </c>
      <c r="BG332" s="4497">
        <f t="shared" si="44"/>
        <v>0</v>
      </c>
      <c r="BH332" s="4497">
        <f t="shared" si="45"/>
        <v>0</v>
      </c>
    </row>
    <row r="333" spans="15:60" ht="13.5" thickTop="1">
      <c r="O333" s="4475"/>
      <c r="P333" s="614"/>
      <c r="Q333" s="614"/>
      <c r="R333" s="614"/>
      <c r="S333" s="614"/>
      <c r="T333" s="614"/>
      <c r="U333" s="614"/>
      <c r="V333" s="614"/>
      <c r="W333" s="614"/>
      <c r="X333" s="614"/>
      <c r="Y333"/>
      <c r="AI333" s="3"/>
      <c r="AJ333" s="3"/>
      <c r="AK333" s="3"/>
      <c r="AL333" s="3"/>
      <c r="AM333" s="3"/>
      <c r="AW333" s="4509">
        <f>ROUND(SUM(AW278:AW332),2)</f>
        <v>0</v>
      </c>
      <c r="AX333" s="4509">
        <f>ROUND(SUM(AX278:AX332),2)</f>
        <v>0</v>
      </c>
      <c r="AY333" s="4509">
        <f>ROUND(SUM(AY278:AY332),2)</f>
        <v>0</v>
      </c>
      <c r="AZ333" s="4509">
        <f>ROUND(SUM(AZ278:AZ332),2)</f>
        <v>0</v>
      </c>
      <c r="BA333" s="4509">
        <f>ROUND(SUM(BA278:BA332),2)</f>
        <v>0</v>
      </c>
      <c r="BB333" s="4509">
        <f t="shared" ref="BB333:BG333" si="47">ROUND(SUM(BB278:BB332),2)</f>
        <v>0</v>
      </c>
      <c r="BC333" s="4509">
        <f t="shared" si="47"/>
        <v>0</v>
      </c>
      <c r="BD333" s="4509">
        <f t="shared" si="47"/>
        <v>0</v>
      </c>
      <c r="BE333" s="4509">
        <f t="shared" si="47"/>
        <v>0</v>
      </c>
      <c r="BF333" s="4509">
        <f t="shared" si="47"/>
        <v>0</v>
      </c>
      <c r="BG333" s="4509">
        <f t="shared" si="47"/>
        <v>0</v>
      </c>
      <c r="BH333" s="4509">
        <f>ROUND(SUM(BH278:BH332),2)</f>
        <v>0</v>
      </c>
    </row>
    <row r="334" spans="15:60">
      <c r="Y334"/>
      <c r="AI334" s="3"/>
      <c r="AJ334" s="3"/>
      <c r="AK334" s="3"/>
      <c r="AL334" s="3"/>
      <c r="AM334" s="3"/>
    </row>
    <row r="335" spans="15:60">
      <c r="AI335" s="3"/>
      <c r="AJ335" s="3"/>
      <c r="AK335" s="3"/>
      <c r="AL335" s="3"/>
      <c r="AM335" s="3"/>
    </row>
    <row r="336" spans="15:60">
      <c r="AI336" s="3"/>
      <c r="AJ336" s="3"/>
      <c r="AK336" s="3"/>
      <c r="AL336" s="3"/>
      <c r="AM336" s="3"/>
    </row>
    <row r="337" spans="2:39">
      <c r="AI337" s="3"/>
      <c r="AJ337" s="3"/>
      <c r="AK337" s="3"/>
      <c r="AL337" s="3"/>
      <c r="AM337" s="3"/>
    </row>
    <row r="338" spans="2:39">
      <c r="AI338" s="3"/>
      <c r="AJ338" s="3"/>
      <c r="AK338" s="3"/>
      <c r="AL338" s="3"/>
      <c r="AM338" s="3"/>
    </row>
    <row r="339" spans="2:39" ht="13.5" thickBot="1">
      <c r="B339" s="64"/>
      <c r="C339" s="64"/>
      <c r="D339" s="64"/>
      <c r="E339" s="64"/>
      <c r="F339" s="64"/>
      <c r="G339" s="64"/>
      <c r="H339" s="64"/>
      <c r="I339" s="64"/>
      <c r="J339" s="64"/>
      <c r="K339" s="64"/>
      <c r="L339" s="304"/>
      <c r="M339" s="304"/>
      <c r="N339" s="304"/>
      <c r="O339" s="64"/>
      <c r="P339" s="64"/>
      <c r="Q339" s="64"/>
      <c r="R339" s="64"/>
      <c r="S339" s="64"/>
      <c r="T339" s="64"/>
      <c r="U339" s="64"/>
      <c r="V339" s="64"/>
      <c r="W339" s="64"/>
      <c r="X339" s="64"/>
      <c r="Y339" s="305"/>
      <c r="AK339" s="3"/>
      <c r="AL339" s="3"/>
    </row>
    <row r="340" spans="2:39" ht="14.25" thickTop="1" thickBot="1">
      <c r="B340" s="478"/>
      <c r="C340" s="478"/>
      <c r="D340" s="478"/>
      <c r="E340" s="478"/>
      <c r="F340" s="5631" t="s">
        <v>3714</v>
      </c>
      <c r="G340" s="5632"/>
      <c r="H340" s="5632"/>
      <c r="I340" s="5632"/>
      <c r="J340" s="5874"/>
      <c r="K340" s="5875"/>
      <c r="L340" s="817"/>
      <c r="M340" s="817"/>
      <c r="N340" s="817"/>
      <c r="O340" s="478"/>
      <c r="P340" s="478"/>
      <c r="Q340" s="478"/>
      <c r="R340" s="478"/>
      <c r="S340" s="478"/>
      <c r="T340" s="478"/>
      <c r="U340" s="478"/>
      <c r="V340" s="478"/>
      <c r="W340" s="478"/>
      <c r="X340" s="478"/>
      <c r="Y340" s="4442"/>
    </row>
    <row r="341" spans="2:39" ht="14.25" thickTop="1" thickBot="1">
      <c r="B341" s="64"/>
      <c r="C341" s="64"/>
      <c r="D341" s="64"/>
      <c r="E341" s="64"/>
      <c r="F341" s="64"/>
      <c r="G341" s="64"/>
      <c r="H341" s="64"/>
      <c r="I341" s="64"/>
      <c r="J341" s="64"/>
      <c r="K341" s="64"/>
      <c r="L341" s="304"/>
      <c r="M341" s="304"/>
      <c r="N341" s="304"/>
      <c r="O341" s="64"/>
      <c r="P341" s="64"/>
      <c r="Q341" s="64"/>
      <c r="R341" s="64"/>
      <c r="S341" s="64"/>
      <c r="T341" s="64"/>
      <c r="U341" s="64"/>
      <c r="V341" s="64"/>
      <c r="W341" s="64"/>
      <c r="X341" s="64"/>
      <c r="Y341" s="305"/>
    </row>
    <row r="342" spans="2:39" ht="14.25" thickTop="1" thickBot="1">
      <c r="B342" s="478"/>
      <c r="C342" s="478"/>
      <c r="D342" s="478"/>
      <c r="E342" s="478"/>
      <c r="F342" s="5159" t="s">
        <v>3713</v>
      </c>
      <c r="G342" s="5160"/>
      <c r="H342" s="5160"/>
      <c r="I342" s="5160"/>
      <c r="J342" s="5876"/>
      <c r="K342" s="5877"/>
      <c r="L342" s="817"/>
      <c r="M342" s="817"/>
      <c r="N342" s="817"/>
      <c r="O342" s="478"/>
      <c r="P342" s="478"/>
      <c r="Q342" s="478"/>
      <c r="R342" s="478"/>
      <c r="S342" s="478"/>
      <c r="T342" s="478"/>
      <c r="U342" s="478"/>
      <c r="V342" s="478"/>
      <c r="W342" s="478"/>
      <c r="X342" s="478"/>
      <c r="Y342" s="4442"/>
    </row>
    <row r="343" spans="2:39" ht="13.5" thickTop="1">
      <c r="Z343" s="64"/>
    </row>
    <row r="344" spans="2:39">
      <c r="Z344" s="64"/>
    </row>
    <row r="345" spans="2:39">
      <c r="Z345" s="478"/>
    </row>
    <row r="346" spans="2:39">
      <c r="Z346" s="64"/>
    </row>
    <row r="347" spans="2:39">
      <c r="Z347" s="478"/>
    </row>
    <row r="351" spans="2:39">
      <c r="AA351" s="4374"/>
    </row>
    <row r="352" spans="2:39">
      <c r="AA352" s="3"/>
    </row>
    <row r="353" spans="27:27">
      <c r="AA353" s="3"/>
    </row>
    <row r="354" spans="27:27">
      <c r="AA354" s="3"/>
    </row>
    <row r="355" spans="27:27">
      <c r="AA355" s="3"/>
    </row>
    <row r="356" spans="27:27">
      <c r="AA356" s="3"/>
    </row>
    <row r="357" spans="27:27">
      <c r="AA357" s="3"/>
    </row>
    <row r="358" spans="27:27">
      <c r="AA358" s="3"/>
    </row>
    <row r="359" spans="27:27">
      <c r="AA359" s="3"/>
    </row>
    <row r="360" spans="27:27">
      <c r="AA360" s="3"/>
    </row>
    <row r="361" spans="27:27">
      <c r="AA361" s="4374"/>
    </row>
    <row r="362" spans="27:27">
      <c r="AA362" s="3"/>
    </row>
    <row r="363" spans="27:27">
      <c r="AA363" s="3"/>
    </row>
    <row r="364" spans="27:27">
      <c r="AA364" s="3"/>
    </row>
    <row r="365" spans="27:27">
      <c r="AA365" s="3"/>
    </row>
    <row r="366" spans="27:27">
      <c r="AA366" s="3"/>
    </row>
    <row r="367" spans="27:27">
      <c r="AA367" s="3"/>
    </row>
    <row r="368" spans="27:27">
      <c r="AA368" s="3"/>
    </row>
    <row r="369" spans="27:27">
      <c r="AA369" s="3"/>
    </row>
    <row r="370" spans="27:27">
      <c r="AA370" s="3"/>
    </row>
    <row r="371" spans="27:27">
      <c r="AA371" s="4374"/>
    </row>
    <row r="372" spans="27:27">
      <c r="AA372" s="3"/>
    </row>
    <row r="373" spans="27:27">
      <c r="AA373" s="3"/>
    </row>
    <row r="374" spans="27:27">
      <c r="AA374" s="3"/>
    </row>
    <row r="375" spans="27:27">
      <c r="AA375" s="3"/>
    </row>
    <row r="376" spans="27:27">
      <c r="AA376" s="3"/>
    </row>
    <row r="377" spans="27:27">
      <c r="AA377" s="3"/>
    </row>
    <row r="378" spans="27:27">
      <c r="AA378" s="3"/>
    </row>
    <row r="379" spans="27:27">
      <c r="AA379" s="3"/>
    </row>
    <row r="380" spans="27:27">
      <c r="AA380" s="3"/>
    </row>
    <row r="381" spans="27:27">
      <c r="AA381" s="4374"/>
    </row>
    <row r="382" spans="27:27">
      <c r="AA382" s="3"/>
    </row>
    <row r="383" spans="27:27">
      <c r="AA383" s="3"/>
    </row>
    <row r="384" spans="27:27">
      <c r="AA384" s="3"/>
    </row>
    <row r="385" spans="27:27">
      <c r="AA385" s="3"/>
    </row>
    <row r="386" spans="27:27">
      <c r="AA386" s="3"/>
    </row>
    <row r="387" spans="27:27">
      <c r="AA387" s="3"/>
    </row>
    <row r="388" spans="27:27">
      <c r="AA388" s="3"/>
    </row>
    <row r="389" spans="27:27">
      <c r="AA389" s="3"/>
    </row>
    <row r="390" spans="27:27">
      <c r="AA390" s="3"/>
    </row>
  </sheetData>
  <sheetProtection password="F07E" sheet="1" objects="1" scenarios="1"/>
  <mergeCells count="415">
    <mergeCell ref="AC78:AE78"/>
    <mergeCell ref="AG68:AO68"/>
    <mergeCell ref="AG69:AO69"/>
    <mergeCell ref="AG70:AO71"/>
    <mergeCell ref="AG72:AO72"/>
    <mergeCell ref="AG75:AO76"/>
    <mergeCell ref="AB69:AE69"/>
    <mergeCell ref="AC65:AE65"/>
    <mergeCell ref="AC64:AE64"/>
    <mergeCell ref="AB68:AE68"/>
    <mergeCell ref="AC32:AE32"/>
    <mergeCell ref="AC31:AE31"/>
    <mergeCell ref="AC33:AE33"/>
    <mergeCell ref="AC49:AE50"/>
    <mergeCell ref="AB42:AD42"/>
    <mergeCell ref="AA49:AB50"/>
    <mergeCell ref="AB48:AE48"/>
    <mergeCell ref="AB47:AE47"/>
    <mergeCell ref="AB46:AE46"/>
    <mergeCell ref="AG31:AO32"/>
    <mergeCell ref="AG33:AO34"/>
    <mergeCell ref="AG35:AO36"/>
    <mergeCell ref="AH37:AO38"/>
    <mergeCell ref="AG30:AO30"/>
    <mergeCell ref="AM153:AN153"/>
    <mergeCell ref="AO153:AP153"/>
    <mergeCell ref="AI153:AJ153"/>
    <mergeCell ref="AK153:AL153"/>
    <mergeCell ref="AG74:AM74"/>
    <mergeCell ref="AG77:AM78"/>
    <mergeCell ref="AH39:AO39"/>
    <mergeCell ref="AH40:AO41"/>
    <mergeCell ref="AH42:AO43"/>
    <mergeCell ref="AH44:AO44"/>
    <mergeCell ref="AG45:AO48"/>
    <mergeCell ref="AG50:AO50"/>
    <mergeCell ref="AG49:AO49"/>
    <mergeCell ref="AG51:AO52"/>
    <mergeCell ref="AJ115:AP115"/>
    <mergeCell ref="AG73:AM73"/>
    <mergeCell ref="AB149:AR151"/>
    <mergeCell ref="AC63:AE63"/>
    <mergeCell ref="AC62:AE62"/>
    <mergeCell ref="V188:W188"/>
    <mergeCell ref="V180:W180"/>
    <mergeCell ref="P182:Q182"/>
    <mergeCell ref="R182:S182"/>
    <mergeCell ref="V182:W182"/>
    <mergeCell ref="AI154:AJ154"/>
    <mergeCell ref="AK154:AL154"/>
    <mergeCell ref="AM154:AN154"/>
    <mergeCell ref="AO154:AP154"/>
    <mergeCell ref="V169:W169"/>
    <mergeCell ref="V167:W167"/>
    <mergeCell ref="V176:W176"/>
    <mergeCell ref="V174:W174"/>
    <mergeCell ref="V173:W173"/>
    <mergeCell ref="V175:W175"/>
    <mergeCell ref="V184:W184"/>
    <mergeCell ref="P176:Q176"/>
    <mergeCell ref="R176:S176"/>
    <mergeCell ref="T174:U174"/>
    <mergeCell ref="T175:U175"/>
    <mergeCell ref="T176:U176"/>
    <mergeCell ref="T168:U168"/>
    <mergeCell ref="T163:U163"/>
    <mergeCell ref="V185:W185"/>
    <mergeCell ref="V183:W183"/>
    <mergeCell ref="V133:W133"/>
    <mergeCell ref="V168:W168"/>
    <mergeCell ref="T167:U167"/>
    <mergeCell ref="R129:S129"/>
    <mergeCell ref="V129:W129"/>
    <mergeCell ref="V141:W141"/>
    <mergeCell ref="V131:W131"/>
    <mergeCell ref="R152:S152"/>
    <mergeCell ref="V152:W152"/>
    <mergeCell ref="V162:W162"/>
    <mergeCell ref="R161:S161"/>
    <mergeCell ref="V161:W161"/>
    <mergeCell ref="T162:U162"/>
    <mergeCell ref="R157:S157"/>
    <mergeCell ref="V157:W157"/>
    <mergeCell ref="R158:S158"/>
    <mergeCell ref="V158:W158"/>
    <mergeCell ref="T151:U151"/>
    <mergeCell ref="T179:U179"/>
    <mergeCell ref="V114:W114"/>
    <mergeCell ref="V115:W115"/>
    <mergeCell ref="P156:Q156"/>
    <mergeCell ref="R156:S156"/>
    <mergeCell ref="V156:W156"/>
    <mergeCell ref="P151:Q151"/>
    <mergeCell ref="R151:S151"/>
    <mergeCell ref="V151:W151"/>
    <mergeCell ref="R128:S128"/>
    <mergeCell ref="R135:S135"/>
    <mergeCell ref="P152:Q152"/>
    <mergeCell ref="R133:S133"/>
    <mergeCell ref="P133:Q133"/>
    <mergeCell ref="P138:Q138"/>
    <mergeCell ref="R138:S138"/>
    <mergeCell ref="T152:U152"/>
    <mergeCell ref="V128:W128"/>
    <mergeCell ref="T128:U128"/>
    <mergeCell ref="P115:Q115"/>
    <mergeCell ref="P124:Q124"/>
    <mergeCell ref="R124:S124"/>
    <mergeCell ref="V124:W124"/>
    <mergeCell ref="P114:Q114"/>
    <mergeCell ref="R114:S114"/>
    <mergeCell ref="C30:K33"/>
    <mergeCell ref="T118:U118"/>
    <mergeCell ref="T124:U124"/>
    <mergeCell ref="P118:Q118"/>
    <mergeCell ref="R118:S118"/>
    <mergeCell ref="V118:W118"/>
    <mergeCell ref="P113:Q113"/>
    <mergeCell ref="R113:S113"/>
    <mergeCell ref="V113:W113"/>
    <mergeCell ref="N30:V33"/>
    <mergeCell ref="U40:W40"/>
    <mergeCell ref="B51:C51"/>
    <mergeCell ref="B52:C52"/>
    <mergeCell ref="U97:W97"/>
    <mergeCell ref="U98:W98"/>
    <mergeCell ref="U41:W41"/>
    <mergeCell ref="U43:W43"/>
    <mergeCell ref="B66:D66"/>
    <mergeCell ref="U87:W87"/>
    <mergeCell ref="U44:W44"/>
    <mergeCell ref="U45:W45"/>
    <mergeCell ref="U46:W46"/>
    <mergeCell ref="U93:W93"/>
    <mergeCell ref="U96:W96"/>
    <mergeCell ref="F16:F17"/>
    <mergeCell ref="F22:F23"/>
    <mergeCell ref="F27:F29"/>
    <mergeCell ref="C18:K21"/>
    <mergeCell ref="L19:N19"/>
    <mergeCell ref="C24:K26"/>
    <mergeCell ref="L24:N25"/>
    <mergeCell ref="O18:V21"/>
    <mergeCell ref="O24:V26"/>
    <mergeCell ref="S28:V28"/>
    <mergeCell ref="P27:P28"/>
    <mergeCell ref="Q27:Q28"/>
    <mergeCell ref="R27:R28"/>
    <mergeCell ref="F340:K340"/>
    <mergeCell ref="F342:K342"/>
    <mergeCell ref="L232:N232"/>
    <mergeCell ref="P234:Q234"/>
    <mergeCell ref="R234:S234"/>
    <mergeCell ref="P224:Q224"/>
    <mergeCell ref="R224:S224"/>
    <mergeCell ref="D218:N223"/>
    <mergeCell ref="P225:Q225"/>
    <mergeCell ref="R225:S225"/>
    <mergeCell ref="R246:S246"/>
    <mergeCell ref="R256:S256"/>
    <mergeCell ref="P256:Q256"/>
    <mergeCell ref="L242:N242"/>
    <mergeCell ref="P233:Q233"/>
    <mergeCell ref="R244:S244"/>
    <mergeCell ref="P244:Q244"/>
    <mergeCell ref="K236:N236"/>
    <mergeCell ref="P235:Q235"/>
    <mergeCell ref="R235:S235"/>
    <mergeCell ref="P239:Q239"/>
    <mergeCell ref="R239:S239"/>
    <mergeCell ref="P243:Q243"/>
    <mergeCell ref="R243:S243"/>
    <mergeCell ref="P222:Q222"/>
    <mergeCell ref="R222:S222"/>
    <mergeCell ref="P199:Q199"/>
    <mergeCell ref="R199:S199"/>
    <mergeCell ref="P163:Q163"/>
    <mergeCell ref="P162:Q162"/>
    <mergeCell ref="R162:S162"/>
    <mergeCell ref="P193:Q193"/>
    <mergeCell ref="R193:S193"/>
    <mergeCell ref="P185:Q185"/>
    <mergeCell ref="P179:Q179"/>
    <mergeCell ref="R179:S179"/>
    <mergeCell ref="P184:Q184"/>
    <mergeCell ref="R184:S184"/>
    <mergeCell ref="R185:S185"/>
    <mergeCell ref="R180:S180"/>
    <mergeCell ref="P189:Q189"/>
    <mergeCell ref="R189:S189"/>
    <mergeCell ref="P168:Q168"/>
    <mergeCell ref="R168:S168"/>
    <mergeCell ref="P174:Q174"/>
    <mergeCell ref="R174:S174"/>
    <mergeCell ref="P173:Q173"/>
    <mergeCell ref="R173:S173"/>
    <mergeCell ref="T188:U188"/>
    <mergeCell ref="T189:U189"/>
    <mergeCell ref="T190:U190"/>
    <mergeCell ref="R188:S188"/>
    <mergeCell ref="L117:N117"/>
    <mergeCell ref="P205:Q205"/>
    <mergeCell ref="R205:S205"/>
    <mergeCell ref="T158:U158"/>
    <mergeCell ref="T161:U161"/>
    <mergeCell ref="L121:N121"/>
    <mergeCell ref="P183:Q183"/>
    <mergeCell ref="R183:S183"/>
    <mergeCell ref="P141:Q141"/>
    <mergeCell ref="P169:Q169"/>
    <mergeCell ref="R169:S169"/>
    <mergeCell ref="P164:Q164"/>
    <mergeCell ref="P170:Q170"/>
    <mergeCell ref="P157:Q157"/>
    <mergeCell ref="P158:Q158"/>
    <mergeCell ref="P161:Q161"/>
    <mergeCell ref="T169:U169"/>
    <mergeCell ref="T173:U173"/>
    <mergeCell ref="T180:U180"/>
    <mergeCell ref="T182:U182"/>
    <mergeCell ref="P175:Q175"/>
    <mergeCell ref="R175:S175"/>
    <mergeCell ref="P112:W112"/>
    <mergeCell ref="B112:N114"/>
    <mergeCell ref="U39:W39"/>
    <mergeCell ref="R163:S163"/>
    <mergeCell ref="V163:W163"/>
    <mergeCell ref="P167:Q167"/>
    <mergeCell ref="R167:S167"/>
    <mergeCell ref="R131:S131"/>
    <mergeCell ref="T129:U129"/>
    <mergeCell ref="T131:U131"/>
    <mergeCell ref="T133:U133"/>
    <mergeCell ref="T135:U135"/>
    <mergeCell ref="T138:U138"/>
    <mergeCell ref="T156:U156"/>
    <mergeCell ref="T141:U141"/>
    <mergeCell ref="U147:W147"/>
    <mergeCell ref="V138:W138"/>
    <mergeCell ref="T157:U157"/>
    <mergeCell ref="R141:S141"/>
    <mergeCell ref="I122:J122"/>
    <mergeCell ref="L126:N126"/>
    <mergeCell ref="T115:U115"/>
    <mergeCell ref="C7:D7"/>
    <mergeCell ref="B11:R11"/>
    <mergeCell ref="C14:K15"/>
    <mergeCell ref="G6:S7"/>
    <mergeCell ref="G8:S8"/>
    <mergeCell ref="G9:S9"/>
    <mergeCell ref="S10:W10"/>
    <mergeCell ref="S11:W11"/>
    <mergeCell ref="B12:W12"/>
    <mergeCell ref="O14:V15"/>
    <mergeCell ref="T8:W8"/>
    <mergeCell ref="T9:W9"/>
    <mergeCell ref="C9:F9"/>
    <mergeCell ref="L14:N14"/>
    <mergeCell ref="T6:W6"/>
    <mergeCell ref="T7:W7"/>
    <mergeCell ref="V195:W195"/>
    <mergeCell ref="T195:U195"/>
    <mergeCell ref="P195:Q195"/>
    <mergeCell ref="R192:S192"/>
    <mergeCell ref="V189:W189"/>
    <mergeCell ref="P190:Q190"/>
    <mergeCell ref="R190:S190"/>
    <mergeCell ref="V190:W190"/>
    <mergeCell ref="E6:F7"/>
    <mergeCell ref="T114:U114"/>
    <mergeCell ref="V179:W179"/>
    <mergeCell ref="P180:Q180"/>
    <mergeCell ref="T113:U113"/>
    <mergeCell ref="U103:W103"/>
    <mergeCell ref="U102:W102"/>
    <mergeCell ref="O104:P104"/>
    <mergeCell ref="R115:S115"/>
    <mergeCell ref="U100:W100"/>
    <mergeCell ref="U104:W104"/>
    <mergeCell ref="U108:W108"/>
    <mergeCell ref="U101:W101"/>
    <mergeCell ref="U38:W38"/>
    <mergeCell ref="U36:W36"/>
    <mergeCell ref="U37:W37"/>
    <mergeCell ref="P218:Q218"/>
    <mergeCell ref="R218:S218"/>
    <mergeCell ref="T218:U218"/>
    <mergeCell ref="P219:Q219"/>
    <mergeCell ref="R219:S219"/>
    <mergeCell ref="T219:U219"/>
    <mergeCell ref="R223:S223"/>
    <mergeCell ref="T222:U222"/>
    <mergeCell ref="T183:U183"/>
    <mergeCell ref="T184:U184"/>
    <mergeCell ref="P202:Q202"/>
    <mergeCell ref="T185:U185"/>
    <mergeCell ref="P223:Q223"/>
    <mergeCell ref="P198:Q198"/>
    <mergeCell ref="P206:Q206"/>
    <mergeCell ref="R206:S206"/>
    <mergeCell ref="P207:Q207"/>
    <mergeCell ref="R207:S207"/>
    <mergeCell ref="T204:U204"/>
    <mergeCell ref="T205:U205"/>
    <mergeCell ref="T206:U206"/>
    <mergeCell ref="T207:U207"/>
    <mergeCell ref="T203:U203"/>
    <mergeCell ref="T202:U202"/>
    <mergeCell ref="P246:Q246"/>
    <mergeCell ref="T246:U246"/>
    <mergeCell ref="K246:N246"/>
    <mergeCell ref="T245:U245"/>
    <mergeCell ref="P245:Q245"/>
    <mergeCell ref="R245:S245"/>
    <mergeCell ref="R233:S233"/>
    <mergeCell ref="T223:U223"/>
    <mergeCell ref="P229:Q229"/>
    <mergeCell ref="R229:S229"/>
    <mergeCell ref="K226:N226"/>
    <mergeCell ref="P236:Q236"/>
    <mergeCell ref="T236:U236"/>
    <mergeCell ref="T235:U235"/>
    <mergeCell ref="T239:U239"/>
    <mergeCell ref="R226:S226"/>
    <mergeCell ref="R236:S236"/>
    <mergeCell ref="P226:Q226"/>
    <mergeCell ref="L262:N262"/>
    <mergeCell ref="P263:Q263"/>
    <mergeCell ref="R263:S263"/>
    <mergeCell ref="T263:U263"/>
    <mergeCell ref="P249:Q249"/>
    <mergeCell ref="R249:S249"/>
    <mergeCell ref="T249:U249"/>
    <mergeCell ref="L252:N252"/>
    <mergeCell ref="P253:Q253"/>
    <mergeCell ref="R253:S253"/>
    <mergeCell ref="T253:U253"/>
    <mergeCell ref="P254:Q254"/>
    <mergeCell ref="R254:S254"/>
    <mergeCell ref="K256:N256"/>
    <mergeCell ref="T256:U256"/>
    <mergeCell ref="V259:W259"/>
    <mergeCell ref="V263:W263"/>
    <mergeCell ref="V265:W265"/>
    <mergeCell ref="P255:Q255"/>
    <mergeCell ref="R255:S255"/>
    <mergeCell ref="T255:U255"/>
    <mergeCell ref="P259:Q259"/>
    <mergeCell ref="R259:S259"/>
    <mergeCell ref="T259:U259"/>
    <mergeCell ref="V256:W256"/>
    <mergeCell ref="V255:W255"/>
    <mergeCell ref="AJ254:AP254"/>
    <mergeCell ref="V199:W199"/>
    <mergeCell ref="AI212:AJ212"/>
    <mergeCell ref="AI211:AJ211"/>
    <mergeCell ref="AK211:AL211"/>
    <mergeCell ref="AK212:AL212"/>
    <mergeCell ref="AM211:AN211"/>
    <mergeCell ref="AM212:AN212"/>
    <mergeCell ref="AO211:AP211"/>
    <mergeCell ref="AO212:AP212"/>
    <mergeCell ref="V221:W221"/>
    <mergeCell ref="V222:W222"/>
    <mergeCell ref="V203:W203"/>
    <mergeCell ref="V223:W223"/>
    <mergeCell ref="V217:W217"/>
    <mergeCell ref="V218:W218"/>
    <mergeCell ref="V219:W219"/>
    <mergeCell ref="V220:W220"/>
    <mergeCell ref="V205:W205"/>
    <mergeCell ref="P214:W214"/>
    <mergeCell ref="P215:Q215"/>
    <mergeCell ref="R215:S215"/>
    <mergeCell ref="T215:U215"/>
    <mergeCell ref="V215:W215"/>
    <mergeCell ref="V216:W216"/>
    <mergeCell ref="R198:S198"/>
    <mergeCell ref="V198:W198"/>
    <mergeCell ref="T198:U198"/>
    <mergeCell ref="T199:U199"/>
    <mergeCell ref="P208:Q208"/>
    <mergeCell ref="R208:S208"/>
    <mergeCell ref="V208:W208"/>
    <mergeCell ref="P204:Q204"/>
    <mergeCell ref="R204:S204"/>
    <mergeCell ref="V204:W204"/>
    <mergeCell ref="V202:W202"/>
    <mergeCell ref="V206:W206"/>
    <mergeCell ref="V207:W207"/>
    <mergeCell ref="T208:U208"/>
    <mergeCell ref="P166:Q166"/>
    <mergeCell ref="V193:W193"/>
    <mergeCell ref="R195:S195"/>
    <mergeCell ref="V192:W192"/>
    <mergeCell ref="T192:U192"/>
    <mergeCell ref="T193:U193"/>
    <mergeCell ref="K235:N235"/>
    <mergeCell ref="K245:N245"/>
    <mergeCell ref="K255:N255"/>
    <mergeCell ref="K225:N225"/>
    <mergeCell ref="T217:U217"/>
    <mergeCell ref="R220:S220"/>
    <mergeCell ref="T220:U220"/>
    <mergeCell ref="R202:S202"/>
    <mergeCell ref="P203:Q203"/>
    <mergeCell ref="R203:S203"/>
    <mergeCell ref="P220:Q220"/>
    <mergeCell ref="P217:Q217"/>
    <mergeCell ref="R217:S217"/>
    <mergeCell ref="B214:N216"/>
    <mergeCell ref="T243:U243"/>
    <mergeCell ref="P216:Q216"/>
    <mergeCell ref="R216:S216"/>
    <mergeCell ref="T216:U216"/>
  </mergeCells>
  <conditionalFormatting sqref="Z180">
    <cfRule type="expression" dxfId="749" priority="402" stopIfTrue="1">
      <formula>IF($U$184&gt;$U$174,0,1)</formula>
    </cfRule>
  </conditionalFormatting>
  <conditionalFormatting sqref="B34:W34">
    <cfRule type="expression" dxfId="748" priority="405" stopIfTrue="1">
      <formula>IF(TaxYear&gt;1996,1,0)</formula>
    </cfRule>
  </conditionalFormatting>
  <conditionalFormatting sqref="U40:W40">
    <cfRule type="expression" dxfId="747" priority="406" stopIfTrue="1">
      <formula>IF($U$38&gt;0,1,0)</formula>
    </cfRule>
    <cfRule type="expression" dxfId="746" priority="407" stopIfTrue="1">
      <formula>IF($U$38&lt;=0,1,0)</formula>
    </cfRule>
  </conditionalFormatting>
  <conditionalFormatting sqref="U105:W107">
    <cfRule type="expression" dxfId="745" priority="408" stopIfTrue="1">
      <formula>IF($U$100&gt;0,1,0)</formula>
    </cfRule>
    <cfRule type="expression" dxfId="744" priority="409" stopIfTrue="1">
      <formula>IF($U$100&lt;=0,1,0)</formula>
    </cfRule>
  </conditionalFormatting>
  <conditionalFormatting sqref="U36:W36 U38:W38">
    <cfRule type="expression" dxfId="743" priority="410" stopIfTrue="1">
      <formula>IF($P$31&lt;&gt;"",1,0)</formula>
    </cfRule>
  </conditionalFormatting>
  <conditionalFormatting sqref="B11 P118:T118 R131:T131 R133:T133 R135:S135 P138:T138 P141:S141 R188:T188 P198:T199 T184 T204 T206 V118:W118 R128:T129 V129:W129 V133:W133 V138:W138 V156:W156 V161:W161 V198:W198 V141:W141 P156:T157 P161:S161 P162:T162 P179:T179 V179:W179 AO213 AI213 AK213 AM213 V188:W188 R192:S192 P158:W158 P163:W163 P167:W169 P173:W176 P180:W180 P182:W183 P185:W185 P189:W190 P205:W205 P207:W208 P193:W193 P124:Q124 P202:W203">
    <cfRule type="expression" dxfId="742" priority="398">
      <formula>IF(NoColor,1,0)</formula>
    </cfRule>
  </conditionalFormatting>
  <conditionalFormatting sqref="S11">
    <cfRule type="expression" dxfId="741" priority="397">
      <formula>IF(NoColor,1,0)</formula>
    </cfRule>
  </conditionalFormatting>
  <conditionalFormatting sqref="U100:W100">
    <cfRule type="expression" dxfId="740" priority="381">
      <formula>IF(NoColor,1,0)</formula>
    </cfRule>
  </conditionalFormatting>
  <conditionalFormatting sqref="U36:W36">
    <cfRule type="expression" dxfId="739" priority="393">
      <formula>IF(NoColor,1,0)</formula>
    </cfRule>
  </conditionalFormatting>
  <conditionalFormatting sqref="U45:W45">
    <cfRule type="expression" dxfId="738" priority="389">
      <formula>IF(NoColor,1,0)</formula>
    </cfRule>
  </conditionalFormatting>
  <conditionalFormatting sqref="U38:W38">
    <cfRule type="expression" dxfId="737" priority="392">
      <formula>IF(NoColor,1,0)</formula>
    </cfRule>
  </conditionalFormatting>
  <conditionalFormatting sqref="U45:W45 U102:U103">
    <cfRule type="expression" dxfId="736" priority="390" stopIfTrue="1">
      <formula>IF($P$31&lt;&gt;"",1,0)</formula>
    </cfRule>
  </conditionalFormatting>
  <conditionalFormatting sqref="U100:W100">
    <cfRule type="expression" dxfId="735" priority="382" stopIfTrue="1">
      <formula>IF($P$31&lt;&gt;"",1,0)</formula>
    </cfRule>
  </conditionalFormatting>
  <conditionalFormatting sqref="U39:W39">
    <cfRule type="expression" dxfId="734" priority="357">
      <formula>IF(NoColor,1,0)</formula>
    </cfRule>
  </conditionalFormatting>
  <conditionalFormatting sqref="U98:W98">
    <cfRule type="expression" dxfId="733" priority="367">
      <formula>IF(NoColor,1,0)</formula>
    </cfRule>
  </conditionalFormatting>
  <conditionalFormatting sqref="U46:W46">
    <cfRule type="expression" dxfId="732" priority="347">
      <formula>IF(NoColor,1,0)</formula>
    </cfRule>
  </conditionalFormatting>
  <conditionalFormatting sqref="U39:W39">
    <cfRule type="expression" dxfId="731" priority="358" stopIfTrue="1">
      <formula>IF($P$31&lt;&gt;"",1,0)</formula>
    </cfRule>
  </conditionalFormatting>
  <conditionalFormatting sqref="U46:W46">
    <cfRule type="expression" dxfId="730" priority="348" stopIfTrue="1">
      <formula>IF($P$31&lt;&gt;"",1,0)</formula>
    </cfRule>
  </conditionalFormatting>
  <conditionalFormatting sqref="U41:W41">
    <cfRule type="expression" dxfId="729" priority="351">
      <formula>IF(NoColor,1,0)</formula>
    </cfRule>
  </conditionalFormatting>
  <conditionalFormatting sqref="U44:W44">
    <cfRule type="expression" dxfId="728" priority="349">
      <formula>IF(NoColor,1,0)</formula>
    </cfRule>
  </conditionalFormatting>
  <conditionalFormatting sqref="D48">
    <cfRule type="expression" dxfId="727" priority="344">
      <formula>IF(NoColor,1,0)</formula>
    </cfRule>
  </conditionalFormatting>
  <conditionalFormatting sqref="D57">
    <cfRule type="expression" dxfId="726" priority="343">
      <formula>IF(NoColor,1,0)</formula>
    </cfRule>
  </conditionalFormatting>
  <conditionalFormatting sqref="D61">
    <cfRule type="expression" dxfId="725" priority="337">
      <formula>IF(NoColor,1,0)</formula>
    </cfRule>
  </conditionalFormatting>
  <conditionalFormatting sqref="D59">
    <cfRule type="expression" dxfId="724" priority="338">
      <formula>IF(NoColor,1,0)</formula>
    </cfRule>
  </conditionalFormatting>
  <conditionalFormatting sqref="D63">
    <cfRule type="expression" dxfId="723" priority="336">
      <formula>IF(NoColor,1,0)</formula>
    </cfRule>
  </conditionalFormatting>
  <conditionalFormatting sqref="D65">
    <cfRule type="expression" dxfId="722" priority="335">
      <formula>IF(NoColor,1,0)</formula>
    </cfRule>
  </conditionalFormatting>
  <conditionalFormatting sqref="U87:W87">
    <cfRule type="expression" dxfId="721" priority="333">
      <formula>IF(NoColor,1,0)</formula>
    </cfRule>
  </conditionalFormatting>
  <conditionalFormatting sqref="S89">
    <cfRule type="expression" dxfId="720" priority="332">
      <formula>IF(NoColor,1,0)</formula>
    </cfRule>
  </conditionalFormatting>
  <conditionalFormatting sqref="S91">
    <cfRule type="expression" dxfId="719" priority="331">
      <formula>IF(NoColor,1,0)</formula>
    </cfRule>
  </conditionalFormatting>
  <conditionalFormatting sqref="U93:W93">
    <cfRule type="expression" dxfId="718" priority="330">
      <formula>IF(NoColor,1,0)</formula>
    </cfRule>
  </conditionalFormatting>
  <conditionalFormatting sqref="U96:W96">
    <cfRule type="expression" dxfId="717" priority="51">
      <formula>IF($W$80,1,0)</formula>
    </cfRule>
    <cfRule type="expression" dxfId="716" priority="329">
      <formula>IF(NoColor,1,0)</formula>
    </cfRule>
  </conditionalFormatting>
  <conditionalFormatting sqref="U101:W101 U102:U103">
    <cfRule type="expression" dxfId="715" priority="327">
      <formula>IF(NoColor,1,0)</formula>
    </cfRule>
  </conditionalFormatting>
  <conditionalFormatting sqref="U101:W101">
    <cfRule type="expression" dxfId="714" priority="328" stopIfTrue="1">
      <formula>IF($P$31&lt;&gt;"",1,0)</formula>
    </cfRule>
  </conditionalFormatting>
  <conditionalFormatting sqref="U104:W104">
    <cfRule type="expression" dxfId="713" priority="326">
      <formula>IF(NoColor,1,0)</formula>
    </cfRule>
  </conditionalFormatting>
  <conditionalFormatting sqref="U108:W108">
    <cfRule type="expression" dxfId="712" priority="325">
      <formula>IF(NoColor,1,0)</formula>
    </cfRule>
  </conditionalFormatting>
  <conditionalFormatting sqref="P133:Q133">
    <cfRule type="expression" dxfId="711" priority="317">
      <formula>IF(NoColor,1,0)</formula>
    </cfRule>
  </conditionalFormatting>
  <conditionalFormatting sqref="U147:W147">
    <cfRule type="expression" dxfId="710" priority="313">
      <formula>IF(NoColor,1,0)</formula>
    </cfRule>
  </conditionalFormatting>
  <conditionalFormatting sqref="U147:W147">
    <cfRule type="expression" dxfId="709" priority="314" stopIfTrue="1">
      <formula>IF($P$31&lt;&gt;"",1,0)</formula>
    </cfRule>
  </conditionalFormatting>
  <conditionalFormatting sqref="D108">
    <cfRule type="expression" dxfId="708" priority="312">
      <formula>IF(AND(NOT(NoColor),NOT(B66)),1,0)</formula>
    </cfRule>
  </conditionalFormatting>
  <conditionalFormatting sqref="Z156:Z157">
    <cfRule type="expression" dxfId="707" priority="304" stopIfTrue="1">
      <formula>IF($U$184&gt;$U$174,0,1)</formula>
    </cfRule>
  </conditionalFormatting>
  <conditionalFormatting sqref="V162:W162">
    <cfRule type="expression" dxfId="706" priority="288">
      <formula>IF(NoColor,1,0)</formula>
    </cfRule>
  </conditionalFormatting>
  <conditionalFormatting sqref="P152">
    <cfRule type="expression" dxfId="705" priority="298">
      <formula>IF(NoColor,1,0)</formula>
    </cfRule>
  </conditionalFormatting>
  <conditionalFormatting sqref="Z158">
    <cfRule type="expression" dxfId="704" priority="291" stopIfTrue="1">
      <formula>IF($U$184&gt;$U$174,0,1)</formula>
    </cfRule>
  </conditionalFormatting>
  <conditionalFormatting sqref="Z162">
    <cfRule type="expression" dxfId="703" priority="289" stopIfTrue="1">
      <formula>IF($U$184&gt;$U$174,0,1)</formula>
    </cfRule>
  </conditionalFormatting>
  <conditionalFormatting sqref="Z161">
    <cfRule type="expression" dxfId="702" priority="287" stopIfTrue="1">
      <formula>IF($U$184&gt;$U$174,0,1)</formula>
    </cfRule>
  </conditionalFormatting>
  <conditionalFormatting sqref="Z167">
    <cfRule type="expression" dxfId="701" priority="284" stopIfTrue="1">
      <formula>IF($U$184&gt;$U$174,0,1)</formula>
    </cfRule>
  </conditionalFormatting>
  <conditionalFormatting sqref="Z173">
    <cfRule type="expression" dxfId="700" priority="280" stopIfTrue="1">
      <formula>IF($U$184&gt;$U$174,0,1)</formula>
    </cfRule>
  </conditionalFormatting>
  <conditionalFormatting sqref="Z179">
    <cfRule type="expression" dxfId="699" priority="275" stopIfTrue="1">
      <formula>IF($U$184&gt;$U$174,0,1)</formula>
    </cfRule>
  </conditionalFormatting>
  <conditionalFormatting sqref="Z182">
    <cfRule type="expression" dxfId="698" priority="272" stopIfTrue="1">
      <formula>IF($U$184&gt;$U$174,0,1)</formula>
    </cfRule>
  </conditionalFormatting>
  <conditionalFormatting sqref="Z183">
    <cfRule type="expression" dxfId="697" priority="270" stopIfTrue="1">
      <formula>IF($U$184&gt;$U$174,0,1)</formula>
    </cfRule>
  </conditionalFormatting>
  <conditionalFormatting sqref="Z184">
    <cfRule type="expression" dxfId="696" priority="268" stopIfTrue="1">
      <formula>IF($U$184&gt;$U$174,0,1)</formula>
    </cfRule>
  </conditionalFormatting>
  <conditionalFormatting sqref="Z185:Z198">
    <cfRule type="expression" dxfId="695" priority="266" stopIfTrue="1">
      <formula>IF($U$184&gt;$U$174,0,1)</formula>
    </cfRule>
  </conditionalFormatting>
  <conditionalFormatting sqref="Z199">
    <cfRule type="expression" dxfId="694" priority="248" stopIfTrue="1">
      <formula>IF($U$184&gt;$U$174,0,1)</formula>
    </cfRule>
  </conditionalFormatting>
  <conditionalFormatting sqref="P195:W195">
    <cfRule type="expression" dxfId="693" priority="251">
      <formula>IF(NoColor,1,0)</formula>
    </cfRule>
  </conditionalFormatting>
  <conditionalFormatting sqref="V199:W199">
    <cfRule type="expression" dxfId="692" priority="247">
      <formula>IF(NoColor,1,0)</formula>
    </cfRule>
  </conditionalFormatting>
  <conditionalFormatting sqref="Z202">
    <cfRule type="expression" dxfId="691" priority="246" stopIfTrue="1">
      <formula>IF($U$184&gt;$U$174,0,1)</formula>
    </cfRule>
  </conditionalFormatting>
  <conditionalFormatting sqref="V157:W157">
    <cfRule type="expression" dxfId="690" priority="237">
      <formula>IF(NoColor,1,0)</formula>
    </cfRule>
  </conditionalFormatting>
  <conditionalFormatting sqref="P184:Q184">
    <cfRule type="expression" dxfId="689" priority="236">
      <formula>IF(NoColor,1,0)</formula>
    </cfRule>
  </conditionalFormatting>
  <conditionalFormatting sqref="R184:S184">
    <cfRule type="expression" dxfId="688" priority="235">
      <formula>IF(NoColor,1,0)</formula>
    </cfRule>
  </conditionalFormatting>
  <conditionalFormatting sqref="V184:W184">
    <cfRule type="expression" dxfId="687" priority="233">
      <formula>IF(NoColor,1,0)</formula>
    </cfRule>
  </conditionalFormatting>
  <conditionalFormatting sqref="P204:Q204">
    <cfRule type="expression" dxfId="686" priority="232">
      <formula>IF(NoColor,1,0)</formula>
    </cfRule>
  </conditionalFormatting>
  <conditionalFormatting sqref="V204:W204">
    <cfRule type="expression" dxfId="685" priority="229">
      <formula>IF(NoColor,1,0)</formula>
    </cfRule>
  </conditionalFormatting>
  <conditionalFormatting sqref="R204:S204">
    <cfRule type="expression" dxfId="684" priority="228">
      <formula>IF(NoColor,1,0)</formula>
    </cfRule>
  </conditionalFormatting>
  <conditionalFormatting sqref="P206:Q206">
    <cfRule type="expression" dxfId="683" priority="227">
      <formula>IF(NoColor,1,0)</formula>
    </cfRule>
  </conditionalFormatting>
  <conditionalFormatting sqref="V206:W206">
    <cfRule type="expression" dxfId="682" priority="225">
      <formula>IF(NoColor,1,0)</formula>
    </cfRule>
  </conditionalFormatting>
  <conditionalFormatting sqref="R206:S206">
    <cfRule type="expression" dxfId="681" priority="224">
      <formula>IF(NoColor,1,0)</formula>
    </cfRule>
  </conditionalFormatting>
  <conditionalFormatting sqref="U43:W43">
    <cfRule type="expression" dxfId="680" priority="222">
      <formula>IF(NoColor,1,0)</formula>
    </cfRule>
  </conditionalFormatting>
  <conditionalFormatting sqref="U43:W43">
    <cfRule type="expression" dxfId="679" priority="223" stopIfTrue="1">
      <formula>IF($P$31&lt;&gt;"",1,0)</formula>
    </cfRule>
  </conditionalFormatting>
  <conditionalFormatting sqref="S44">
    <cfRule type="expression" dxfId="678" priority="221">
      <formula>IF(AND($U$47,NOT(NoColor)),1,0)</formula>
    </cfRule>
  </conditionalFormatting>
  <conditionalFormatting sqref="J40">
    <cfRule type="expression" dxfId="677" priority="220">
      <formula>IF(AND($U$41&lt;$W$42,NOT(NoColor)),1,0)</formula>
    </cfRule>
  </conditionalFormatting>
  <conditionalFormatting sqref="D41">
    <cfRule type="expression" dxfId="676" priority="219">
      <formula>IF(AND($U$41&lt;$W$42,NOT(NoColor)),1,0)</formula>
    </cfRule>
  </conditionalFormatting>
  <conditionalFormatting sqref="N95">
    <cfRule type="expression" dxfId="675" priority="214">
      <formula>IF(AND(NOT(NoColor),NOT($W$80),$U$96&lt;=0),1,0)</formula>
    </cfRule>
  </conditionalFormatting>
  <conditionalFormatting sqref="D96">
    <cfRule type="expression" dxfId="674" priority="213">
      <formula>IF(AND(NOT(NoColor),NOT($W$80),$U$96&lt;=0),1,0)</formula>
    </cfRule>
  </conditionalFormatting>
  <conditionalFormatting sqref="I44">
    <cfRule type="expression" dxfId="673" priority="1768" stopIfTrue="1">
      <formula>IF(AND($C$31&lt;&gt;"",OR($U$38="",$U$38=0),$U$45&lt;$U$44),1,0)</formula>
    </cfRule>
  </conditionalFormatting>
  <conditionalFormatting sqref="L55">
    <cfRule type="expression" dxfId="672" priority="1787">
      <formula>IF(AND(NOT(NoColor),$V$42,NOT($B$66)),1,0)</formula>
    </cfRule>
  </conditionalFormatting>
  <conditionalFormatting sqref="G123 K146 D147 D124">
    <cfRule type="expression" dxfId="671" priority="1788">
      <formula>IF(AND(NOT(NoColor),NOT($B$66),$W$80),1,0)</formula>
    </cfRule>
  </conditionalFormatting>
  <conditionalFormatting sqref="I48">
    <cfRule type="expression" dxfId="670" priority="1855">
      <formula>IF(AND(NOT(NoColor),$V$42,D48&lt;&gt;"",NOT($B$66)),1,0)</formula>
    </cfRule>
  </conditionalFormatting>
  <conditionalFormatting sqref="I122">
    <cfRule type="expression" dxfId="669" priority="1857">
      <formula>IF(AND(NOT(NoColor),$B$66,$W$80,$L$121),1,0)</formula>
    </cfRule>
  </conditionalFormatting>
  <conditionalFormatting sqref="D125:D126">
    <cfRule type="expression" dxfId="668" priority="1858">
      <formula>IF(AND($B$66,$W$80,$L$126),1,0)</formula>
    </cfRule>
  </conditionalFormatting>
  <conditionalFormatting sqref="T135:U135">
    <cfRule type="expression" dxfId="667" priority="203">
      <formula>IF(NoColor,1,0)</formula>
    </cfRule>
  </conditionalFormatting>
  <conditionalFormatting sqref="T161:U161">
    <cfRule type="expression" dxfId="666" priority="202">
      <formula>IF(NoColor,1,0)</formula>
    </cfRule>
  </conditionalFormatting>
  <conditionalFormatting sqref="V128">
    <cfRule type="expression" dxfId="665" priority="201">
      <formula>IF(NoColor,1,0)</formula>
    </cfRule>
  </conditionalFormatting>
  <conditionalFormatting sqref="S42">
    <cfRule type="expression" dxfId="664" priority="198">
      <formula>IF(NoColor,1,0)</formula>
    </cfRule>
  </conditionalFormatting>
  <conditionalFormatting sqref="T141:U141">
    <cfRule type="expression" dxfId="663" priority="197">
      <formula>IF(NoColor,1,0)</formula>
    </cfRule>
  </conditionalFormatting>
  <conditionalFormatting sqref="AJ226 AP241 AN244 AP244 AN246 AP246 AN241">
    <cfRule type="expression" dxfId="662" priority="171">
      <formula>IF(NOT(AJ$218),1,0)</formula>
    </cfRule>
  </conditionalFormatting>
  <conditionalFormatting sqref="AJ217">
    <cfRule type="expression" dxfId="661" priority="159">
      <formula>IF(NOT(AJ$218),1,0)</formula>
    </cfRule>
  </conditionalFormatting>
  <conditionalFormatting sqref="R152">
    <cfRule type="expression" dxfId="660" priority="158">
      <formula>IF(NoColor,1,0)</formula>
    </cfRule>
  </conditionalFormatting>
  <conditionalFormatting sqref="T152">
    <cfRule type="expression" dxfId="659" priority="157">
      <formula>IF(NoColor,1,0)</formula>
    </cfRule>
  </conditionalFormatting>
  <conditionalFormatting sqref="V152">
    <cfRule type="expression" dxfId="658" priority="156">
      <formula>IF(NoColor,1,0)</formula>
    </cfRule>
  </conditionalFormatting>
  <conditionalFormatting sqref="AJ236">
    <cfRule type="expression" dxfId="657" priority="142">
      <formula>IF(NOT(AJ$218),1,0)</formula>
    </cfRule>
  </conditionalFormatting>
  <conditionalFormatting sqref="AJ244">
    <cfRule type="expression" dxfId="656" priority="140">
      <formula>IF(NOT(AJ$218),1,0)</formula>
    </cfRule>
  </conditionalFormatting>
  <conditionalFormatting sqref="AL217">
    <cfRule type="expression" dxfId="655" priority="102">
      <formula>IF(NOT(AL$218),1,0)</formula>
    </cfRule>
  </conditionalFormatting>
  <conditionalFormatting sqref="AN217">
    <cfRule type="expression" dxfId="654" priority="101">
      <formula>IF(NOT(AN$218),1,0)</formula>
    </cfRule>
  </conditionalFormatting>
  <conditionalFormatting sqref="AP217">
    <cfRule type="expression" dxfId="653" priority="100">
      <formula>IF(NOT(AP$218),1,0)</formula>
    </cfRule>
  </conditionalFormatting>
  <conditionalFormatting sqref="AL226">
    <cfRule type="expression" dxfId="652" priority="99">
      <formula>IF(NOT(AL$218),1,0)</formula>
    </cfRule>
  </conditionalFormatting>
  <conditionalFormatting sqref="AN226">
    <cfRule type="expression" dxfId="651" priority="98">
      <formula>IF(NOT(AN$218),1,0)</formula>
    </cfRule>
  </conditionalFormatting>
  <conditionalFormatting sqref="AP226">
    <cfRule type="expression" dxfId="650" priority="97">
      <formula>IF(NOT(AP$218),1,0)</formula>
    </cfRule>
  </conditionalFormatting>
  <conditionalFormatting sqref="AJ228">
    <cfRule type="expression" dxfId="649" priority="96">
      <formula>IF(NOT(AJ$218),1,0)</formula>
    </cfRule>
  </conditionalFormatting>
  <conditionalFormatting sqref="AL244">
    <cfRule type="expression" dxfId="648" priority="92">
      <formula>IF(NOT(AL$218),1,0)</formula>
    </cfRule>
  </conditionalFormatting>
  <conditionalFormatting sqref="AJ246">
    <cfRule type="expression" dxfId="647" priority="91">
      <formula>IF(NOT(AJ$218),1,0)</formula>
    </cfRule>
  </conditionalFormatting>
  <conditionalFormatting sqref="AL246">
    <cfRule type="expression" dxfId="646" priority="90">
      <formula>IF(NOT(AL$218),1,0)</formula>
    </cfRule>
  </conditionalFormatting>
  <conditionalFormatting sqref="AI154">
    <cfRule type="expression" dxfId="645" priority="86">
      <formula>IF(NoColor,1,0)</formula>
    </cfRule>
  </conditionalFormatting>
  <conditionalFormatting sqref="AK154">
    <cfRule type="expression" dxfId="644" priority="85">
      <formula>IF(NoColor,1,0)</formula>
    </cfRule>
  </conditionalFormatting>
  <conditionalFormatting sqref="AM154">
    <cfRule type="expression" dxfId="643" priority="84">
      <formula>IF(NoColor,1,0)</formula>
    </cfRule>
  </conditionalFormatting>
  <conditionalFormatting sqref="AO154">
    <cfRule type="expression" dxfId="642" priority="83">
      <formula>IF(NoColor,1,0)</formula>
    </cfRule>
  </conditionalFormatting>
  <conditionalFormatting sqref="AI212">
    <cfRule type="expression" dxfId="641" priority="79">
      <formula>IF(NoColor,1,0)</formula>
    </cfRule>
  </conditionalFormatting>
  <conditionalFormatting sqref="AK212">
    <cfRule type="expression" dxfId="640" priority="78">
      <formula>IF(NoColor,1,0)</formula>
    </cfRule>
  </conditionalFormatting>
  <conditionalFormatting sqref="AM212">
    <cfRule type="expression" dxfId="639" priority="77">
      <formula>IF(NoColor,1,0)</formula>
    </cfRule>
  </conditionalFormatting>
  <conditionalFormatting sqref="AO212">
    <cfRule type="expression" dxfId="638" priority="76">
      <formula>IF(NoColor,1,0)</formula>
    </cfRule>
  </conditionalFormatting>
  <conditionalFormatting sqref="AL236">
    <cfRule type="expression" dxfId="637" priority="69">
      <formula>IF(NOT(AL$218),1,0)</formula>
    </cfRule>
  </conditionalFormatting>
  <conditionalFormatting sqref="AN236">
    <cfRule type="expression" dxfId="636" priority="68">
      <formula>IF(NOT(AN$218),1,0)</formula>
    </cfRule>
  </conditionalFormatting>
  <conditionalFormatting sqref="AP236">
    <cfRule type="expression" dxfId="635" priority="67">
      <formula>IF(NOT(AP$218),1,0)</formula>
    </cfRule>
  </conditionalFormatting>
  <conditionalFormatting sqref="AL241">
    <cfRule type="expression" dxfId="634" priority="64">
      <formula>IF(NOT(AL$218),1,0)</formula>
    </cfRule>
  </conditionalFormatting>
  <conditionalFormatting sqref="AJ241">
    <cfRule type="expression" dxfId="633" priority="63">
      <formula>IF(NOT(AJ$218),1,0)</formula>
    </cfRule>
  </conditionalFormatting>
  <conditionalFormatting sqref="V131">
    <cfRule type="expression" dxfId="632" priority="50">
      <formula>IF(NoColor,1,0)</formula>
    </cfRule>
  </conditionalFormatting>
  <conditionalFormatting sqref="P217:Q217">
    <cfRule type="expression" dxfId="631" priority="49">
      <formula>IF(NoColor,1,0)</formula>
    </cfRule>
  </conditionalFormatting>
  <conditionalFormatting sqref="R217:S217">
    <cfRule type="expression" dxfId="630" priority="48">
      <formula>IF(NoColor,1,0)</formula>
    </cfRule>
  </conditionalFormatting>
  <conditionalFormatting sqref="T217:U217">
    <cfRule type="expression" dxfId="629" priority="47">
      <formula>IF(NoColor,1,0)</formula>
    </cfRule>
  </conditionalFormatting>
  <conditionalFormatting sqref="V217:W217">
    <cfRule type="expression" dxfId="628" priority="46">
      <formula>IF(NoColor,1,0)</formula>
    </cfRule>
  </conditionalFormatting>
  <conditionalFormatting sqref="AJ156:AP156">
    <cfRule type="expression" dxfId="627" priority="45">
      <formula>IF(NoColor,1,0)</formula>
    </cfRule>
  </conditionalFormatting>
  <conditionalFormatting sqref="AJ161:AP161">
    <cfRule type="expression" dxfId="626" priority="44">
      <formula>IF(NoColor,1,0)</formula>
    </cfRule>
  </conditionalFormatting>
  <conditionalFormatting sqref="AJ163:AP163">
    <cfRule type="expression" dxfId="625" priority="43">
      <formula>IF(NoColor,1,0)</formula>
    </cfRule>
  </conditionalFormatting>
  <conditionalFormatting sqref="AJ167:AP167">
    <cfRule type="expression" dxfId="624" priority="42">
      <formula>IF(NoColor,1,0)</formula>
    </cfRule>
  </conditionalFormatting>
  <conditionalFormatting sqref="AJ173:AP173">
    <cfRule type="expression" dxfId="623" priority="41">
      <formula>IF(NoColor,1,0)</formula>
    </cfRule>
  </conditionalFormatting>
  <conditionalFormatting sqref="AJ175:AP175">
    <cfRule type="expression" dxfId="622" priority="40">
      <formula>IF(NoColor,1,0)</formula>
    </cfRule>
  </conditionalFormatting>
  <conditionalFormatting sqref="AJ177:AP177">
    <cfRule type="expression" dxfId="621" priority="39">
      <formula>IF(NoColor,1,0)</formula>
    </cfRule>
  </conditionalFormatting>
  <conditionalFormatting sqref="AJ165:AP165">
    <cfRule type="expression" dxfId="620" priority="38">
      <formula>IF(NoColor,1,0)</formula>
    </cfRule>
  </conditionalFormatting>
  <conditionalFormatting sqref="AJ185:AP185">
    <cfRule type="expression" dxfId="619" priority="37">
      <formula>IF(NoColor,1,0)</formula>
    </cfRule>
  </conditionalFormatting>
  <conditionalFormatting sqref="AJ188:AP188">
    <cfRule type="expression" dxfId="618" priority="36">
      <formula>IF(NoColor,1,0)</formula>
    </cfRule>
  </conditionalFormatting>
  <conditionalFormatting sqref="AC33">
    <cfRule type="expression" dxfId="617" priority="35">
      <formula>IF(NoColor,1,0)</formula>
    </cfRule>
  </conditionalFormatting>
  <conditionalFormatting sqref="AC49">
    <cfRule type="expression" dxfId="616" priority="34">
      <formula>IF(NoColor,1,0)</formula>
    </cfRule>
  </conditionalFormatting>
  <conditionalFormatting sqref="T192:U192">
    <cfRule type="expression" dxfId="615" priority="31">
      <formula>IF(NoColor,1,0)</formula>
    </cfRule>
  </conditionalFormatting>
  <conditionalFormatting sqref="V192:W192">
    <cfRule type="expression" dxfId="614" priority="30">
      <formula>IF(NoColor,1,0)</formula>
    </cfRule>
  </conditionalFormatting>
  <conditionalFormatting sqref="W65">
    <cfRule type="expression" dxfId="613" priority="29">
      <formula>IF(AND(D65&lt;&gt;"",$U$45&gt;$Q$42),TRUE,FALSE)</formula>
    </cfRule>
  </conditionalFormatting>
  <conditionalFormatting sqref="Q272:W274">
    <cfRule type="expression" dxfId="612" priority="14">
      <formula>IF($Y$278&gt;0,1,0)</formula>
    </cfRule>
  </conditionalFormatting>
  <conditionalFormatting sqref="Q278:Q325">
    <cfRule type="expression" dxfId="611" priority="12">
      <formula>IF($X278=1,1,0)</formula>
    </cfRule>
  </conditionalFormatting>
  <conditionalFormatting sqref="Q326:Q332">
    <cfRule type="expression" dxfId="610" priority="11">
      <formula>IF($X326=1,1,0)</formula>
    </cfRule>
  </conditionalFormatting>
  <conditionalFormatting sqref="D50">
    <cfRule type="expression" dxfId="609" priority="10">
      <formula>IF(NoColor,1,0)</formula>
    </cfRule>
  </conditionalFormatting>
  <conditionalFormatting sqref="O48">
    <cfRule type="expression" dxfId="608" priority="9">
      <formula>IF(B65,1,0)</formula>
    </cfRule>
  </conditionalFormatting>
  <conditionalFormatting sqref="Z71:Z75">
    <cfRule type="expression" dxfId="607" priority="8">
      <formula>IF($Y$78&lt;&gt;1,1,0)</formula>
    </cfRule>
  </conditionalFormatting>
  <conditionalFormatting sqref="T124:U124">
    <cfRule type="expression" dxfId="606" priority="6">
      <formula>IF(NoColor,1,0)</formula>
    </cfRule>
  </conditionalFormatting>
  <conditionalFormatting sqref="R124:S124">
    <cfRule type="expression" dxfId="605" priority="5">
      <formula>IF(NoColor,1,0)</formula>
    </cfRule>
  </conditionalFormatting>
  <conditionalFormatting sqref="V124:W124">
    <cfRule type="expression" dxfId="604" priority="4">
      <formula>IF(NoColor,1,0)</formula>
    </cfRule>
  </conditionalFormatting>
  <conditionalFormatting sqref="AL228">
    <cfRule type="expression" dxfId="603" priority="3">
      <formula>IF(NOT(AL$218),1,0)</formula>
    </cfRule>
  </conditionalFormatting>
  <conditionalFormatting sqref="AN228">
    <cfRule type="expression" dxfId="602" priority="2">
      <formula>IF(NOT(AN$218),1,0)</formula>
    </cfRule>
  </conditionalFormatting>
  <conditionalFormatting sqref="AP228">
    <cfRule type="expression" dxfId="601" priority="1">
      <formula>IF(NOT(AP$218),1,0)</formula>
    </cfRule>
  </conditionalFormatting>
  <hyperlinks>
    <hyperlink ref="F340:I340" r:id="rId1" display="Download Form 1040 Schedule SE"/>
    <hyperlink ref="F342:I342" r:id="rId2" display="Download Form 1040 Schedule SE Instructions"/>
    <hyperlink ref="F340:K340" r:id="rId3" display="Download Form 2210"/>
    <hyperlink ref="F342:K342" r:id="rId4" display="Download Form 2210 Instructions"/>
  </hyperlinks>
  <printOptions horizontalCentered="1"/>
  <pageMargins left="0.3" right="0.15" top="0.65" bottom="0" header="0.42" footer="0.35"/>
  <pageSetup scale="84" fitToHeight="2" orientation="portrait" horizontalDpi="4294967293" verticalDpi="4294967293" r:id="rId5"/>
  <headerFooter alignWithMargins="0"/>
  <rowBreaks count="4" manualBreakCount="4">
    <brk id="67" min="1" max="22" man="1"/>
    <brk id="109" min="1" max="22" man="1"/>
    <brk id="148" max="16383" man="1"/>
    <brk id="209" min="1" max="22" man="1"/>
  </rowBreaks>
  <drawing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64"/>
  <sheetViews>
    <sheetView zoomScaleNormal="100" workbookViewId="0">
      <selection activeCell="Q27" sqref="Q27"/>
    </sheetView>
  </sheetViews>
  <sheetFormatPr defaultRowHeight="12.75"/>
  <cols>
    <col min="1" max="1" width="2" style="64" customWidth="1"/>
    <col min="2" max="2" width="8.28515625" customWidth="1"/>
    <col min="3" max="3" width="3.140625" customWidth="1"/>
    <col min="4" max="4" width="5.7109375" customWidth="1"/>
    <col min="5" max="5" width="6.7109375" customWidth="1"/>
    <col min="6" max="6" width="8.7109375" customWidth="1"/>
    <col min="7" max="7" width="8" customWidth="1"/>
    <col min="8" max="8" width="6" customWidth="1"/>
    <col min="9" max="9" width="6.5703125" customWidth="1"/>
    <col min="10" max="10" width="9.5703125" customWidth="1"/>
    <col min="11" max="11" width="12.140625" customWidth="1"/>
    <col min="12" max="12" width="3.5703125" customWidth="1"/>
    <col min="13" max="13" width="13.28515625" customWidth="1"/>
    <col min="14" max="14" width="5.5703125" customWidth="1"/>
    <col min="15" max="15" width="19.7109375" customWidth="1"/>
    <col min="16" max="16" width="6.140625" customWidth="1"/>
    <col min="17" max="17" width="14.85546875" customWidth="1"/>
    <col min="19" max="19" width="3.85546875" customWidth="1"/>
    <col min="20" max="20" width="16.85546875" customWidth="1"/>
    <col min="21" max="24" width="10.28515625" customWidth="1"/>
    <col min="259" max="259" width="2" customWidth="1"/>
    <col min="260" max="260" width="8.28515625" customWidth="1"/>
    <col min="261" max="261" width="15.42578125" customWidth="1"/>
    <col min="262" max="262" width="8.7109375" customWidth="1"/>
    <col min="263" max="263" width="8" customWidth="1"/>
    <col min="264" max="264" width="6" customWidth="1"/>
    <col min="265" max="265" width="6.5703125" customWidth="1"/>
    <col min="266" max="266" width="9.5703125" customWidth="1"/>
    <col min="267" max="267" width="11.5703125" customWidth="1"/>
    <col min="268" max="268" width="3.5703125" customWidth="1"/>
    <col min="269" max="269" width="13.85546875" customWidth="1"/>
    <col min="270" max="270" width="5.5703125" customWidth="1"/>
    <col min="271" max="271" width="19.7109375" customWidth="1"/>
    <col min="272" max="272" width="2.140625" customWidth="1"/>
    <col min="273" max="273" width="13.5703125" customWidth="1"/>
    <col min="515" max="515" width="2" customWidth="1"/>
    <col min="516" max="516" width="8.28515625" customWidth="1"/>
    <col min="517" max="517" width="15.42578125" customWidth="1"/>
    <col min="518" max="518" width="8.7109375" customWidth="1"/>
    <col min="519" max="519" width="8" customWidth="1"/>
    <col min="520" max="520" width="6" customWidth="1"/>
    <col min="521" max="521" width="6.5703125" customWidth="1"/>
    <col min="522" max="522" width="9.5703125" customWidth="1"/>
    <col min="523" max="523" width="11.5703125" customWidth="1"/>
    <col min="524" max="524" width="3.5703125" customWidth="1"/>
    <col min="525" max="525" width="13.85546875" customWidth="1"/>
    <col min="526" max="526" width="5.5703125" customWidth="1"/>
    <col min="527" max="527" width="19.7109375" customWidth="1"/>
    <col min="528" max="528" width="2.140625" customWidth="1"/>
    <col min="529" max="529" width="13.5703125" customWidth="1"/>
    <col min="771" max="771" width="2" customWidth="1"/>
    <col min="772" max="772" width="8.28515625" customWidth="1"/>
    <col min="773" max="773" width="15.42578125" customWidth="1"/>
    <col min="774" max="774" width="8.7109375" customWidth="1"/>
    <col min="775" max="775" width="8" customWidth="1"/>
    <col min="776" max="776" width="6" customWidth="1"/>
    <col min="777" max="777" width="6.5703125" customWidth="1"/>
    <col min="778" max="778" width="9.5703125" customWidth="1"/>
    <col min="779" max="779" width="11.5703125" customWidth="1"/>
    <col min="780" max="780" width="3.5703125" customWidth="1"/>
    <col min="781" max="781" width="13.85546875" customWidth="1"/>
    <col min="782" max="782" width="5.5703125" customWidth="1"/>
    <col min="783" max="783" width="19.7109375" customWidth="1"/>
    <col min="784" max="784" width="2.140625" customWidth="1"/>
    <col min="785" max="785" width="13.5703125" customWidth="1"/>
    <col min="1027" max="1027" width="2" customWidth="1"/>
    <col min="1028" max="1028" width="8.28515625" customWidth="1"/>
    <col min="1029" max="1029" width="15.42578125" customWidth="1"/>
    <col min="1030" max="1030" width="8.7109375" customWidth="1"/>
    <col min="1031" max="1031" width="8" customWidth="1"/>
    <col min="1032" max="1032" width="6" customWidth="1"/>
    <col min="1033" max="1033" width="6.5703125" customWidth="1"/>
    <col min="1034" max="1034" width="9.5703125" customWidth="1"/>
    <col min="1035" max="1035" width="11.5703125" customWidth="1"/>
    <col min="1036" max="1036" width="3.5703125" customWidth="1"/>
    <col min="1037" max="1037" width="13.85546875" customWidth="1"/>
    <col min="1038" max="1038" width="5.5703125" customWidth="1"/>
    <col min="1039" max="1039" width="19.7109375" customWidth="1"/>
    <col min="1040" max="1040" width="2.140625" customWidth="1"/>
    <col min="1041" max="1041" width="13.5703125" customWidth="1"/>
    <col min="1283" max="1283" width="2" customWidth="1"/>
    <col min="1284" max="1284" width="8.28515625" customWidth="1"/>
    <col min="1285" max="1285" width="15.42578125" customWidth="1"/>
    <col min="1286" max="1286" width="8.7109375" customWidth="1"/>
    <col min="1287" max="1287" width="8" customWidth="1"/>
    <col min="1288" max="1288" width="6" customWidth="1"/>
    <col min="1289" max="1289" width="6.5703125" customWidth="1"/>
    <col min="1290" max="1290" width="9.5703125" customWidth="1"/>
    <col min="1291" max="1291" width="11.5703125" customWidth="1"/>
    <col min="1292" max="1292" width="3.5703125" customWidth="1"/>
    <col min="1293" max="1293" width="13.85546875" customWidth="1"/>
    <col min="1294" max="1294" width="5.5703125" customWidth="1"/>
    <col min="1295" max="1295" width="19.7109375" customWidth="1"/>
    <col min="1296" max="1296" width="2.140625" customWidth="1"/>
    <col min="1297" max="1297" width="13.5703125" customWidth="1"/>
    <col min="1539" max="1539" width="2" customWidth="1"/>
    <col min="1540" max="1540" width="8.28515625" customWidth="1"/>
    <col min="1541" max="1541" width="15.42578125" customWidth="1"/>
    <col min="1542" max="1542" width="8.7109375" customWidth="1"/>
    <col min="1543" max="1543" width="8" customWidth="1"/>
    <col min="1544" max="1544" width="6" customWidth="1"/>
    <col min="1545" max="1545" width="6.5703125" customWidth="1"/>
    <col min="1546" max="1546" width="9.5703125" customWidth="1"/>
    <col min="1547" max="1547" width="11.5703125" customWidth="1"/>
    <col min="1548" max="1548" width="3.5703125" customWidth="1"/>
    <col min="1549" max="1549" width="13.85546875" customWidth="1"/>
    <col min="1550" max="1550" width="5.5703125" customWidth="1"/>
    <col min="1551" max="1551" width="19.7109375" customWidth="1"/>
    <col min="1552" max="1552" width="2.140625" customWidth="1"/>
    <col min="1553" max="1553" width="13.5703125" customWidth="1"/>
    <col min="1795" max="1795" width="2" customWidth="1"/>
    <col min="1796" max="1796" width="8.28515625" customWidth="1"/>
    <col min="1797" max="1797" width="15.42578125" customWidth="1"/>
    <col min="1798" max="1798" width="8.7109375" customWidth="1"/>
    <col min="1799" max="1799" width="8" customWidth="1"/>
    <col min="1800" max="1800" width="6" customWidth="1"/>
    <col min="1801" max="1801" width="6.5703125" customWidth="1"/>
    <col min="1802" max="1802" width="9.5703125" customWidth="1"/>
    <col min="1803" max="1803" width="11.5703125" customWidth="1"/>
    <col min="1804" max="1804" width="3.5703125" customWidth="1"/>
    <col min="1805" max="1805" width="13.85546875" customWidth="1"/>
    <col min="1806" max="1806" width="5.5703125" customWidth="1"/>
    <col min="1807" max="1807" width="19.7109375" customWidth="1"/>
    <col min="1808" max="1808" width="2.140625" customWidth="1"/>
    <col min="1809" max="1809" width="13.5703125" customWidth="1"/>
    <col min="2051" max="2051" width="2" customWidth="1"/>
    <col min="2052" max="2052" width="8.28515625" customWidth="1"/>
    <col min="2053" max="2053" width="15.42578125" customWidth="1"/>
    <col min="2054" max="2054" width="8.7109375" customWidth="1"/>
    <col min="2055" max="2055" width="8" customWidth="1"/>
    <col min="2056" max="2056" width="6" customWidth="1"/>
    <col min="2057" max="2057" width="6.5703125" customWidth="1"/>
    <col min="2058" max="2058" width="9.5703125" customWidth="1"/>
    <col min="2059" max="2059" width="11.5703125" customWidth="1"/>
    <col min="2060" max="2060" width="3.5703125" customWidth="1"/>
    <col min="2061" max="2061" width="13.85546875" customWidth="1"/>
    <col min="2062" max="2062" width="5.5703125" customWidth="1"/>
    <col min="2063" max="2063" width="19.7109375" customWidth="1"/>
    <col min="2064" max="2064" width="2.140625" customWidth="1"/>
    <col min="2065" max="2065" width="13.5703125" customWidth="1"/>
    <col min="2307" max="2307" width="2" customWidth="1"/>
    <col min="2308" max="2308" width="8.28515625" customWidth="1"/>
    <col min="2309" max="2309" width="15.42578125" customWidth="1"/>
    <col min="2310" max="2310" width="8.7109375" customWidth="1"/>
    <col min="2311" max="2311" width="8" customWidth="1"/>
    <col min="2312" max="2312" width="6" customWidth="1"/>
    <col min="2313" max="2313" width="6.5703125" customWidth="1"/>
    <col min="2314" max="2314" width="9.5703125" customWidth="1"/>
    <col min="2315" max="2315" width="11.5703125" customWidth="1"/>
    <col min="2316" max="2316" width="3.5703125" customWidth="1"/>
    <col min="2317" max="2317" width="13.85546875" customWidth="1"/>
    <col min="2318" max="2318" width="5.5703125" customWidth="1"/>
    <col min="2319" max="2319" width="19.7109375" customWidth="1"/>
    <col min="2320" max="2320" width="2.140625" customWidth="1"/>
    <col min="2321" max="2321" width="13.5703125" customWidth="1"/>
    <col min="2563" max="2563" width="2" customWidth="1"/>
    <col min="2564" max="2564" width="8.28515625" customWidth="1"/>
    <col min="2565" max="2565" width="15.42578125" customWidth="1"/>
    <col min="2566" max="2566" width="8.7109375" customWidth="1"/>
    <col min="2567" max="2567" width="8" customWidth="1"/>
    <col min="2568" max="2568" width="6" customWidth="1"/>
    <col min="2569" max="2569" width="6.5703125" customWidth="1"/>
    <col min="2570" max="2570" width="9.5703125" customWidth="1"/>
    <col min="2571" max="2571" width="11.5703125" customWidth="1"/>
    <col min="2572" max="2572" width="3.5703125" customWidth="1"/>
    <col min="2573" max="2573" width="13.85546875" customWidth="1"/>
    <col min="2574" max="2574" width="5.5703125" customWidth="1"/>
    <col min="2575" max="2575" width="19.7109375" customWidth="1"/>
    <col min="2576" max="2576" width="2.140625" customWidth="1"/>
    <col min="2577" max="2577" width="13.5703125" customWidth="1"/>
    <col min="2819" max="2819" width="2" customWidth="1"/>
    <col min="2820" max="2820" width="8.28515625" customWidth="1"/>
    <col min="2821" max="2821" width="15.42578125" customWidth="1"/>
    <col min="2822" max="2822" width="8.7109375" customWidth="1"/>
    <col min="2823" max="2823" width="8" customWidth="1"/>
    <col min="2824" max="2824" width="6" customWidth="1"/>
    <col min="2825" max="2825" width="6.5703125" customWidth="1"/>
    <col min="2826" max="2826" width="9.5703125" customWidth="1"/>
    <col min="2827" max="2827" width="11.5703125" customWidth="1"/>
    <col min="2828" max="2828" width="3.5703125" customWidth="1"/>
    <col min="2829" max="2829" width="13.85546875" customWidth="1"/>
    <col min="2830" max="2830" width="5.5703125" customWidth="1"/>
    <col min="2831" max="2831" width="19.7109375" customWidth="1"/>
    <col min="2832" max="2832" width="2.140625" customWidth="1"/>
    <col min="2833" max="2833" width="13.5703125" customWidth="1"/>
    <col min="3075" max="3075" width="2" customWidth="1"/>
    <col min="3076" max="3076" width="8.28515625" customWidth="1"/>
    <col min="3077" max="3077" width="15.42578125" customWidth="1"/>
    <col min="3078" max="3078" width="8.7109375" customWidth="1"/>
    <col min="3079" max="3079" width="8" customWidth="1"/>
    <col min="3080" max="3080" width="6" customWidth="1"/>
    <col min="3081" max="3081" width="6.5703125" customWidth="1"/>
    <col min="3082" max="3082" width="9.5703125" customWidth="1"/>
    <col min="3083" max="3083" width="11.5703125" customWidth="1"/>
    <col min="3084" max="3084" width="3.5703125" customWidth="1"/>
    <col min="3085" max="3085" width="13.85546875" customWidth="1"/>
    <col min="3086" max="3086" width="5.5703125" customWidth="1"/>
    <col min="3087" max="3087" width="19.7109375" customWidth="1"/>
    <col min="3088" max="3088" width="2.140625" customWidth="1"/>
    <col min="3089" max="3089" width="13.5703125" customWidth="1"/>
    <col min="3331" max="3331" width="2" customWidth="1"/>
    <col min="3332" max="3332" width="8.28515625" customWidth="1"/>
    <col min="3333" max="3333" width="15.42578125" customWidth="1"/>
    <col min="3334" max="3334" width="8.7109375" customWidth="1"/>
    <col min="3335" max="3335" width="8" customWidth="1"/>
    <col min="3336" max="3336" width="6" customWidth="1"/>
    <col min="3337" max="3337" width="6.5703125" customWidth="1"/>
    <col min="3338" max="3338" width="9.5703125" customWidth="1"/>
    <col min="3339" max="3339" width="11.5703125" customWidth="1"/>
    <col min="3340" max="3340" width="3.5703125" customWidth="1"/>
    <col min="3341" max="3341" width="13.85546875" customWidth="1"/>
    <col min="3342" max="3342" width="5.5703125" customWidth="1"/>
    <col min="3343" max="3343" width="19.7109375" customWidth="1"/>
    <col min="3344" max="3344" width="2.140625" customWidth="1"/>
    <col min="3345" max="3345" width="13.5703125" customWidth="1"/>
    <col min="3587" max="3587" width="2" customWidth="1"/>
    <col min="3588" max="3588" width="8.28515625" customWidth="1"/>
    <col min="3589" max="3589" width="15.42578125" customWidth="1"/>
    <col min="3590" max="3590" width="8.7109375" customWidth="1"/>
    <col min="3591" max="3591" width="8" customWidth="1"/>
    <col min="3592" max="3592" width="6" customWidth="1"/>
    <col min="3593" max="3593" width="6.5703125" customWidth="1"/>
    <col min="3594" max="3594" width="9.5703125" customWidth="1"/>
    <col min="3595" max="3595" width="11.5703125" customWidth="1"/>
    <col min="3596" max="3596" width="3.5703125" customWidth="1"/>
    <col min="3597" max="3597" width="13.85546875" customWidth="1"/>
    <col min="3598" max="3598" width="5.5703125" customWidth="1"/>
    <col min="3599" max="3599" width="19.7109375" customWidth="1"/>
    <col min="3600" max="3600" width="2.140625" customWidth="1"/>
    <col min="3601" max="3601" width="13.5703125" customWidth="1"/>
    <col min="3843" max="3843" width="2" customWidth="1"/>
    <col min="3844" max="3844" width="8.28515625" customWidth="1"/>
    <col min="3845" max="3845" width="15.42578125" customWidth="1"/>
    <col min="3846" max="3846" width="8.7109375" customWidth="1"/>
    <col min="3847" max="3847" width="8" customWidth="1"/>
    <col min="3848" max="3848" width="6" customWidth="1"/>
    <col min="3849" max="3849" width="6.5703125" customWidth="1"/>
    <col min="3850" max="3850" width="9.5703125" customWidth="1"/>
    <col min="3851" max="3851" width="11.5703125" customWidth="1"/>
    <col min="3852" max="3852" width="3.5703125" customWidth="1"/>
    <col min="3853" max="3853" width="13.85546875" customWidth="1"/>
    <col min="3854" max="3854" width="5.5703125" customWidth="1"/>
    <col min="3855" max="3855" width="19.7109375" customWidth="1"/>
    <col min="3856" max="3856" width="2.140625" customWidth="1"/>
    <col min="3857" max="3857" width="13.5703125" customWidth="1"/>
    <col min="4099" max="4099" width="2" customWidth="1"/>
    <col min="4100" max="4100" width="8.28515625" customWidth="1"/>
    <col min="4101" max="4101" width="15.42578125" customWidth="1"/>
    <col min="4102" max="4102" width="8.7109375" customWidth="1"/>
    <col min="4103" max="4103" width="8" customWidth="1"/>
    <col min="4104" max="4104" width="6" customWidth="1"/>
    <col min="4105" max="4105" width="6.5703125" customWidth="1"/>
    <col min="4106" max="4106" width="9.5703125" customWidth="1"/>
    <col min="4107" max="4107" width="11.5703125" customWidth="1"/>
    <col min="4108" max="4108" width="3.5703125" customWidth="1"/>
    <col min="4109" max="4109" width="13.85546875" customWidth="1"/>
    <col min="4110" max="4110" width="5.5703125" customWidth="1"/>
    <col min="4111" max="4111" width="19.7109375" customWidth="1"/>
    <col min="4112" max="4112" width="2.140625" customWidth="1"/>
    <col min="4113" max="4113" width="13.5703125" customWidth="1"/>
    <col min="4355" max="4355" width="2" customWidth="1"/>
    <col min="4356" max="4356" width="8.28515625" customWidth="1"/>
    <col min="4357" max="4357" width="15.42578125" customWidth="1"/>
    <col min="4358" max="4358" width="8.7109375" customWidth="1"/>
    <col min="4359" max="4359" width="8" customWidth="1"/>
    <col min="4360" max="4360" width="6" customWidth="1"/>
    <col min="4361" max="4361" width="6.5703125" customWidth="1"/>
    <col min="4362" max="4362" width="9.5703125" customWidth="1"/>
    <col min="4363" max="4363" width="11.5703125" customWidth="1"/>
    <col min="4364" max="4364" width="3.5703125" customWidth="1"/>
    <col min="4365" max="4365" width="13.85546875" customWidth="1"/>
    <col min="4366" max="4366" width="5.5703125" customWidth="1"/>
    <col min="4367" max="4367" width="19.7109375" customWidth="1"/>
    <col min="4368" max="4368" width="2.140625" customWidth="1"/>
    <col min="4369" max="4369" width="13.5703125" customWidth="1"/>
    <col min="4611" max="4611" width="2" customWidth="1"/>
    <col min="4612" max="4612" width="8.28515625" customWidth="1"/>
    <col min="4613" max="4613" width="15.42578125" customWidth="1"/>
    <col min="4614" max="4614" width="8.7109375" customWidth="1"/>
    <col min="4615" max="4615" width="8" customWidth="1"/>
    <col min="4616" max="4616" width="6" customWidth="1"/>
    <col min="4617" max="4617" width="6.5703125" customWidth="1"/>
    <col min="4618" max="4618" width="9.5703125" customWidth="1"/>
    <col min="4619" max="4619" width="11.5703125" customWidth="1"/>
    <col min="4620" max="4620" width="3.5703125" customWidth="1"/>
    <col min="4621" max="4621" width="13.85546875" customWidth="1"/>
    <col min="4622" max="4622" width="5.5703125" customWidth="1"/>
    <col min="4623" max="4623" width="19.7109375" customWidth="1"/>
    <col min="4624" max="4624" width="2.140625" customWidth="1"/>
    <col min="4625" max="4625" width="13.5703125" customWidth="1"/>
    <col min="4867" max="4867" width="2" customWidth="1"/>
    <col min="4868" max="4868" width="8.28515625" customWidth="1"/>
    <col min="4869" max="4869" width="15.42578125" customWidth="1"/>
    <col min="4870" max="4870" width="8.7109375" customWidth="1"/>
    <col min="4871" max="4871" width="8" customWidth="1"/>
    <col min="4872" max="4872" width="6" customWidth="1"/>
    <col min="4873" max="4873" width="6.5703125" customWidth="1"/>
    <col min="4874" max="4874" width="9.5703125" customWidth="1"/>
    <col min="4875" max="4875" width="11.5703125" customWidth="1"/>
    <col min="4876" max="4876" width="3.5703125" customWidth="1"/>
    <col min="4877" max="4877" width="13.85546875" customWidth="1"/>
    <col min="4878" max="4878" width="5.5703125" customWidth="1"/>
    <col min="4879" max="4879" width="19.7109375" customWidth="1"/>
    <col min="4880" max="4880" width="2.140625" customWidth="1"/>
    <col min="4881" max="4881" width="13.5703125" customWidth="1"/>
    <col min="5123" max="5123" width="2" customWidth="1"/>
    <col min="5124" max="5124" width="8.28515625" customWidth="1"/>
    <col min="5125" max="5125" width="15.42578125" customWidth="1"/>
    <col min="5126" max="5126" width="8.7109375" customWidth="1"/>
    <col min="5127" max="5127" width="8" customWidth="1"/>
    <col min="5128" max="5128" width="6" customWidth="1"/>
    <col min="5129" max="5129" width="6.5703125" customWidth="1"/>
    <col min="5130" max="5130" width="9.5703125" customWidth="1"/>
    <col min="5131" max="5131" width="11.5703125" customWidth="1"/>
    <col min="5132" max="5132" width="3.5703125" customWidth="1"/>
    <col min="5133" max="5133" width="13.85546875" customWidth="1"/>
    <col min="5134" max="5134" width="5.5703125" customWidth="1"/>
    <col min="5135" max="5135" width="19.7109375" customWidth="1"/>
    <col min="5136" max="5136" width="2.140625" customWidth="1"/>
    <col min="5137" max="5137" width="13.5703125" customWidth="1"/>
    <col min="5379" max="5379" width="2" customWidth="1"/>
    <col min="5380" max="5380" width="8.28515625" customWidth="1"/>
    <col min="5381" max="5381" width="15.42578125" customWidth="1"/>
    <col min="5382" max="5382" width="8.7109375" customWidth="1"/>
    <col min="5383" max="5383" width="8" customWidth="1"/>
    <col min="5384" max="5384" width="6" customWidth="1"/>
    <col min="5385" max="5385" width="6.5703125" customWidth="1"/>
    <col min="5386" max="5386" width="9.5703125" customWidth="1"/>
    <col min="5387" max="5387" width="11.5703125" customWidth="1"/>
    <col min="5388" max="5388" width="3.5703125" customWidth="1"/>
    <col min="5389" max="5389" width="13.85546875" customWidth="1"/>
    <col min="5390" max="5390" width="5.5703125" customWidth="1"/>
    <col min="5391" max="5391" width="19.7109375" customWidth="1"/>
    <col min="5392" max="5392" width="2.140625" customWidth="1"/>
    <col min="5393" max="5393" width="13.5703125" customWidth="1"/>
    <col min="5635" max="5635" width="2" customWidth="1"/>
    <col min="5636" max="5636" width="8.28515625" customWidth="1"/>
    <col min="5637" max="5637" width="15.42578125" customWidth="1"/>
    <col min="5638" max="5638" width="8.7109375" customWidth="1"/>
    <col min="5639" max="5639" width="8" customWidth="1"/>
    <col min="5640" max="5640" width="6" customWidth="1"/>
    <col min="5641" max="5641" width="6.5703125" customWidth="1"/>
    <col min="5642" max="5642" width="9.5703125" customWidth="1"/>
    <col min="5643" max="5643" width="11.5703125" customWidth="1"/>
    <col min="5644" max="5644" width="3.5703125" customWidth="1"/>
    <col min="5645" max="5645" width="13.85546875" customWidth="1"/>
    <col min="5646" max="5646" width="5.5703125" customWidth="1"/>
    <col min="5647" max="5647" width="19.7109375" customWidth="1"/>
    <col min="5648" max="5648" width="2.140625" customWidth="1"/>
    <col min="5649" max="5649" width="13.5703125" customWidth="1"/>
    <col min="5891" max="5891" width="2" customWidth="1"/>
    <col min="5892" max="5892" width="8.28515625" customWidth="1"/>
    <col min="5893" max="5893" width="15.42578125" customWidth="1"/>
    <col min="5894" max="5894" width="8.7109375" customWidth="1"/>
    <col min="5895" max="5895" width="8" customWidth="1"/>
    <col min="5896" max="5896" width="6" customWidth="1"/>
    <col min="5897" max="5897" width="6.5703125" customWidth="1"/>
    <col min="5898" max="5898" width="9.5703125" customWidth="1"/>
    <col min="5899" max="5899" width="11.5703125" customWidth="1"/>
    <col min="5900" max="5900" width="3.5703125" customWidth="1"/>
    <col min="5901" max="5901" width="13.85546875" customWidth="1"/>
    <col min="5902" max="5902" width="5.5703125" customWidth="1"/>
    <col min="5903" max="5903" width="19.7109375" customWidth="1"/>
    <col min="5904" max="5904" width="2.140625" customWidth="1"/>
    <col min="5905" max="5905" width="13.5703125" customWidth="1"/>
    <col min="6147" max="6147" width="2" customWidth="1"/>
    <col min="6148" max="6148" width="8.28515625" customWidth="1"/>
    <col min="6149" max="6149" width="15.42578125" customWidth="1"/>
    <col min="6150" max="6150" width="8.7109375" customWidth="1"/>
    <col min="6151" max="6151" width="8" customWidth="1"/>
    <col min="6152" max="6152" width="6" customWidth="1"/>
    <col min="6153" max="6153" width="6.5703125" customWidth="1"/>
    <col min="6154" max="6154" width="9.5703125" customWidth="1"/>
    <col min="6155" max="6155" width="11.5703125" customWidth="1"/>
    <col min="6156" max="6156" width="3.5703125" customWidth="1"/>
    <col min="6157" max="6157" width="13.85546875" customWidth="1"/>
    <col min="6158" max="6158" width="5.5703125" customWidth="1"/>
    <col min="6159" max="6159" width="19.7109375" customWidth="1"/>
    <col min="6160" max="6160" width="2.140625" customWidth="1"/>
    <col min="6161" max="6161" width="13.5703125" customWidth="1"/>
    <col min="6403" max="6403" width="2" customWidth="1"/>
    <col min="6404" max="6404" width="8.28515625" customWidth="1"/>
    <col min="6405" max="6405" width="15.42578125" customWidth="1"/>
    <col min="6406" max="6406" width="8.7109375" customWidth="1"/>
    <col min="6407" max="6407" width="8" customWidth="1"/>
    <col min="6408" max="6408" width="6" customWidth="1"/>
    <col min="6409" max="6409" width="6.5703125" customWidth="1"/>
    <col min="6410" max="6410" width="9.5703125" customWidth="1"/>
    <col min="6411" max="6411" width="11.5703125" customWidth="1"/>
    <col min="6412" max="6412" width="3.5703125" customWidth="1"/>
    <col min="6413" max="6413" width="13.85546875" customWidth="1"/>
    <col min="6414" max="6414" width="5.5703125" customWidth="1"/>
    <col min="6415" max="6415" width="19.7109375" customWidth="1"/>
    <col min="6416" max="6416" width="2.140625" customWidth="1"/>
    <col min="6417" max="6417" width="13.5703125" customWidth="1"/>
    <col min="6659" max="6659" width="2" customWidth="1"/>
    <col min="6660" max="6660" width="8.28515625" customWidth="1"/>
    <col min="6661" max="6661" width="15.42578125" customWidth="1"/>
    <col min="6662" max="6662" width="8.7109375" customWidth="1"/>
    <col min="6663" max="6663" width="8" customWidth="1"/>
    <col min="6664" max="6664" width="6" customWidth="1"/>
    <col min="6665" max="6665" width="6.5703125" customWidth="1"/>
    <col min="6666" max="6666" width="9.5703125" customWidth="1"/>
    <col min="6667" max="6667" width="11.5703125" customWidth="1"/>
    <col min="6668" max="6668" width="3.5703125" customWidth="1"/>
    <col min="6669" max="6669" width="13.85546875" customWidth="1"/>
    <col min="6670" max="6670" width="5.5703125" customWidth="1"/>
    <col min="6671" max="6671" width="19.7109375" customWidth="1"/>
    <col min="6672" max="6672" width="2.140625" customWidth="1"/>
    <col min="6673" max="6673" width="13.5703125" customWidth="1"/>
    <col min="6915" max="6915" width="2" customWidth="1"/>
    <col min="6916" max="6916" width="8.28515625" customWidth="1"/>
    <col min="6917" max="6917" width="15.42578125" customWidth="1"/>
    <col min="6918" max="6918" width="8.7109375" customWidth="1"/>
    <col min="6919" max="6919" width="8" customWidth="1"/>
    <col min="6920" max="6920" width="6" customWidth="1"/>
    <col min="6921" max="6921" width="6.5703125" customWidth="1"/>
    <col min="6922" max="6922" width="9.5703125" customWidth="1"/>
    <col min="6923" max="6923" width="11.5703125" customWidth="1"/>
    <col min="6924" max="6924" width="3.5703125" customWidth="1"/>
    <col min="6925" max="6925" width="13.85546875" customWidth="1"/>
    <col min="6926" max="6926" width="5.5703125" customWidth="1"/>
    <col min="6927" max="6927" width="19.7109375" customWidth="1"/>
    <col min="6928" max="6928" width="2.140625" customWidth="1"/>
    <col min="6929" max="6929" width="13.5703125" customWidth="1"/>
    <col min="7171" max="7171" width="2" customWidth="1"/>
    <col min="7172" max="7172" width="8.28515625" customWidth="1"/>
    <col min="7173" max="7173" width="15.42578125" customWidth="1"/>
    <col min="7174" max="7174" width="8.7109375" customWidth="1"/>
    <col min="7175" max="7175" width="8" customWidth="1"/>
    <col min="7176" max="7176" width="6" customWidth="1"/>
    <col min="7177" max="7177" width="6.5703125" customWidth="1"/>
    <col min="7178" max="7178" width="9.5703125" customWidth="1"/>
    <col min="7179" max="7179" width="11.5703125" customWidth="1"/>
    <col min="7180" max="7180" width="3.5703125" customWidth="1"/>
    <col min="7181" max="7181" width="13.85546875" customWidth="1"/>
    <col min="7182" max="7182" width="5.5703125" customWidth="1"/>
    <col min="7183" max="7183" width="19.7109375" customWidth="1"/>
    <col min="7184" max="7184" width="2.140625" customWidth="1"/>
    <col min="7185" max="7185" width="13.5703125" customWidth="1"/>
    <col min="7427" max="7427" width="2" customWidth="1"/>
    <col min="7428" max="7428" width="8.28515625" customWidth="1"/>
    <col min="7429" max="7429" width="15.42578125" customWidth="1"/>
    <col min="7430" max="7430" width="8.7109375" customWidth="1"/>
    <col min="7431" max="7431" width="8" customWidth="1"/>
    <col min="7432" max="7432" width="6" customWidth="1"/>
    <col min="7433" max="7433" width="6.5703125" customWidth="1"/>
    <col min="7434" max="7434" width="9.5703125" customWidth="1"/>
    <col min="7435" max="7435" width="11.5703125" customWidth="1"/>
    <col min="7436" max="7436" width="3.5703125" customWidth="1"/>
    <col min="7437" max="7437" width="13.85546875" customWidth="1"/>
    <col min="7438" max="7438" width="5.5703125" customWidth="1"/>
    <col min="7439" max="7439" width="19.7109375" customWidth="1"/>
    <col min="7440" max="7440" width="2.140625" customWidth="1"/>
    <col min="7441" max="7441" width="13.5703125" customWidth="1"/>
    <col min="7683" max="7683" width="2" customWidth="1"/>
    <col min="7684" max="7684" width="8.28515625" customWidth="1"/>
    <col min="7685" max="7685" width="15.42578125" customWidth="1"/>
    <col min="7686" max="7686" width="8.7109375" customWidth="1"/>
    <col min="7687" max="7687" width="8" customWidth="1"/>
    <col min="7688" max="7688" width="6" customWidth="1"/>
    <col min="7689" max="7689" width="6.5703125" customWidth="1"/>
    <col min="7690" max="7690" width="9.5703125" customWidth="1"/>
    <col min="7691" max="7691" width="11.5703125" customWidth="1"/>
    <col min="7692" max="7692" width="3.5703125" customWidth="1"/>
    <col min="7693" max="7693" width="13.85546875" customWidth="1"/>
    <col min="7694" max="7694" width="5.5703125" customWidth="1"/>
    <col min="7695" max="7695" width="19.7109375" customWidth="1"/>
    <col min="7696" max="7696" width="2.140625" customWidth="1"/>
    <col min="7697" max="7697" width="13.5703125" customWidth="1"/>
    <col min="7939" max="7939" width="2" customWidth="1"/>
    <col min="7940" max="7940" width="8.28515625" customWidth="1"/>
    <col min="7941" max="7941" width="15.42578125" customWidth="1"/>
    <col min="7942" max="7942" width="8.7109375" customWidth="1"/>
    <col min="7943" max="7943" width="8" customWidth="1"/>
    <col min="7944" max="7944" width="6" customWidth="1"/>
    <col min="7945" max="7945" width="6.5703125" customWidth="1"/>
    <col min="7946" max="7946" width="9.5703125" customWidth="1"/>
    <col min="7947" max="7947" width="11.5703125" customWidth="1"/>
    <col min="7948" max="7948" width="3.5703125" customWidth="1"/>
    <col min="7949" max="7949" width="13.85546875" customWidth="1"/>
    <col min="7950" max="7950" width="5.5703125" customWidth="1"/>
    <col min="7951" max="7951" width="19.7109375" customWidth="1"/>
    <col min="7952" max="7952" width="2.140625" customWidth="1"/>
    <col min="7953" max="7953" width="13.5703125" customWidth="1"/>
    <col min="8195" max="8195" width="2" customWidth="1"/>
    <col min="8196" max="8196" width="8.28515625" customWidth="1"/>
    <col min="8197" max="8197" width="15.42578125" customWidth="1"/>
    <col min="8198" max="8198" width="8.7109375" customWidth="1"/>
    <col min="8199" max="8199" width="8" customWidth="1"/>
    <col min="8200" max="8200" width="6" customWidth="1"/>
    <col min="8201" max="8201" width="6.5703125" customWidth="1"/>
    <col min="8202" max="8202" width="9.5703125" customWidth="1"/>
    <col min="8203" max="8203" width="11.5703125" customWidth="1"/>
    <col min="8204" max="8204" width="3.5703125" customWidth="1"/>
    <col min="8205" max="8205" width="13.85546875" customWidth="1"/>
    <col min="8206" max="8206" width="5.5703125" customWidth="1"/>
    <col min="8207" max="8207" width="19.7109375" customWidth="1"/>
    <col min="8208" max="8208" width="2.140625" customWidth="1"/>
    <col min="8209" max="8209" width="13.5703125" customWidth="1"/>
    <col min="8451" max="8451" width="2" customWidth="1"/>
    <col min="8452" max="8452" width="8.28515625" customWidth="1"/>
    <col min="8453" max="8453" width="15.42578125" customWidth="1"/>
    <col min="8454" max="8454" width="8.7109375" customWidth="1"/>
    <col min="8455" max="8455" width="8" customWidth="1"/>
    <col min="8456" max="8456" width="6" customWidth="1"/>
    <col min="8457" max="8457" width="6.5703125" customWidth="1"/>
    <col min="8458" max="8458" width="9.5703125" customWidth="1"/>
    <col min="8459" max="8459" width="11.5703125" customWidth="1"/>
    <col min="8460" max="8460" width="3.5703125" customWidth="1"/>
    <col min="8461" max="8461" width="13.85546875" customWidth="1"/>
    <col min="8462" max="8462" width="5.5703125" customWidth="1"/>
    <col min="8463" max="8463" width="19.7109375" customWidth="1"/>
    <col min="8464" max="8464" width="2.140625" customWidth="1"/>
    <col min="8465" max="8465" width="13.5703125" customWidth="1"/>
    <col min="8707" max="8707" width="2" customWidth="1"/>
    <col min="8708" max="8708" width="8.28515625" customWidth="1"/>
    <col min="8709" max="8709" width="15.42578125" customWidth="1"/>
    <col min="8710" max="8710" width="8.7109375" customWidth="1"/>
    <col min="8711" max="8711" width="8" customWidth="1"/>
    <col min="8712" max="8712" width="6" customWidth="1"/>
    <col min="8713" max="8713" width="6.5703125" customWidth="1"/>
    <col min="8714" max="8714" width="9.5703125" customWidth="1"/>
    <col min="8715" max="8715" width="11.5703125" customWidth="1"/>
    <col min="8716" max="8716" width="3.5703125" customWidth="1"/>
    <col min="8717" max="8717" width="13.85546875" customWidth="1"/>
    <col min="8718" max="8718" width="5.5703125" customWidth="1"/>
    <col min="8719" max="8719" width="19.7109375" customWidth="1"/>
    <col min="8720" max="8720" width="2.140625" customWidth="1"/>
    <col min="8721" max="8721" width="13.5703125" customWidth="1"/>
    <col min="8963" max="8963" width="2" customWidth="1"/>
    <col min="8964" max="8964" width="8.28515625" customWidth="1"/>
    <col min="8965" max="8965" width="15.42578125" customWidth="1"/>
    <col min="8966" max="8966" width="8.7109375" customWidth="1"/>
    <col min="8967" max="8967" width="8" customWidth="1"/>
    <col min="8968" max="8968" width="6" customWidth="1"/>
    <col min="8969" max="8969" width="6.5703125" customWidth="1"/>
    <col min="8970" max="8970" width="9.5703125" customWidth="1"/>
    <col min="8971" max="8971" width="11.5703125" customWidth="1"/>
    <col min="8972" max="8972" width="3.5703125" customWidth="1"/>
    <col min="8973" max="8973" width="13.85546875" customWidth="1"/>
    <col min="8974" max="8974" width="5.5703125" customWidth="1"/>
    <col min="8975" max="8975" width="19.7109375" customWidth="1"/>
    <col min="8976" max="8976" width="2.140625" customWidth="1"/>
    <col min="8977" max="8977" width="13.5703125" customWidth="1"/>
    <col min="9219" max="9219" width="2" customWidth="1"/>
    <col min="9220" max="9220" width="8.28515625" customWidth="1"/>
    <col min="9221" max="9221" width="15.42578125" customWidth="1"/>
    <col min="9222" max="9222" width="8.7109375" customWidth="1"/>
    <col min="9223" max="9223" width="8" customWidth="1"/>
    <col min="9224" max="9224" width="6" customWidth="1"/>
    <col min="9225" max="9225" width="6.5703125" customWidth="1"/>
    <col min="9226" max="9226" width="9.5703125" customWidth="1"/>
    <col min="9227" max="9227" width="11.5703125" customWidth="1"/>
    <col min="9228" max="9228" width="3.5703125" customWidth="1"/>
    <col min="9229" max="9229" width="13.85546875" customWidth="1"/>
    <col min="9230" max="9230" width="5.5703125" customWidth="1"/>
    <col min="9231" max="9231" width="19.7109375" customWidth="1"/>
    <col min="9232" max="9232" width="2.140625" customWidth="1"/>
    <col min="9233" max="9233" width="13.5703125" customWidth="1"/>
    <col min="9475" max="9475" width="2" customWidth="1"/>
    <col min="9476" max="9476" width="8.28515625" customWidth="1"/>
    <col min="9477" max="9477" width="15.42578125" customWidth="1"/>
    <col min="9478" max="9478" width="8.7109375" customWidth="1"/>
    <col min="9479" max="9479" width="8" customWidth="1"/>
    <col min="9480" max="9480" width="6" customWidth="1"/>
    <col min="9481" max="9481" width="6.5703125" customWidth="1"/>
    <col min="9482" max="9482" width="9.5703125" customWidth="1"/>
    <col min="9483" max="9483" width="11.5703125" customWidth="1"/>
    <col min="9484" max="9484" width="3.5703125" customWidth="1"/>
    <col min="9485" max="9485" width="13.85546875" customWidth="1"/>
    <col min="9486" max="9486" width="5.5703125" customWidth="1"/>
    <col min="9487" max="9487" width="19.7109375" customWidth="1"/>
    <col min="9488" max="9488" width="2.140625" customWidth="1"/>
    <col min="9489" max="9489" width="13.5703125" customWidth="1"/>
    <col min="9731" max="9731" width="2" customWidth="1"/>
    <col min="9732" max="9732" width="8.28515625" customWidth="1"/>
    <col min="9733" max="9733" width="15.42578125" customWidth="1"/>
    <col min="9734" max="9734" width="8.7109375" customWidth="1"/>
    <col min="9735" max="9735" width="8" customWidth="1"/>
    <col min="9736" max="9736" width="6" customWidth="1"/>
    <col min="9737" max="9737" width="6.5703125" customWidth="1"/>
    <col min="9738" max="9738" width="9.5703125" customWidth="1"/>
    <col min="9739" max="9739" width="11.5703125" customWidth="1"/>
    <col min="9740" max="9740" width="3.5703125" customWidth="1"/>
    <col min="9741" max="9741" width="13.85546875" customWidth="1"/>
    <col min="9742" max="9742" width="5.5703125" customWidth="1"/>
    <col min="9743" max="9743" width="19.7109375" customWidth="1"/>
    <col min="9744" max="9744" width="2.140625" customWidth="1"/>
    <col min="9745" max="9745" width="13.5703125" customWidth="1"/>
    <col min="9987" max="9987" width="2" customWidth="1"/>
    <col min="9988" max="9988" width="8.28515625" customWidth="1"/>
    <col min="9989" max="9989" width="15.42578125" customWidth="1"/>
    <col min="9990" max="9990" width="8.7109375" customWidth="1"/>
    <col min="9991" max="9991" width="8" customWidth="1"/>
    <col min="9992" max="9992" width="6" customWidth="1"/>
    <col min="9993" max="9993" width="6.5703125" customWidth="1"/>
    <col min="9994" max="9994" width="9.5703125" customWidth="1"/>
    <col min="9995" max="9995" width="11.5703125" customWidth="1"/>
    <col min="9996" max="9996" width="3.5703125" customWidth="1"/>
    <col min="9997" max="9997" width="13.85546875" customWidth="1"/>
    <col min="9998" max="9998" width="5.5703125" customWidth="1"/>
    <col min="9999" max="9999" width="19.7109375" customWidth="1"/>
    <col min="10000" max="10000" width="2.140625" customWidth="1"/>
    <col min="10001" max="10001" width="13.5703125" customWidth="1"/>
    <col min="10243" max="10243" width="2" customWidth="1"/>
    <col min="10244" max="10244" width="8.28515625" customWidth="1"/>
    <col min="10245" max="10245" width="15.42578125" customWidth="1"/>
    <col min="10246" max="10246" width="8.7109375" customWidth="1"/>
    <col min="10247" max="10247" width="8" customWidth="1"/>
    <col min="10248" max="10248" width="6" customWidth="1"/>
    <col min="10249" max="10249" width="6.5703125" customWidth="1"/>
    <col min="10250" max="10250" width="9.5703125" customWidth="1"/>
    <col min="10251" max="10251" width="11.5703125" customWidth="1"/>
    <col min="10252" max="10252" width="3.5703125" customWidth="1"/>
    <col min="10253" max="10253" width="13.85546875" customWidth="1"/>
    <col min="10254" max="10254" width="5.5703125" customWidth="1"/>
    <col min="10255" max="10255" width="19.7109375" customWidth="1"/>
    <col min="10256" max="10256" width="2.140625" customWidth="1"/>
    <col min="10257" max="10257" width="13.5703125" customWidth="1"/>
    <col min="10499" max="10499" width="2" customWidth="1"/>
    <col min="10500" max="10500" width="8.28515625" customWidth="1"/>
    <col min="10501" max="10501" width="15.42578125" customWidth="1"/>
    <col min="10502" max="10502" width="8.7109375" customWidth="1"/>
    <col min="10503" max="10503" width="8" customWidth="1"/>
    <col min="10504" max="10504" width="6" customWidth="1"/>
    <col min="10505" max="10505" width="6.5703125" customWidth="1"/>
    <col min="10506" max="10506" width="9.5703125" customWidth="1"/>
    <col min="10507" max="10507" width="11.5703125" customWidth="1"/>
    <col min="10508" max="10508" width="3.5703125" customWidth="1"/>
    <col min="10509" max="10509" width="13.85546875" customWidth="1"/>
    <col min="10510" max="10510" width="5.5703125" customWidth="1"/>
    <col min="10511" max="10511" width="19.7109375" customWidth="1"/>
    <col min="10512" max="10512" width="2.140625" customWidth="1"/>
    <col min="10513" max="10513" width="13.5703125" customWidth="1"/>
    <col min="10755" max="10755" width="2" customWidth="1"/>
    <col min="10756" max="10756" width="8.28515625" customWidth="1"/>
    <col min="10757" max="10757" width="15.42578125" customWidth="1"/>
    <col min="10758" max="10758" width="8.7109375" customWidth="1"/>
    <col min="10759" max="10759" width="8" customWidth="1"/>
    <col min="10760" max="10760" width="6" customWidth="1"/>
    <col min="10761" max="10761" width="6.5703125" customWidth="1"/>
    <col min="10762" max="10762" width="9.5703125" customWidth="1"/>
    <col min="10763" max="10763" width="11.5703125" customWidth="1"/>
    <col min="10764" max="10764" width="3.5703125" customWidth="1"/>
    <col min="10765" max="10765" width="13.85546875" customWidth="1"/>
    <col min="10766" max="10766" width="5.5703125" customWidth="1"/>
    <col min="10767" max="10767" width="19.7109375" customWidth="1"/>
    <col min="10768" max="10768" width="2.140625" customWidth="1"/>
    <col min="10769" max="10769" width="13.5703125" customWidth="1"/>
    <col min="11011" max="11011" width="2" customWidth="1"/>
    <col min="11012" max="11012" width="8.28515625" customWidth="1"/>
    <col min="11013" max="11013" width="15.42578125" customWidth="1"/>
    <col min="11014" max="11014" width="8.7109375" customWidth="1"/>
    <col min="11015" max="11015" width="8" customWidth="1"/>
    <col min="11016" max="11016" width="6" customWidth="1"/>
    <col min="11017" max="11017" width="6.5703125" customWidth="1"/>
    <col min="11018" max="11018" width="9.5703125" customWidth="1"/>
    <col min="11019" max="11019" width="11.5703125" customWidth="1"/>
    <col min="11020" max="11020" width="3.5703125" customWidth="1"/>
    <col min="11021" max="11021" width="13.85546875" customWidth="1"/>
    <col min="11022" max="11022" width="5.5703125" customWidth="1"/>
    <col min="11023" max="11023" width="19.7109375" customWidth="1"/>
    <col min="11024" max="11024" width="2.140625" customWidth="1"/>
    <col min="11025" max="11025" width="13.5703125" customWidth="1"/>
    <col min="11267" max="11267" width="2" customWidth="1"/>
    <col min="11268" max="11268" width="8.28515625" customWidth="1"/>
    <col min="11269" max="11269" width="15.42578125" customWidth="1"/>
    <col min="11270" max="11270" width="8.7109375" customWidth="1"/>
    <col min="11271" max="11271" width="8" customWidth="1"/>
    <col min="11272" max="11272" width="6" customWidth="1"/>
    <col min="11273" max="11273" width="6.5703125" customWidth="1"/>
    <col min="11274" max="11274" width="9.5703125" customWidth="1"/>
    <col min="11275" max="11275" width="11.5703125" customWidth="1"/>
    <col min="11276" max="11276" width="3.5703125" customWidth="1"/>
    <col min="11277" max="11277" width="13.85546875" customWidth="1"/>
    <col min="11278" max="11278" width="5.5703125" customWidth="1"/>
    <col min="11279" max="11279" width="19.7109375" customWidth="1"/>
    <col min="11280" max="11280" width="2.140625" customWidth="1"/>
    <col min="11281" max="11281" width="13.5703125" customWidth="1"/>
    <col min="11523" max="11523" width="2" customWidth="1"/>
    <col min="11524" max="11524" width="8.28515625" customWidth="1"/>
    <col min="11525" max="11525" width="15.42578125" customWidth="1"/>
    <col min="11526" max="11526" width="8.7109375" customWidth="1"/>
    <col min="11527" max="11527" width="8" customWidth="1"/>
    <col min="11528" max="11528" width="6" customWidth="1"/>
    <col min="11529" max="11529" width="6.5703125" customWidth="1"/>
    <col min="11530" max="11530" width="9.5703125" customWidth="1"/>
    <col min="11531" max="11531" width="11.5703125" customWidth="1"/>
    <col min="11532" max="11532" width="3.5703125" customWidth="1"/>
    <col min="11533" max="11533" width="13.85546875" customWidth="1"/>
    <col min="11534" max="11534" width="5.5703125" customWidth="1"/>
    <col min="11535" max="11535" width="19.7109375" customWidth="1"/>
    <col min="11536" max="11536" width="2.140625" customWidth="1"/>
    <col min="11537" max="11537" width="13.5703125" customWidth="1"/>
    <col min="11779" max="11779" width="2" customWidth="1"/>
    <col min="11780" max="11780" width="8.28515625" customWidth="1"/>
    <col min="11781" max="11781" width="15.42578125" customWidth="1"/>
    <col min="11782" max="11782" width="8.7109375" customWidth="1"/>
    <col min="11783" max="11783" width="8" customWidth="1"/>
    <col min="11784" max="11784" width="6" customWidth="1"/>
    <col min="11785" max="11785" width="6.5703125" customWidth="1"/>
    <col min="11786" max="11786" width="9.5703125" customWidth="1"/>
    <col min="11787" max="11787" width="11.5703125" customWidth="1"/>
    <col min="11788" max="11788" width="3.5703125" customWidth="1"/>
    <col min="11789" max="11789" width="13.85546875" customWidth="1"/>
    <col min="11790" max="11790" width="5.5703125" customWidth="1"/>
    <col min="11791" max="11791" width="19.7109375" customWidth="1"/>
    <col min="11792" max="11792" width="2.140625" customWidth="1"/>
    <col min="11793" max="11793" width="13.5703125" customWidth="1"/>
    <col min="12035" max="12035" width="2" customWidth="1"/>
    <col min="12036" max="12036" width="8.28515625" customWidth="1"/>
    <col min="12037" max="12037" width="15.42578125" customWidth="1"/>
    <col min="12038" max="12038" width="8.7109375" customWidth="1"/>
    <col min="12039" max="12039" width="8" customWidth="1"/>
    <col min="12040" max="12040" width="6" customWidth="1"/>
    <col min="12041" max="12041" width="6.5703125" customWidth="1"/>
    <col min="12042" max="12042" width="9.5703125" customWidth="1"/>
    <col min="12043" max="12043" width="11.5703125" customWidth="1"/>
    <col min="12044" max="12044" width="3.5703125" customWidth="1"/>
    <col min="12045" max="12045" width="13.85546875" customWidth="1"/>
    <col min="12046" max="12046" width="5.5703125" customWidth="1"/>
    <col min="12047" max="12047" width="19.7109375" customWidth="1"/>
    <col min="12048" max="12048" width="2.140625" customWidth="1"/>
    <col min="12049" max="12049" width="13.5703125" customWidth="1"/>
    <col min="12291" max="12291" width="2" customWidth="1"/>
    <col min="12292" max="12292" width="8.28515625" customWidth="1"/>
    <col min="12293" max="12293" width="15.42578125" customWidth="1"/>
    <col min="12294" max="12294" width="8.7109375" customWidth="1"/>
    <col min="12295" max="12295" width="8" customWidth="1"/>
    <col min="12296" max="12296" width="6" customWidth="1"/>
    <col min="12297" max="12297" width="6.5703125" customWidth="1"/>
    <col min="12298" max="12298" width="9.5703125" customWidth="1"/>
    <col min="12299" max="12299" width="11.5703125" customWidth="1"/>
    <col min="12300" max="12300" width="3.5703125" customWidth="1"/>
    <col min="12301" max="12301" width="13.85546875" customWidth="1"/>
    <col min="12302" max="12302" width="5.5703125" customWidth="1"/>
    <col min="12303" max="12303" width="19.7109375" customWidth="1"/>
    <col min="12304" max="12304" width="2.140625" customWidth="1"/>
    <col min="12305" max="12305" width="13.5703125" customWidth="1"/>
    <col min="12547" max="12547" width="2" customWidth="1"/>
    <col min="12548" max="12548" width="8.28515625" customWidth="1"/>
    <col min="12549" max="12549" width="15.42578125" customWidth="1"/>
    <col min="12550" max="12550" width="8.7109375" customWidth="1"/>
    <col min="12551" max="12551" width="8" customWidth="1"/>
    <col min="12552" max="12552" width="6" customWidth="1"/>
    <col min="12553" max="12553" width="6.5703125" customWidth="1"/>
    <col min="12554" max="12554" width="9.5703125" customWidth="1"/>
    <col min="12555" max="12555" width="11.5703125" customWidth="1"/>
    <col min="12556" max="12556" width="3.5703125" customWidth="1"/>
    <col min="12557" max="12557" width="13.85546875" customWidth="1"/>
    <col min="12558" max="12558" width="5.5703125" customWidth="1"/>
    <col min="12559" max="12559" width="19.7109375" customWidth="1"/>
    <col min="12560" max="12560" width="2.140625" customWidth="1"/>
    <col min="12561" max="12561" width="13.5703125" customWidth="1"/>
    <col min="12803" max="12803" width="2" customWidth="1"/>
    <col min="12804" max="12804" width="8.28515625" customWidth="1"/>
    <col min="12805" max="12805" width="15.42578125" customWidth="1"/>
    <col min="12806" max="12806" width="8.7109375" customWidth="1"/>
    <col min="12807" max="12807" width="8" customWidth="1"/>
    <col min="12808" max="12808" width="6" customWidth="1"/>
    <col min="12809" max="12809" width="6.5703125" customWidth="1"/>
    <col min="12810" max="12810" width="9.5703125" customWidth="1"/>
    <col min="12811" max="12811" width="11.5703125" customWidth="1"/>
    <col min="12812" max="12812" width="3.5703125" customWidth="1"/>
    <col min="12813" max="12813" width="13.85546875" customWidth="1"/>
    <col min="12814" max="12814" width="5.5703125" customWidth="1"/>
    <col min="12815" max="12815" width="19.7109375" customWidth="1"/>
    <col min="12816" max="12816" width="2.140625" customWidth="1"/>
    <col min="12817" max="12817" width="13.5703125" customWidth="1"/>
    <col min="13059" max="13059" width="2" customWidth="1"/>
    <col min="13060" max="13060" width="8.28515625" customWidth="1"/>
    <col min="13061" max="13061" width="15.42578125" customWidth="1"/>
    <col min="13062" max="13062" width="8.7109375" customWidth="1"/>
    <col min="13063" max="13063" width="8" customWidth="1"/>
    <col min="13064" max="13064" width="6" customWidth="1"/>
    <col min="13065" max="13065" width="6.5703125" customWidth="1"/>
    <col min="13066" max="13066" width="9.5703125" customWidth="1"/>
    <col min="13067" max="13067" width="11.5703125" customWidth="1"/>
    <col min="13068" max="13068" width="3.5703125" customWidth="1"/>
    <col min="13069" max="13069" width="13.85546875" customWidth="1"/>
    <col min="13070" max="13070" width="5.5703125" customWidth="1"/>
    <col min="13071" max="13071" width="19.7109375" customWidth="1"/>
    <col min="13072" max="13072" width="2.140625" customWidth="1"/>
    <col min="13073" max="13073" width="13.5703125" customWidth="1"/>
    <col min="13315" max="13315" width="2" customWidth="1"/>
    <col min="13316" max="13316" width="8.28515625" customWidth="1"/>
    <col min="13317" max="13317" width="15.42578125" customWidth="1"/>
    <col min="13318" max="13318" width="8.7109375" customWidth="1"/>
    <col min="13319" max="13319" width="8" customWidth="1"/>
    <col min="13320" max="13320" width="6" customWidth="1"/>
    <col min="13321" max="13321" width="6.5703125" customWidth="1"/>
    <col min="13322" max="13322" width="9.5703125" customWidth="1"/>
    <col min="13323" max="13323" width="11.5703125" customWidth="1"/>
    <col min="13324" max="13324" width="3.5703125" customWidth="1"/>
    <col min="13325" max="13325" width="13.85546875" customWidth="1"/>
    <col min="13326" max="13326" width="5.5703125" customWidth="1"/>
    <col min="13327" max="13327" width="19.7109375" customWidth="1"/>
    <col min="13328" max="13328" width="2.140625" customWidth="1"/>
    <col min="13329" max="13329" width="13.5703125" customWidth="1"/>
    <col min="13571" max="13571" width="2" customWidth="1"/>
    <col min="13572" max="13572" width="8.28515625" customWidth="1"/>
    <col min="13573" max="13573" width="15.42578125" customWidth="1"/>
    <col min="13574" max="13574" width="8.7109375" customWidth="1"/>
    <col min="13575" max="13575" width="8" customWidth="1"/>
    <col min="13576" max="13576" width="6" customWidth="1"/>
    <col min="13577" max="13577" width="6.5703125" customWidth="1"/>
    <col min="13578" max="13578" width="9.5703125" customWidth="1"/>
    <col min="13579" max="13579" width="11.5703125" customWidth="1"/>
    <col min="13580" max="13580" width="3.5703125" customWidth="1"/>
    <col min="13581" max="13581" width="13.85546875" customWidth="1"/>
    <col min="13582" max="13582" width="5.5703125" customWidth="1"/>
    <col min="13583" max="13583" width="19.7109375" customWidth="1"/>
    <col min="13584" max="13584" width="2.140625" customWidth="1"/>
    <col min="13585" max="13585" width="13.5703125" customWidth="1"/>
    <col min="13827" max="13827" width="2" customWidth="1"/>
    <col min="13828" max="13828" width="8.28515625" customWidth="1"/>
    <col min="13829" max="13829" width="15.42578125" customWidth="1"/>
    <col min="13830" max="13830" width="8.7109375" customWidth="1"/>
    <col min="13831" max="13831" width="8" customWidth="1"/>
    <col min="13832" max="13832" width="6" customWidth="1"/>
    <col min="13833" max="13833" width="6.5703125" customWidth="1"/>
    <col min="13834" max="13834" width="9.5703125" customWidth="1"/>
    <col min="13835" max="13835" width="11.5703125" customWidth="1"/>
    <col min="13836" max="13836" width="3.5703125" customWidth="1"/>
    <col min="13837" max="13837" width="13.85546875" customWidth="1"/>
    <col min="13838" max="13838" width="5.5703125" customWidth="1"/>
    <col min="13839" max="13839" width="19.7109375" customWidth="1"/>
    <col min="13840" max="13840" width="2.140625" customWidth="1"/>
    <col min="13841" max="13841" width="13.5703125" customWidth="1"/>
    <col min="14083" max="14083" width="2" customWidth="1"/>
    <col min="14084" max="14084" width="8.28515625" customWidth="1"/>
    <col min="14085" max="14085" width="15.42578125" customWidth="1"/>
    <col min="14086" max="14086" width="8.7109375" customWidth="1"/>
    <col min="14087" max="14087" width="8" customWidth="1"/>
    <col min="14088" max="14088" width="6" customWidth="1"/>
    <col min="14089" max="14089" width="6.5703125" customWidth="1"/>
    <col min="14090" max="14090" width="9.5703125" customWidth="1"/>
    <col min="14091" max="14091" width="11.5703125" customWidth="1"/>
    <col min="14092" max="14092" width="3.5703125" customWidth="1"/>
    <col min="14093" max="14093" width="13.85546875" customWidth="1"/>
    <col min="14094" max="14094" width="5.5703125" customWidth="1"/>
    <col min="14095" max="14095" width="19.7109375" customWidth="1"/>
    <col min="14096" max="14096" width="2.140625" customWidth="1"/>
    <col min="14097" max="14097" width="13.5703125" customWidth="1"/>
    <col min="14339" max="14339" width="2" customWidth="1"/>
    <col min="14340" max="14340" width="8.28515625" customWidth="1"/>
    <col min="14341" max="14341" width="15.42578125" customWidth="1"/>
    <col min="14342" max="14342" width="8.7109375" customWidth="1"/>
    <col min="14343" max="14343" width="8" customWidth="1"/>
    <col min="14344" max="14344" width="6" customWidth="1"/>
    <col min="14345" max="14345" width="6.5703125" customWidth="1"/>
    <col min="14346" max="14346" width="9.5703125" customWidth="1"/>
    <col min="14347" max="14347" width="11.5703125" customWidth="1"/>
    <col min="14348" max="14348" width="3.5703125" customWidth="1"/>
    <col min="14349" max="14349" width="13.85546875" customWidth="1"/>
    <col min="14350" max="14350" width="5.5703125" customWidth="1"/>
    <col min="14351" max="14351" width="19.7109375" customWidth="1"/>
    <col min="14352" max="14352" width="2.140625" customWidth="1"/>
    <col min="14353" max="14353" width="13.5703125" customWidth="1"/>
    <col min="14595" max="14595" width="2" customWidth="1"/>
    <col min="14596" max="14596" width="8.28515625" customWidth="1"/>
    <col min="14597" max="14597" width="15.42578125" customWidth="1"/>
    <col min="14598" max="14598" width="8.7109375" customWidth="1"/>
    <col min="14599" max="14599" width="8" customWidth="1"/>
    <col min="14600" max="14600" width="6" customWidth="1"/>
    <col min="14601" max="14601" width="6.5703125" customWidth="1"/>
    <col min="14602" max="14602" width="9.5703125" customWidth="1"/>
    <col min="14603" max="14603" width="11.5703125" customWidth="1"/>
    <col min="14604" max="14604" width="3.5703125" customWidth="1"/>
    <col min="14605" max="14605" width="13.85546875" customWidth="1"/>
    <col min="14606" max="14606" width="5.5703125" customWidth="1"/>
    <col min="14607" max="14607" width="19.7109375" customWidth="1"/>
    <col min="14608" max="14608" width="2.140625" customWidth="1"/>
    <col min="14609" max="14609" width="13.5703125" customWidth="1"/>
    <col min="14851" max="14851" width="2" customWidth="1"/>
    <col min="14852" max="14852" width="8.28515625" customWidth="1"/>
    <col min="14853" max="14853" width="15.42578125" customWidth="1"/>
    <col min="14854" max="14854" width="8.7109375" customWidth="1"/>
    <col min="14855" max="14855" width="8" customWidth="1"/>
    <col min="14856" max="14856" width="6" customWidth="1"/>
    <col min="14857" max="14857" width="6.5703125" customWidth="1"/>
    <col min="14858" max="14858" width="9.5703125" customWidth="1"/>
    <col min="14859" max="14859" width="11.5703125" customWidth="1"/>
    <col min="14860" max="14860" width="3.5703125" customWidth="1"/>
    <col min="14861" max="14861" width="13.85546875" customWidth="1"/>
    <col min="14862" max="14862" width="5.5703125" customWidth="1"/>
    <col min="14863" max="14863" width="19.7109375" customWidth="1"/>
    <col min="14864" max="14864" width="2.140625" customWidth="1"/>
    <col min="14865" max="14865" width="13.5703125" customWidth="1"/>
    <col min="15107" max="15107" width="2" customWidth="1"/>
    <col min="15108" max="15108" width="8.28515625" customWidth="1"/>
    <col min="15109" max="15109" width="15.42578125" customWidth="1"/>
    <col min="15110" max="15110" width="8.7109375" customWidth="1"/>
    <col min="15111" max="15111" width="8" customWidth="1"/>
    <col min="15112" max="15112" width="6" customWidth="1"/>
    <col min="15113" max="15113" width="6.5703125" customWidth="1"/>
    <col min="15114" max="15114" width="9.5703125" customWidth="1"/>
    <col min="15115" max="15115" width="11.5703125" customWidth="1"/>
    <col min="15116" max="15116" width="3.5703125" customWidth="1"/>
    <col min="15117" max="15117" width="13.85546875" customWidth="1"/>
    <col min="15118" max="15118" width="5.5703125" customWidth="1"/>
    <col min="15119" max="15119" width="19.7109375" customWidth="1"/>
    <col min="15120" max="15120" width="2.140625" customWidth="1"/>
    <col min="15121" max="15121" width="13.5703125" customWidth="1"/>
    <col min="15363" max="15363" width="2" customWidth="1"/>
    <col min="15364" max="15364" width="8.28515625" customWidth="1"/>
    <col min="15365" max="15365" width="15.42578125" customWidth="1"/>
    <col min="15366" max="15366" width="8.7109375" customWidth="1"/>
    <col min="15367" max="15367" width="8" customWidth="1"/>
    <col min="15368" max="15368" width="6" customWidth="1"/>
    <col min="15369" max="15369" width="6.5703125" customWidth="1"/>
    <col min="15370" max="15370" width="9.5703125" customWidth="1"/>
    <col min="15371" max="15371" width="11.5703125" customWidth="1"/>
    <col min="15372" max="15372" width="3.5703125" customWidth="1"/>
    <col min="15373" max="15373" width="13.85546875" customWidth="1"/>
    <col min="15374" max="15374" width="5.5703125" customWidth="1"/>
    <col min="15375" max="15375" width="19.7109375" customWidth="1"/>
    <col min="15376" max="15376" width="2.140625" customWidth="1"/>
    <col min="15377" max="15377" width="13.5703125" customWidth="1"/>
    <col min="15619" max="15619" width="2" customWidth="1"/>
    <col min="15620" max="15620" width="8.28515625" customWidth="1"/>
    <col min="15621" max="15621" width="15.42578125" customWidth="1"/>
    <col min="15622" max="15622" width="8.7109375" customWidth="1"/>
    <col min="15623" max="15623" width="8" customWidth="1"/>
    <col min="15624" max="15624" width="6" customWidth="1"/>
    <col min="15625" max="15625" width="6.5703125" customWidth="1"/>
    <col min="15626" max="15626" width="9.5703125" customWidth="1"/>
    <col min="15627" max="15627" width="11.5703125" customWidth="1"/>
    <col min="15628" max="15628" width="3.5703125" customWidth="1"/>
    <col min="15629" max="15629" width="13.85546875" customWidth="1"/>
    <col min="15630" max="15630" width="5.5703125" customWidth="1"/>
    <col min="15631" max="15631" width="19.7109375" customWidth="1"/>
    <col min="15632" max="15632" width="2.140625" customWidth="1"/>
    <col min="15633" max="15633" width="13.5703125" customWidth="1"/>
    <col min="15875" max="15875" width="2" customWidth="1"/>
    <col min="15876" max="15876" width="8.28515625" customWidth="1"/>
    <col min="15877" max="15877" width="15.42578125" customWidth="1"/>
    <col min="15878" max="15878" width="8.7109375" customWidth="1"/>
    <col min="15879" max="15879" width="8" customWidth="1"/>
    <col min="15880" max="15880" width="6" customWidth="1"/>
    <col min="15881" max="15881" width="6.5703125" customWidth="1"/>
    <col min="15882" max="15882" width="9.5703125" customWidth="1"/>
    <col min="15883" max="15883" width="11.5703125" customWidth="1"/>
    <col min="15884" max="15884" width="3.5703125" customWidth="1"/>
    <col min="15885" max="15885" width="13.85546875" customWidth="1"/>
    <col min="15886" max="15886" width="5.5703125" customWidth="1"/>
    <col min="15887" max="15887" width="19.7109375" customWidth="1"/>
    <col min="15888" max="15888" width="2.140625" customWidth="1"/>
    <col min="15889" max="15889" width="13.5703125" customWidth="1"/>
    <col min="16131" max="16131" width="2" customWidth="1"/>
    <col min="16132" max="16132" width="8.28515625" customWidth="1"/>
    <col min="16133" max="16133" width="15.42578125" customWidth="1"/>
    <col min="16134" max="16134" width="8.7109375" customWidth="1"/>
    <col min="16135" max="16135" width="8" customWidth="1"/>
    <col min="16136" max="16136" width="6" customWidth="1"/>
    <col min="16137" max="16137" width="6.5703125" customWidth="1"/>
    <col min="16138" max="16138" width="9.5703125" customWidth="1"/>
    <col min="16139" max="16139" width="11.5703125" customWidth="1"/>
    <col min="16140" max="16140" width="3.5703125" customWidth="1"/>
    <col min="16141" max="16141" width="13.85546875" customWidth="1"/>
    <col min="16142" max="16142" width="5.5703125" customWidth="1"/>
    <col min="16143" max="16143" width="19.7109375" customWidth="1"/>
    <col min="16144" max="16144" width="2.140625" customWidth="1"/>
    <col min="16145" max="16145" width="13.5703125" customWidth="1"/>
  </cols>
  <sheetData>
    <row r="1" spans="1:20" ht="9" customHeight="1">
      <c r="A1" s="112"/>
      <c r="B1" s="112"/>
      <c r="C1" s="112"/>
      <c r="D1" s="112"/>
      <c r="E1" s="112"/>
      <c r="F1" s="112"/>
      <c r="G1" s="112"/>
      <c r="H1" s="112"/>
      <c r="I1" s="112"/>
      <c r="J1" s="112"/>
      <c r="K1" s="112"/>
      <c r="L1" s="112"/>
      <c r="M1" s="112"/>
      <c r="N1" s="112"/>
      <c r="O1" s="112"/>
      <c r="P1" s="971"/>
    </row>
    <row r="2" spans="1:20" ht="12.75" customHeight="1">
      <c r="A2" s="112"/>
      <c r="B2" s="3193"/>
      <c r="C2" s="3193"/>
      <c r="D2" s="3193"/>
      <c r="E2" s="3328"/>
      <c r="F2" s="5261" t="s">
        <v>2322</v>
      </c>
      <c r="G2" s="4563"/>
      <c r="H2" s="4563"/>
      <c r="I2" s="4563"/>
      <c r="J2" s="4563"/>
      <c r="K2" s="4563"/>
      <c r="L2" s="4563"/>
      <c r="M2" s="6025"/>
      <c r="N2" s="6026"/>
      <c r="O2" s="3194" t="s">
        <v>2321</v>
      </c>
      <c r="P2" s="3195"/>
      <c r="Q2" s="7"/>
      <c r="S2" s="2591" t="s">
        <v>3762</v>
      </c>
    </row>
    <row r="3" spans="1:20" ht="22.5" customHeight="1">
      <c r="A3" s="112"/>
      <c r="B3" s="6060" t="s">
        <v>469</v>
      </c>
      <c r="C3" s="6055">
        <v>2441</v>
      </c>
      <c r="D3" s="6056"/>
      <c r="E3" s="6057"/>
      <c r="F3" s="4881"/>
      <c r="G3" s="4563"/>
      <c r="H3" s="4563"/>
      <c r="I3" s="4563"/>
      <c r="J3" s="4563"/>
      <c r="K3" s="4563"/>
      <c r="L3" s="4563"/>
      <c r="M3" s="6025"/>
      <c r="N3" s="6026"/>
      <c r="O3" s="6058">
        <f>TaxYear</f>
        <v>2016</v>
      </c>
      <c r="P3" s="3195"/>
      <c r="Q3" s="4503" t="s">
        <v>2436</v>
      </c>
      <c r="S3" s="2591" t="s">
        <v>3763</v>
      </c>
    </row>
    <row r="4" spans="1:20" ht="12.75" customHeight="1">
      <c r="A4" s="112"/>
      <c r="B4" s="4862"/>
      <c r="C4" s="6056"/>
      <c r="D4" s="6056"/>
      <c r="E4" s="6057"/>
      <c r="F4" s="6021" t="s">
        <v>2419</v>
      </c>
      <c r="G4" s="4563"/>
      <c r="H4" s="4563"/>
      <c r="I4" s="4563"/>
      <c r="J4" s="4563"/>
      <c r="K4" s="4563"/>
      <c r="L4" s="4563"/>
      <c r="M4" s="6025"/>
      <c r="N4" s="6026"/>
      <c r="O4" s="6059"/>
      <c r="P4" s="3195"/>
      <c r="Q4" s="4503" t="s">
        <v>3774</v>
      </c>
      <c r="S4" s="2591" t="s">
        <v>3764</v>
      </c>
    </row>
    <row r="5" spans="1:20" ht="12.75" customHeight="1">
      <c r="A5" s="112"/>
      <c r="B5" s="3324" t="s">
        <v>2323</v>
      </c>
      <c r="C5" s="3324"/>
      <c r="D5" s="3324"/>
      <c r="E5" s="3329"/>
      <c r="F5" s="6022" t="s">
        <v>2421</v>
      </c>
      <c r="G5" s="4773"/>
      <c r="H5" s="4773"/>
      <c r="I5" s="4773"/>
      <c r="J5" s="4773"/>
      <c r="K5" s="4773"/>
      <c r="L5" s="4773"/>
      <c r="M5" s="6025"/>
      <c r="N5" s="6026"/>
      <c r="O5" s="3192" t="s">
        <v>2324</v>
      </c>
      <c r="P5" s="3195"/>
      <c r="Q5" s="4503" t="s">
        <v>3775</v>
      </c>
      <c r="S5" s="2591" t="s">
        <v>3765</v>
      </c>
    </row>
    <row r="6" spans="1:20" ht="13.5" thickBot="1">
      <c r="A6" s="112"/>
      <c r="B6" s="3196" t="s">
        <v>2325</v>
      </c>
      <c r="C6" s="3196"/>
      <c r="D6" s="3196"/>
      <c r="E6" s="3330"/>
      <c r="F6" s="6023" t="s">
        <v>2420</v>
      </c>
      <c r="G6" s="6024"/>
      <c r="H6" s="6024"/>
      <c r="I6" s="6024"/>
      <c r="J6" s="6024"/>
      <c r="K6" s="6024"/>
      <c r="L6" s="6024"/>
      <c r="M6" s="6027"/>
      <c r="N6" s="6028"/>
      <c r="O6" s="3197" t="s">
        <v>2326</v>
      </c>
      <c r="P6" s="3195"/>
      <c r="Q6" s="4503" t="s">
        <v>3776</v>
      </c>
      <c r="S6" s="2591" t="s">
        <v>3766</v>
      </c>
    </row>
    <row r="7" spans="1:20" ht="11.25" customHeight="1">
      <c r="A7" s="112"/>
      <c r="B7" s="32" t="s">
        <v>147</v>
      </c>
      <c r="C7" s="222"/>
      <c r="D7" s="222"/>
      <c r="E7" s="222"/>
      <c r="F7" s="189"/>
      <c r="G7" s="191"/>
      <c r="H7" s="191"/>
      <c r="I7" s="191"/>
      <c r="J7" s="191"/>
      <c r="K7" s="3198"/>
      <c r="L7" s="3199"/>
      <c r="M7" s="3200"/>
      <c r="N7" s="2970"/>
      <c r="O7" s="329" t="s">
        <v>148</v>
      </c>
      <c r="P7" s="3201"/>
      <c r="Q7" s="4503" t="s">
        <v>3777</v>
      </c>
      <c r="S7" s="2591" t="s">
        <v>3767</v>
      </c>
    </row>
    <row r="8" spans="1:20" ht="14.25" customHeight="1" thickBot="1">
      <c r="A8" s="112"/>
      <c r="B8" s="6053" t="str">
        <f>Names</f>
        <v/>
      </c>
      <c r="C8" s="4603"/>
      <c r="D8" s="4603"/>
      <c r="E8" s="4603"/>
      <c r="F8" s="4603"/>
      <c r="G8" s="4603"/>
      <c r="H8" s="4603"/>
      <c r="I8" s="4603"/>
      <c r="J8" s="4603"/>
      <c r="K8" s="4603"/>
      <c r="L8" s="4603"/>
      <c r="M8" s="6054"/>
      <c r="N8" s="6100">
        <f>SS_Yours</f>
        <v>0</v>
      </c>
      <c r="O8" s="6101"/>
      <c r="P8" s="3201"/>
      <c r="Q8" s="4503" t="s">
        <v>3778</v>
      </c>
      <c r="S8" s="2591" t="s">
        <v>3768</v>
      </c>
    </row>
    <row r="9" spans="1:20" ht="7.5" customHeight="1">
      <c r="A9" s="112"/>
      <c r="B9" s="3204"/>
      <c r="C9" s="189"/>
      <c r="D9" s="189"/>
      <c r="E9" s="189"/>
      <c r="F9" s="189"/>
      <c r="G9" s="189"/>
      <c r="H9" s="189"/>
      <c r="I9" s="3204"/>
      <c r="J9" s="3204"/>
      <c r="K9" s="189"/>
      <c r="L9" s="3205"/>
      <c r="M9" s="189"/>
      <c r="N9" s="189"/>
      <c r="O9" s="3206"/>
      <c r="P9" s="3195"/>
      <c r="Q9" s="4503"/>
      <c r="S9" s="2591"/>
    </row>
    <row r="10" spans="1:20" ht="15" customHeight="1">
      <c r="A10" s="112"/>
      <c r="B10" s="3207" t="s">
        <v>92</v>
      </c>
      <c r="C10" s="3208" t="s">
        <v>2327</v>
      </c>
      <c r="D10" s="3208"/>
      <c r="E10" s="3208"/>
      <c r="F10" s="190"/>
      <c r="G10" s="190"/>
      <c r="H10" s="190"/>
      <c r="I10" s="190"/>
      <c r="J10" s="190"/>
      <c r="K10" s="190"/>
      <c r="L10" s="190"/>
      <c r="M10" s="190"/>
      <c r="N10" s="190"/>
      <c r="O10" s="189"/>
      <c r="P10" s="3195"/>
      <c r="Q10" s="4503" t="s">
        <v>3779</v>
      </c>
      <c r="S10" s="2591" t="s">
        <v>3769</v>
      </c>
    </row>
    <row r="11" spans="1:20">
      <c r="A11" s="112"/>
      <c r="B11" s="27"/>
      <c r="C11" s="3226" t="s">
        <v>2422</v>
      </c>
      <c r="D11" s="27"/>
      <c r="E11" s="27"/>
      <c r="F11" s="27"/>
      <c r="G11" s="27"/>
      <c r="H11" s="27"/>
      <c r="I11" s="27"/>
      <c r="J11" s="27"/>
      <c r="K11" s="27"/>
      <c r="L11" s="27"/>
      <c r="M11" s="27"/>
      <c r="N11" s="27"/>
      <c r="O11" s="27"/>
      <c r="P11" s="3195"/>
      <c r="Q11" s="4503" t="s">
        <v>3780</v>
      </c>
      <c r="S11" s="2591" t="s">
        <v>3770</v>
      </c>
    </row>
    <row r="12" spans="1:20">
      <c r="A12" s="112"/>
      <c r="B12" s="3209" t="s">
        <v>2328</v>
      </c>
      <c r="C12" s="201" t="s">
        <v>2329</v>
      </c>
      <c r="D12" s="201"/>
      <c r="E12" s="201"/>
      <c r="F12" s="3210"/>
      <c r="G12" s="3211"/>
      <c r="H12" s="189"/>
      <c r="I12" s="3212" t="s">
        <v>2330</v>
      </c>
      <c r="J12" s="190"/>
      <c r="K12" s="190"/>
      <c r="L12" s="3211"/>
      <c r="M12" s="3213" t="s">
        <v>2331</v>
      </c>
      <c r="N12" s="190"/>
      <c r="O12" s="3214" t="s">
        <v>2332</v>
      </c>
      <c r="P12" s="3195"/>
      <c r="Q12" s="4503" t="s">
        <v>3781</v>
      </c>
      <c r="S12" s="2591" t="s">
        <v>3771</v>
      </c>
    </row>
    <row r="13" spans="1:20">
      <c r="A13" s="112"/>
      <c r="B13" s="3215" t="str">
        <f>"   1"</f>
        <v xml:space="preserve">   1</v>
      </c>
      <c r="C13" s="429" t="s">
        <v>2423</v>
      </c>
      <c r="D13" s="3216"/>
      <c r="E13" s="3216"/>
      <c r="F13" s="3217"/>
      <c r="G13" s="3218" t="s">
        <v>2334</v>
      </c>
      <c r="H13" s="203"/>
      <c r="I13" s="27"/>
      <c r="J13" s="27"/>
      <c r="K13" s="27"/>
      <c r="L13" s="3219"/>
      <c r="M13" s="203" t="s">
        <v>2335</v>
      </c>
      <c r="N13" s="27"/>
      <c r="O13" s="3218" t="s">
        <v>2336</v>
      </c>
      <c r="P13" s="3195"/>
      <c r="Q13" s="4503" t="s">
        <v>3782</v>
      </c>
      <c r="S13" s="2591" t="s">
        <v>3772</v>
      </c>
    </row>
    <row r="14" spans="1:20">
      <c r="A14" s="112"/>
      <c r="B14" s="6030"/>
      <c r="C14" s="6031"/>
      <c r="D14" s="6031"/>
      <c r="E14" s="6031"/>
      <c r="F14" s="6032"/>
      <c r="G14" s="6035"/>
      <c r="H14" s="6036"/>
      <c r="I14" s="6037"/>
      <c r="J14" s="6037"/>
      <c r="K14" s="6038"/>
      <c r="L14" s="6039"/>
      <c r="M14" s="6040"/>
      <c r="N14" s="6041"/>
      <c r="O14" s="6051"/>
      <c r="P14" s="3195"/>
      <c r="Q14" s="7"/>
      <c r="S14" s="2591" t="s">
        <v>3773</v>
      </c>
    </row>
    <row r="15" spans="1:20">
      <c r="A15" s="112"/>
      <c r="B15" s="6033"/>
      <c r="C15" s="6033"/>
      <c r="D15" s="6033"/>
      <c r="E15" s="6033"/>
      <c r="F15" s="6034"/>
      <c r="G15" s="6102"/>
      <c r="H15" s="6103"/>
      <c r="I15" s="6104"/>
      <c r="J15" s="6104"/>
      <c r="K15" s="6105"/>
      <c r="L15" s="6042"/>
      <c r="M15" s="6043"/>
      <c r="N15" s="6044"/>
      <c r="O15" s="6052"/>
      <c r="P15" s="3195"/>
      <c r="Q15" s="7"/>
    </row>
    <row r="16" spans="1:20">
      <c r="A16" s="112"/>
      <c r="B16" s="6030"/>
      <c r="C16" s="6031"/>
      <c r="D16" s="6031"/>
      <c r="E16" s="6031"/>
      <c r="F16" s="6032"/>
      <c r="G16" s="6035"/>
      <c r="H16" s="6036"/>
      <c r="I16" s="6037"/>
      <c r="J16" s="6037"/>
      <c r="K16" s="6038"/>
      <c r="L16" s="6039"/>
      <c r="M16" s="6040"/>
      <c r="N16" s="6041"/>
      <c r="O16" s="6051"/>
      <c r="P16" s="3195"/>
      <c r="Q16" s="7"/>
      <c r="S16" s="4505"/>
      <c r="T16" s="2591" t="s">
        <v>2430</v>
      </c>
    </row>
    <row r="17" spans="1:24">
      <c r="A17" s="112"/>
      <c r="B17" s="6033"/>
      <c r="C17" s="6033"/>
      <c r="D17" s="6033"/>
      <c r="E17" s="6033"/>
      <c r="F17" s="6034"/>
      <c r="G17" s="6102"/>
      <c r="H17" s="6103"/>
      <c r="I17" s="6104"/>
      <c r="J17" s="6104"/>
      <c r="K17" s="6105"/>
      <c r="L17" s="6042"/>
      <c r="M17" s="6043"/>
      <c r="N17" s="6044"/>
      <c r="O17" s="6052"/>
      <c r="P17" s="3195"/>
      <c r="Q17" s="7"/>
      <c r="S17" s="4505"/>
      <c r="T17" s="2591" t="s">
        <v>3298</v>
      </c>
    </row>
    <row r="18" spans="1:24" ht="8.25" customHeight="1" thickBot="1">
      <c r="A18" s="112"/>
      <c r="B18" s="189"/>
      <c r="C18" s="190"/>
      <c r="D18" s="190"/>
      <c r="E18" s="190"/>
      <c r="F18" s="190"/>
      <c r="G18" s="190"/>
      <c r="H18" s="190"/>
      <c r="I18" s="190"/>
      <c r="J18" s="190"/>
      <c r="K18" s="190"/>
      <c r="L18" s="190"/>
      <c r="M18" s="190"/>
      <c r="N18" s="190"/>
      <c r="O18" s="189"/>
      <c r="P18" s="3195"/>
      <c r="Q18" s="7"/>
    </row>
    <row r="19" spans="1:24" ht="13.5" customHeight="1" thickTop="1" thickBot="1">
      <c r="A19" s="112"/>
      <c r="B19" s="189"/>
      <c r="C19" s="190"/>
      <c r="D19" s="190"/>
      <c r="E19" s="190"/>
      <c r="F19" s="6108" t="s">
        <v>2338</v>
      </c>
      <c r="G19" s="6109"/>
      <c r="H19" s="6109"/>
      <c r="I19" s="6110"/>
      <c r="J19" s="189"/>
      <c r="K19" s="3220" t="s">
        <v>437</v>
      </c>
      <c r="L19" s="2402"/>
      <c r="M19" s="190" t="s">
        <v>2337</v>
      </c>
      <c r="N19" s="190"/>
      <c r="O19" s="189"/>
      <c r="P19" s="3195"/>
      <c r="Q19" s="7"/>
    </row>
    <row r="20" spans="1:24" ht="6.75" customHeight="1" thickBot="1">
      <c r="A20" s="112"/>
      <c r="B20" s="189"/>
      <c r="C20" s="190"/>
      <c r="D20" s="190"/>
      <c r="E20" s="190"/>
      <c r="F20" s="6111"/>
      <c r="G20" s="4563"/>
      <c r="H20" s="4563"/>
      <c r="I20" s="6112"/>
      <c r="J20" s="3221"/>
      <c r="K20" s="3222"/>
      <c r="L20" s="685"/>
      <c r="M20" s="190"/>
      <c r="N20" s="190"/>
      <c r="O20" s="189"/>
      <c r="P20" s="3195"/>
      <c r="Q20" s="7"/>
    </row>
    <row r="21" spans="1:24" ht="12.75" customHeight="1" thickBot="1">
      <c r="A21" s="112"/>
      <c r="B21" s="189"/>
      <c r="C21" s="190"/>
      <c r="D21" s="190"/>
      <c r="E21" s="190"/>
      <c r="F21" s="6106" t="s">
        <v>2339</v>
      </c>
      <c r="G21" s="5483"/>
      <c r="H21" s="5483"/>
      <c r="I21" s="6107"/>
      <c r="J21" s="189"/>
      <c r="K21" s="3220" t="s">
        <v>436</v>
      </c>
      <c r="L21" s="4017" t="str">
        <f>IF(L19&lt;&gt;"","",IF('W-2s'!C61&gt;0,"X",""))</f>
        <v/>
      </c>
      <c r="M21" s="190" t="s">
        <v>2340</v>
      </c>
      <c r="N21" s="190"/>
      <c r="O21" s="189"/>
      <c r="P21" s="3195"/>
      <c r="Q21" s="7"/>
      <c r="T21" s="3393" t="s">
        <v>2508</v>
      </c>
    </row>
    <row r="22" spans="1:24" ht="6.75" customHeight="1" thickBot="1">
      <c r="A22" s="112"/>
      <c r="B22" s="189"/>
      <c r="C22" s="190"/>
      <c r="D22" s="190"/>
      <c r="E22" s="190"/>
      <c r="F22" s="3223"/>
      <c r="G22" s="1966"/>
      <c r="H22" s="1966"/>
      <c r="I22" s="3224"/>
      <c r="J22" s="6029" t="str">
        <f>IF(AND(L19="",L21=""),"Check one.",IF(AND(L19&lt;&gt;"",L21&lt;&gt;""),"Check only one.",""))</f>
        <v>Check one.</v>
      </c>
      <c r="K22" s="4571"/>
      <c r="L22" s="190"/>
      <c r="M22" s="3225"/>
      <c r="N22" s="190"/>
      <c r="O22" s="189"/>
      <c r="P22" s="3195"/>
      <c r="Q22" s="7"/>
    </row>
    <row r="23" spans="1:24" ht="6.75" customHeight="1" thickTop="1">
      <c r="A23" s="112"/>
      <c r="B23" s="189"/>
      <c r="C23" s="190"/>
      <c r="D23" s="190"/>
      <c r="E23" s="190"/>
      <c r="F23" s="190"/>
      <c r="G23" s="190"/>
      <c r="H23" s="190"/>
      <c r="I23" s="190"/>
      <c r="J23" s="4571"/>
      <c r="K23" s="4571"/>
      <c r="L23" s="190"/>
      <c r="M23" s="190"/>
      <c r="N23" s="190"/>
      <c r="O23" s="189"/>
      <c r="P23" s="3195"/>
      <c r="Q23" s="7"/>
    </row>
    <row r="24" spans="1:24">
      <c r="A24" s="112"/>
      <c r="B24" s="237" t="s">
        <v>2341</v>
      </c>
      <c r="C24" s="1532" t="s">
        <v>2424</v>
      </c>
      <c r="D24" s="1532"/>
      <c r="E24" s="1532"/>
      <c r="F24" s="1532"/>
      <c r="G24" s="189"/>
      <c r="H24" s="189"/>
      <c r="I24" s="189"/>
      <c r="J24" s="189"/>
      <c r="K24" s="189"/>
      <c r="L24" s="189"/>
      <c r="M24" s="189"/>
      <c r="N24" s="189"/>
      <c r="O24" s="189"/>
      <c r="P24" s="3195"/>
      <c r="Q24" s="7"/>
      <c r="T24" s="3382" t="s">
        <v>2466</v>
      </c>
      <c r="U24" s="3383"/>
      <c r="V24" s="3383"/>
      <c r="W24" s="3383"/>
      <c r="X24" s="3384"/>
    </row>
    <row r="25" spans="1:24">
      <c r="A25" s="112"/>
      <c r="B25" s="3331" t="s">
        <v>2425</v>
      </c>
      <c r="C25" s="3226"/>
      <c r="D25" s="3226"/>
      <c r="E25" s="3226"/>
      <c r="F25" s="3226"/>
      <c r="G25" s="27"/>
      <c r="H25" s="27"/>
      <c r="I25" s="27"/>
      <c r="J25" s="27"/>
      <c r="K25" s="27"/>
      <c r="L25" s="27"/>
      <c r="M25" s="27"/>
      <c r="N25" s="27"/>
      <c r="O25" s="27"/>
      <c r="P25" s="3195"/>
      <c r="Q25" s="7"/>
      <c r="T25" s="3385" t="s">
        <v>2467</v>
      </c>
      <c r="U25" s="3032"/>
      <c r="V25" s="3032"/>
      <c r="W25" s="3032"/>
      <c r="X25" s="3386"/>
    </row>
    <row r="26" spans="1:24" ht="18" customHeight="1">
      <c r="A26" s="112"/>
      <c r="B26" s="3207" t="s">
        <v>194</v>
      </c>
      <c r="C26" s="3325" t="s">
        <v>2342</v>
      </c>
      <c r="D26" s="3228"/>
      <c r="E26" s="3228"/>
      <c r="F26" s="3229"/>
      <c r="G26" s="3229"/>
      <c r="H26" s="3229"/>
      <c r="I26" s="3229"/>
      <c r="J26" s="3229"/>
      <c r="K26" s="4504" t="str">
        <f>IF(AND(File_Marr_Sep&lt;&gt;"",$S$17&lt;&gt;""),"You cannot take the credit or exclusion.","")</f>
        <v/>
      </c>
      <c r="L26" s="3229"/>
      <c r="M26" s="3229"/>
      <c r="N26" s="3229"/>
      <c r="O26" s="3229"/>
      <c r="P26" s="3195"/>
      <c r="Q26" s="7"/>
      <c r="T26" s="3394" t="s">
        <v>2509</v>
      </c>
      <c r="U26" s="3383"/>
      <c r="V26" s="3383"/>
      <c r="W26" s="3383"/>
      <c r="X26" s="3384"/>
    </row>
    <row r="27" spans="1:24">
      <c r="A27" s="112"/>
      <c r="B27" s="3230">
        <v>2</v>
      </c>
      <c r="C27" s="27" t="s">
        <v>2343</v>
      </c>
      <c r="D27" s="27"/>
      <c r="E27" s="27"/>
      <c r="F27" s="27"/>
      <c r="G27" s="27"/>
      <c r="H27" s="27"/>
      <c r="I27" s="27"/>
      <c r="J27" s="27"/>
      <c r="K27" s="27"/>
      <c r="L27" s="27"/>
      <c r="M27" s="27"/>
      <c r="N27" s="27"/>
      <c r="O27" s="27"/>
      <c r="P27" s="3195"/>
      <c r="Q27" s="7"/>
      <c r="T27" s="3385" t="s">
        <v>2468</v>
      </c>
      <c r="U27" s="3032"/>
      <c r="V27" s="3032"/>
      <c r="W27" s="3032"/>
      <c r="X27" s="3386"/>
    </row>
    <row r="28" spans="1:24" ht="12.75" customHeight="1">
      <c r="A28" s="112"/>
      <c r="B28" s="189"/>
      <c r="C28" s="190"/>
      <c r="D28" s="190"/>
      <c r="E28" s="190"/>
      <c r="F28" s="199" t="s">
        <v>2344</v>
      </c>
      <c r="G28" s="190"/>
      <c r="H28" s="190"/>
      <c r="I28" s="190"/>
      <c r="J28" s="190"/>
      <c r="K28" s="190"/>
      <c r="L28" s="6113" t="s">
        <v>2426</v>
      </c>
      <c r="M28" s="6114"/>
      <c r="N28" s="6115"/>
      <c r="O28" s="3231" t="s">
        <v>2345</v>
      </c>
      <c r="P28" s="3195"/>
      <c r="Q28" s="7"/>
      <c r="T28" s="3385" t="s">
        <v>2469</v>
      </c>
      <c r="U28" s="3032"/>
      <c r="V28" s="3032"/>
      <c r="W28" s="3032"/>
      <c r="X28" s="3386"/>
    </row>
    <row r="29" spans="1:24" ht="10.5" customHeight="1">
      <c r="A29" s="112"/>
      <c r="B29" s="189"/>
      <c r="C29" s="3232"/>
      <c r="D29" s="3232"/>
      <c r="E29" s="3232"/>
      <c r="F29" s="199"/>
      <c r="G29" s="190"/>
      <c r="H29" s="190"/>
      <c r="I29" s="201"/>
      <c r="J29" s="201"/>
      <c r="K29" s="190"/>
      <c r="L29" s="6116"/>
      <c r="M29" s="4979"/>
      <c r="N29" s="6117"/>
      <c r="O29" s="3234" t="str">
        <f>"incurred and paid in "&amp;TaxYear&amp;" for"</f>
        <v>incurred and paid in 2016 for</v>
      </c>
      <c r="P29" s="3195"/>
      <c r="Q29" s="7"/>
      <c r="T29" s="3385" t="s">
        <v>2470</v>
      </c>
      <c r="U29" s="3032"/>
      <c r="V29" s="3032"/>
      <c r="W29" s="3032"/>
      <c r="X29" s="3386"/>
    </row>
    <row r="30" spans="1:24" ht="10.5" customHeight="1">
      <c r="A30" s="112"/>
      <c r="B30" s="27"/>
      <c r="C30" s="3216" t="s">
        <v>2347</v>
      </c>
      <c r="D30" s="3216"/>
      <c r="E30" s="3216"/>
      <c r="F30" s="27"/>
      <c r="G30" s="27"/>
      <c r="H30" s="27"/>
      <c r="I30" s="203" t="s">
        <v>2348</v>
      </c>
      <c r="J30" s="203"/>
      <c r="K30" s="27"/>
      <c r="L30" s="6118"/>
      <c r="M30" s="6119"/>
      <c r="N30" s="6120"/>
      <c r="O30" s="3235" t="s">
        <v>2349</v>
      </c>
      <c r="P30" s="3195"/>
      <c r="Q30" s="7"/>
      <c r="T30" s="3385" t="s">
        <v>2471</v>
      </c>
      <c r="U30" s="3032"/>
      <c r="V30" s="3032"/>
      <c r="W30" s="3032"/>
      <c r="X30" s="3386"/>
    </row>
    <row r="31" spans="1:24" ht="21.75" customHeight="1">
      <c r="A31" s="112"/>
      <c r="B31" s="6045"/>
      <c r="C31" s="6046"/>
      <c r="D31" s="6046"/>
      <c r="E31" s="6046"/>
      <c r="F31" s="6047"/>
      <c r="G31" s="6045"/>
      <c r="H31" s="6046"/>
      <c r="I31" s="6046"/>
      <c r="J31" s="6046"/>
      <c r="K31" s="6047"/>
      <c r="L31" s="6048"/>
      <c r="M31" s="6049"/>
      <c r="N31" s="6050"/>
      <c r="O31" s="3334"/>
      <c r="P31" s="3195">
        <f>IF(O31&lt;&gt;"",1,0)</f>
        <v>0</v>
      </c>
      <c r="Q31" s="7"/>
      <c r="T31" s="3385" t="s">
        <v>2472</v>
      </c>
      <c r="U31" s="3032"/>
      <c r="V31" s="3032"/>
      <c r="W31" s="3032"/>
      <c r="X31" s="3386"/>
    </row>
    <row r="32" spans="1:24" ht="21.75" customHeight="1">
      <c r="A32" s="112"/>
      <c r="B32" s="6045"/>
      <c r="C32" s="6046"/>
      <c r="D32" s="6046"/>
      <c r="E32" s="6046"/>
      <c r="F32" s="6047"/>
      <c r="G32" s="6045"/>
      <c r="H32" s="6046"/>
      <c r="I32" s="6046"/>
      <c r="J32" s="6046"/>
      <c r="K32" s="6047"/>
      <c r="L32" s="6048"/>
      <c r="M32" s="6049"/>
      <c r="N32" s="6050"/>
      <c r="O32" s="3334"/>
      <c r="P32" s="3195">
        <f>IF(O32&lt;&gt;"",1,0)</f>
        <v>0</v>
      </c>
      <c r="Q32" s="7"/>
      <c r="T32" s="3385" t="s">
        <v>2473</v>
      </c>
      <c r="U32" s="3032"/>
      <c r="V32" s="3032"/>
      <c r="W32" s="3032"/>
      <c r="X32" s="3386"/>
    </row>
    <row r="33" spans="1:24">
      <c r="A33" s="112"/>
      <c r="B33" s="3236">
        <v>3</v>
      </c>
      <c r="C33" s="3237" t="str">
        <f>"Add the amounts in column (c) of line "&amp;B27&amp;"."</f>
        <v>Add the amounts in column (c) of line 2.</v>
      </c>
      <c r="D33" s="3237"/>
      <c r="E33" s="3237"/>
      <c r="F33" s="190"/>
      <c r="G33" s="190"/>
      <c r="H33" s="190"/>
      <c r="I33" s="215" t="s">
        <v>2350</v>
      </c>
      <c r="J33" s="3237" t="str">
        <f>"enter more than "&amp;TEXT(Q33,"$0,000")&amp;" for one qualifying"</f>
        <v>enter more than $3,000 for one qualifying</v>
      </c>
      <c r="K33" s="190"/>
      <c r="L33" s="190"/>
      <c r="M33" s="190"/>
      <c r="N33" s="3238"/>
      <c r="O33" s="3239">
        <f>ROUND(SUM(O31,O32,O148:O155),0)</f>
        <v>0</v>
      </c>
      <c r="P33" s="3195"/>
      <c r="Q33" s="3240">
        <v>3000</v>
      </c>
      <c r="T33" s="3385" t="s">
        <v>2474</v>
      </c>
      <c r="U33" s="3032"/>
      <c r="V33" s="3032"/>
      <c r="W33" s="3032"/>
      <c r="X33" s="3386"/>
    </row>
    <row r="34" spans="1:24">
      <c r="A34" s="112"/>
      <c r="B34" s="291"/>
      <c r="C34" s="3237" t="str">
        <f>"person or "&amp;TEXT(Q34,"$0,000")&amp;" for two or more persons.  If you completed Part III, enter the amount"</f>
        <v>person or $6,000 for two or more persons.  If you completed Part III, enter the amount</v>
      </c>
      <c r="D34" s="3237"/>
      <c r="E34" s="3237"/>
      <c r="F34" s="190"/>
      <c r="G34" s="190"/>
      <c r="H34" s="190"/>
      <c r="I34" s="190"/>
      <c r="J34" s="190"/>
      <c r="K34" s="190"/>
      <c r="L34" s="190"/>
      <c r="M34" s="190"/>
      <c r="N34" s="3241"/>
      <c r="O34" s="3239">
        <f>IF(P34&gt;1,Q34,Q33)</f>
        <v>3000</v>
      </c>
      <c r="P34" s="3195">
        <f>SUM(P31:P32,P148:P155)</f>
        <v>0</v>
      </c>
      <c r="Q34" s="3240">
        <v>6000</v>
      </c>
      <c r="T34" s="3385" t="s">
        <v>2475</v>
      </c>
      <c r="U34" s="3032"/>
      <c r="V34" s="3032"/>
      <c r="W34" s="3032"/>
      <c r="X34" s="3386"/>
    </row>
    <row r="35" spans="1:24" ht="15.75" customHeight="1" thickBot="1">
      <c r="A35" s="112"/>
      <c r="B35" s="291"/>
      <c r="C35" s="1532" t="str">
        <f>"from line "&amp;B112</f>
        <v>from line 31</v>
      </c>
      <c r="D35" s="1532"/>
      <c r="E35" s="1532"/>
      <c r="F35" s="189"/>
      <c r="G35" s="189"/>
      <c r="H35" s="189"/>
      <c r="I35" s="189"/>
      <c r="J35" s="189"/>
      <c r="K35" s="189"/>
      <c r="L35" s="189"/>
      <c r="M35" s="3242" t="str">
        <f>IF(SUM(O148:O155)&gt;0,"  .   .   .   .   .   .   .   .   .   .   .   .   .   .   .   .   .   .   .   .   .   .   .   .   .   .  See Attached ","    .   .   .   .   .   .   .   .   .   .   .   .   .   .   .   .   .   .   .   .   .   .   .   .   .   .   .   .   .   .   .   . ")</f>
        <v xml:space="preserve">    .   .   .   .   .   .   .   .   .   .   .   .   .   .   .   .   .   .   .   .   .   .   .   .   .   .   .   .   .   .   .   . </v>
      </c>
      <c r="N35" s="3243">
        <f>B33</f>
        <v>3</v>
      </c>
      <c r="O35" s="3327" t="str">
        <f>IF(OR(S17&lt;&gt;"",J22&lt;&gt;""),"",IF(AND(L19&lt;&gt;"",L21=""),MIN(O33,O34),O113))</f>
        <v/>
      </c>
      <c r="P35" s="3195"/>
      <c r="Q35" s="3332" t="s">
        <v>150</v>
      </c>
      <c r="T35" s="3385" t="s">
        <v>2476</v>
      </c>
      <c r="U35" s="3032"/>
      <c r="V35" s="3032"/>
      <c r="W35" s="3032"/>
      <c r="X35" s="3386"/>
    </row>
    <row r="36" spans="1:24" ht="15" customHeight="1" thickBot="1">
      <c r="A36" s="112"/>
      <c r="B36" s="3236">
        <v>4</v>
      </c>
      <c r="C36" s="3237" t="s">
        <v>2351</v>
      </c>
      <c r="D36" s="3237"/>
      <c r="E36" s="3237"/>
      <c r="F36" s="190"/>
      <c r="G36" s="190"/>
      <c r="H36" s="190"/>
      <c r="I36" s="189"/>
      <c r="J36" s="189"/>
      <c r="K36" s="189"/>
      <c r="L36" s="189"/>
      <c r="M36" s="3244"/>
      <c r="N36" s="3243">
        <f>B36</f>
        <v>4</v>
      </c>
      <c r="O36" s="3327" t="str">
        <f>IF(AND(L19="",L21=""),"",IF(Q36&lt;&gt;"",ROUND(Q36,0),SUM('W-2s'!G3,(SUM('Sch. SE'!V56,-'1040'!V60)))))</f>
        <v/>
      </c>
      <c r="P36" s="3195"/>
      <c r="Q36" s="3594"/>
      <c r="T36" s="3385" t="s">
        <v>2477</v>
      </c>
      <c r="U36" s="3032"/>
      <c r="V36" s="3032"/>
      <c r="W36" s="3032"/>
      <c r="X36" s="3386"/>
    </row>
    <row r="37" spans="1:24" ht="14.25" customHeight="1" thickBot="1">
      <c r="A37" s="112"/>
      <c r="B37" s="3236">
        <v>5</v>
      </c>
      <c r="C37" s="3237" t="s">
        <v>2427</v>
      </c>
      <c r="D37" s="3237"/>
      <c r="E37" s="3237"/>
      <c r="F37" s="190"/>
      <c r="G37" s="190"/>
      <c r="H37" s="190"/>
      <c r="I37" s="190"/>
      <c r="J37" s="190"/>
      <c r="K37" s="190"/>
      <c r="L37" s="190"/>
      <c r="M37" s="190"/>
      <c r="N37" s="3211"/>
      <c r="O37" s="3245"/>
      <c r="P37" s="3195"/>
      <c r="Q37" s="3333" t="s">
        <v>150</v>
      </c>
      <c r="T37" s="3385" t="s">
        <v>2478</v>
      </c>
      <c r="U37" s="3032"/>
      <c r="V37" s="3032"/>
      <c r="W37" s="3032"/>
      <c r="X37" s="3386"/>
    </row>
    <row r="38" spans="1:24" ht="14.25" customHeight="1" thickBot="1">
      <c r="A38" s="112"/>
      <c r="B38" s="291"/>
      <c r="C38" s="3635" t="s">
        <v>3052</v>
      </c>
      <c r="D38" s="3246"/>
      <c r="E38" s="3246"/>
      <c r="F38" s="190"/>
      <c r="G38" s="190"/>
      <c r="H38" s="190"/>
      <c r="I38" s="190"/>
      <c r="J38" s="190"/>
      <c r="K38" s="190"/>
      <c r="L38" s="189"/>
      <c r="M38" s="3244"/>
      <c r="N38" s="3243">
        <f>B37</f>
        <v>5</v>
      </c>
      <c r="O38" s="3327" t="str">
        <f>IF(Q38&lt;&gt;"",ROUND(Q38,0),IF(J22&lt;&gt;"","",IF(File_Marr_Joint&lt;&gt;"",ROUND('W-2s'!G28,0),O36)))</f>
        <v/>
      </c>
      <c r="P38" s="3195"/>
      <c r="Q38" s="3594"/>
      <c r="T38" s="3385" t="s">
        <v>2479</v>
      </c>
      <c r="U38" s="3032"/>
      <c r="V38" s="3032"/>
      <c r="W38" s="3032"/>
      <c r="X38" s="3386"/>
    </row>
    <row r="39" spans="1:24" ht="19.5" customHeight="1" thickBot="1">
      <c r="A39" s="112"/>
      <c r="B39" s="3236">
        <v>6</v>
      </c>
      <c r="C39" s="3237" t="s">
        <v>3051</v>
      </c>
      <c r="D39" s="319"/>
      <c r="E39" s="319"/>
      <c r="F39" s="190"/>
      <c r="G39" s="190"/>
      <c r="H39" s="190"/>
      <c r="I39" s="189"/>
      <c r="J39" s="189"/>
      <c r="K39" s="189"/>
      <c r="L39" s="189"/>
      <c r="M39" s="3242" t="s">
        <v>154</v>
      </c>
      <c r="N39" s="3243">
        <f>B39</f>
        <v>6</v>
      </c>
      <c r="O39" s="3327" t="str">
        <f>IF(Q39&lt;&gt;"",ROUND(Q39,0),IF(J22&lt;&gt;"","",MIN(O35,O36,O38)))</f>
        <v/>
      </c>
      <c r="P39" s="3195"/>
      <c r="Q39" s="3594"/>
      <c r="T39" s="3385" t="s">
        <v>2480</v>
      </c>
      <c r="U39" s="3032"/>
      <c r="V39" s="3032"/>
      <c r="W39" s="3032"/>
      <c r="X39" s="3386"/>
    </row>
    <row r="40" spans="1:24" ht="17.25" customHeight="1">
      <c r="A40" s="112"/>
      <c r="B40" s="3236">
        <v>7</v>
      </c>
      <c r="C40" s="190" t="s">
        <v>1615</v>
      </c>
      <c r="D40" s="190"/>
      <c r="E40" s="190"/>
      <c r="F40" s="190"/>
      <c r="G40" s="190"/>
      <c r="H40" s="190"/>
      <c r="I40" s="190"/>
      <c r="J40" s="190"/>
      <c r="K40" s="215" t="s">
        <v>2352</v>
      </c>
      <c r="L40" s="3243">
        <f>B40</f>
        <v>7</v>
      </c>
      <c r="M40" s="3327" t="str">
        <f>IF(AND(L19="",L21=""),"",Adj_Gross_Inc)</f>
        <v/>
      </c>
      <c r="N40" s="3241"/>
      <c r="O40" s="1602"/>
      <c r="P40" s="3195"/>
      <c r="Q40" s="7"/>
      <c r="T40" s="3390" t="s">
        <v>2481</v>
      </c>
      <c r="U40" s="3391"/>
      <c r="V40" s="3391"/>
      <c r="W40" s="3391"/>
      <c r="X40" s="3392"/>
    </row>
    <row r="41" spans="1:24">
      <c r="A41" s="112"/>
      <c r="B41" s="3236">
        <v>8</v>
      </c>
      <c r="C41" s="190" t="s">
        <v>2353</v>
      </c>
      <c r="D41" s="190"/>
      <c r="E41" s="190"/>
      <c r="F41" s="190"/>
      <c r="G41" s="190"/>
      <c r="H41" s="190"/>
      <c r="I41" s="190"/>
      <c r="J41" s="190"/>
      <c r="K41" s="190"/>
      <c r="L41" s="190"/>
      <c r="M41" s="190"/>
      <c r="N41" s="3241"/>
      <c r="O41" s="1602"/>
      <c r="P41" s="3195"/>
      <c r="Q41" s="7"/>
      <c r="T41" s="3394" t="s">
        <v>2510</v>
      </c>
      <c r="U41" s="3383"/>
      <c r="V41" s="3383"/>
      <c r="W41" s="3383"/>
      <c r="X41" s="3384"/>
    </row>
    <row r="42" spans="1:24">
      <c r="A42" s="112"/>
      <c r="B42" s="189"/>
      <c r="C42" s="190"/>
      <c r="D42" s="190"/>
      <c r="E42" s="190"/>
      <c r="F42" s="199" t="s">
        <v>2354</v>
      </c>
      <c r="G42" s="190"/>
      <c r="H42" s="190"/>
      <c r="I42" s="190"/>
      <c r="J42" s="3212" t="s">
        <v>2354</v>
      </c>
      <c r="K42" s="190"/>
      <c r="L42" s="190"/>
      <c r="M42" s="190"/>
      <c r="N42" s="3241"/>
      <c r="O42" s="1602"/>
      <c r="P42" s="3195"/>
      <c r="Q42" s="7"/>
      <c r="T42" s="3385" t="s">
        <v>2482</v>
      </c>
      <c r="U42" s="3032"/>
      <c r="V42" s="3032"/>
      <c r="W42" s="3032"/>
      <c r="X42" s="3386"/>
    </row>
    <row r="43" spans="1:24" ht="11.25" customHeight="1">
      <c r="A43" s="112"/>
      <c r="B43" s="189"/>
      <c r="C43" s="190"/>
      <c r="D43" s="190"/>
      <c r="E43" s="190"/>
      <c r="F43" s="190"/>
      <c r="G43" s="3247" t="s">
        <v>2355</v>
      </c>
      <c r="H43" s="3213"/>
      <c r="I43" s="199" t="s">
        <v>2356</v>
      </c>
      <c r="J43" s="190"/>
      <c r="K43" s="3213" t="s">
        <v>2355</v>
      </c>
      <c r="L43" s="199" t="s">
        <v>2356</v>
      </c>
      <c r="M43" s="190"/>
      <c r="N43" s="3241"/>
      <c r="O43" s="1602"/>
      <c r="P43" s="3195"/>
      <c r="Q43" s="7"/>
      <c r="T43" s="3385" t="s">
        <v>2483</v>
      </c>
      <c r="U43" s="3032"/>
      <c r="V43" s="3032"/>
      <c r="W43" s="3032"/>
      <c r="X43" s="3386"/>
    </row>
    <row r="44" spans="1:24" ht="9.75" customHeight="1" thickBot="1">
      <c r="A44" s="112"/>
      <c r="B44" s="189"/>
      <c r="C44" s="218"/>
      <c r="D44" s="218"/>
      <c r="E44" s="218"/>
      <c r="F44" s="320" t="s">
        <v>1609</v>
      </c>
      <c r="G44" s="3248" t="s">
        <v>2357</v>
      </c>
      <c r="H44" s="3249"/>
      <c r="I44" s="3248" t="s">
        <v>2358</v>
      </c>
      <c r="J44" s="3250" t="s">
        <v>1609</v>
      </c>
      <c r="K44" s="3249" t="s">
        <v>2357</v>
      </c>
      <c r="L44" s="3251" t="s">
        <v>2358</v>
      </c>
      <c r="M44" s="3252"/>
      <c r="N44" s="3241"/>
      <c r="O44" s="1602"/>
      <c r="P44" s="3195"/>
      <c r="Q44" s="7"/>
      <c r="T44" s="3385" t="s">
        <v>2484</v>
      </c>
      <c r="U44" s="3032"/>
      <c r="V44" s="3032"/>
      <c r="W44" s="3032"/>
      <c r="X44" s="3386"/>
    </row>
    <row r="45" spans="1:24">
      <c r="A45" s="112"/>
      <c r="B45" s="189"/>
      <c r="C45" s="190"/>
      <c r="D45" s="190"/>
      <c r="E45" s="190"/>
      <c r="F45" s="3253">
        <v>0</v>
      </c>
      <c r="G45" s="3254" t="str">
        <f>"--  "&amp;TEXT(F46,"0,000")</f>
        <v>--  15,000</v>
      </c>
      <c r="H45" s="3254"/>
      <c r="I45" s="3255">
        <v>0.35</v>
      </c>
      <c r="J45" s="3256">
        <f>F52+2000</f>
        <v>29000</v>
      </c>
      <c r="K45" s="3257" t="str">
        <f>" --  "&amp;TEXT(J45+2000,"0,000")</f>
        <v xml:space="preserve"> --  31,000</v>
      </c>
      <c r="L45" s="3258"/>
      <c r="M45" s="3255">
        <v>0.27</v>
      </c>
      <c r="N45" s="3241"/>
      <c r="O45" s="1602"/>
      <c r="P45" s="3195"/>
      <c r="Q45" s="7"/>
      <c r="T45" s="3385" t="s">
        <v>2485</v>
      </c>
      <c r="U45" s="3032"/>
      <c r="V45" s="3032"/>
      <c r="W45" s="3032"/>
      <c r="X45" s="3386"/>
    </row>
    <row r="46" spans="1:24">
      <c r="A46" s="112"/>
      <c r="B46" s="189"/>
      <c r="C46" s="190"/>
      <c r="D46" s="190"/>
      <c r="E46" s="190"/>
      <c r="F46" s="3259">
        <v>15000</v>
      </c>
      <c r="G46" s="3257" t="str">
        <f>"--  "&amp;TEXT(F46+2000,"0,000")</f>
        <v>--  17,000</v>
      </c>
      <c r="H46" s="3257"/>
      <c r="I46" s="3255">
        <v>0.34</v>
      </c>
      <c r="J46" s="3260">
        <f>J45+2000</f>
        <v>31000</v>
      </c>
      <c r="K46" s="3257" t="str">
        <f t="shared" ref="K46:K51" si="0">" --  "&amp;TEXT(J46+2000,"0,000")</f>
        <v xml:space="preserve"> --  33,000</v>
      </c>
      <c r="L46" s="3258"/>
      <c r="M46" s="3255">
        <v>0.26</v>
      </c>
      <c r="N46" s="3241"/>
      <c r="O46" s="1602"/>
      <c r="P46" s="3195"/>
      <c r="Q46" s="7"/>
      <c r="T46" s="3385" t="s">
        <v>2486</v>
      </c>
      <c r="U46" s="3032"/>
      <c r="V46" s="3032"/>
      <c r="W46" s="3032"/>
      <c r="X46" s="3386"/>
    </row>
    <row r="47" spans="1:24">
      <c r="A47" s="112"/>
      <c r="B47" s="189"/>
      <c r="C47" s="190"/>
      <c r="D47" s="190"/>
      <c r="E47" s="190"/>
      <c r="F47" s="3259">
        <f t="shared" ref="F47:F52" si="1">F46+2000</f>
        <v>17000</v>
      </c>
      <c r="G47" s="3257" t="str">
        <f t="shared" ref="G47:G52" si="2">"--  "&amp;TEXT(F47+2000,"0,000")</f>
        <v>--  19,000</v>
      </c>
      <c r="H47" s="3257"/>
      <c r="I47" s="3255">
        <v>0.33</v>
      </c>
      <c r="J47" s="3260">
        <f t="shared" ref="J47:J52" si="3">J46+2000</f>
        <v>33000</v>
      </c>
      <c r="K47" s="3257" t="str">
        <f t="shared" si="0"/>
        <v xml:space="preserve"> --  35,000</v>
      </c>
      <c r="L47" s="3258"/>
      <c r="M47" s="3255">
        <v>0.25</v>
      </c>
      <c r="N47" s="3241"/>
      <c r="O47" s="1602"/>
      <c r="P47" s="3195"/>
      <c r="Q47" s="7"/>
      <c r="T47" s="3385" t="s">
        <v>2487</v>
      </c>
      <c r="U47" s="3032"/>
      <c r="V47" s="3032"/>
      <c r="W47" s="3032"/>
      <c r="X47" s="3386"/>
    </row>
    <row r="48" spans="1:24">
      <c r="A48" s="112"/>
      <c r="B48" s="189"/>
      <c r="C48" s="190"/>
      <c r="D48" s="190"/>
      <c r="E48" s="190"/>
      <c r="F48" s="3259">
        <f t="shared" si="1"/>
        <v>19000</v>
      </c>
      <c r="G48" s="3257" t="str">
        <f t="shared" si="2"/>
        <v>--  21,000</v>
      </c>
      <c r="H48" s="3257"/>
      <c r="I48" s="3255">
        <v>0.32</v>
      </c>
      <c r="J48" s="3260">
        <f t="shared" si="3"/>
        <v>35000</v>
      </c>
      <c r="K48" s="3257" t="str">
        <f t="shared" si="0"/>
        <v xml:space="preserve"> --  37,000</v>
      </c>
      <c r="L48" s="3258"/>
      <c r="M48" s="3255">
        <v>0.24</v>
      </c>
      <c r="N48" s="3241"/>
      <c r="O48" s="1602"/>
      <c r="P48" s="3195"/>
      <c r="Q48" s="7"/>
      <c r="T48" s="3385" t="s">
        <v>2488</v>
      </c>
      <c r="U48" s="3032"/>
      <c r="V48" s="3032"/>
      <c r="W48" s="3032"/>
      <c r="X48" s="3386"/>
    </row>
    <row r="49" spans="1:24">
      <c r="A49" s="112"/>
      <c r="B49" s="189"/>
      <c r="C49" s="190"/>
      <c r="D49" s="190"/>
      <c r="E49" s="190"/>
      <c r="F49" s="3259">
        <f t="shared" si="1"/>
        <v>21000</v>
      </c>
      <c r="G49" s="3257" t="str">
        <f t="shared" si="2"/>
        <v>--  23,000</v>
      </c>
      <c r="H49" s="3257"/>
      <c r="I49" s="3255">
        <v>0.31</v>
      </c>
      <c r="J49" s="3260">
        <f t="shared" si="3"/>
        <v>37000</v>
      </c>
      <c r="K49" s="3257" t="str">
        <f t="shared" si="0"/>
        <v xml:space="preserve"> --  39,000</v>
      </c>
      <c r="L49" s="3258"/>
      <c r="M49" s="3255">
        <v>0.23</v>
      </c>
      <c r="N49" s="3243">
        <f>B41</f>
        <v>8</v>
      </c>
      <c r="O49" s="3327" t="str">
        <f>IF(J22&lt;&gt;"","",CONCATENATE("X   ",TEXT(P49,"0.00")))</f>
        <v/>
      </c>
      <c r="P49" s="971" t="e">
        <f>IF(M40=0,I45,IF((M40-1)&lt;J45,LOOKUP((M40-1),F45:F52,I45:I52),LOOKUP((M40-1),J45:J52,M45:M52)))</f>
        <v>#VALUE!</v>
      </c>
      <c r="Q49" s="7"/>
      <c r="T49" s="3385" t="s">
        <v>2489</v>
      </c>
      <c r="U49" s="3032"/>
      <c r="V49" s="3032"/>
      <c r="W49" s="3032"/>
      <c r="X49" s="3386"/>
    </row>
    <row r="50" spans="1:24">
      <c r="A50" s="112"/>
      <c r="B50" s="189"/>
      <c r="C50" s="190"/>
      <c r="D50" s="190"/>
      <c r="E50" s="190"/>
      <c r="F50" s="3259">
        <f t="shared" si="1"/>
        <v>23000</v>
      </c>
      <c r="G50" s="3257" t="str">
        <f t="shared" si="2"/>
        <v>--  25,000</v>
      </c>
      <c r="H50" s="3257"/>
      <c r="I50" s="3255">
        <v>0.3</v>
      </c>
      <c r="J50" s="3260">
        <f t="shared" si="3"/>
        <v>39000</v>
      </c>
      <c r="K50" s="3257" t="str">
        <f t="shared" si="0"/>
        <v xml:space="preserve"> --  41,000</v>
      </c>
      <c r="L50" s="3258"/>
      <c r="M50" s="3255">
        <v>0.22</v>
      </c>
      <c r="N50" s="3241"/>
      <c r="O50" s="3245"/>
      <c r="P50" s="3195"/>
      <c r="Q50" s="7"/>
      <c r="T50" s="3385" t="s">
        <v>2490</v>
      </c>
      <c r="U50" s="3032"/>
      <c r="V50" s="3032"/>
      <c r="W50" s="3032"/>
      <c r="X50" s="3386"/>
    </row>
    <row r="51" spans="1:24">
      <c r="A51" s="112"/>
      <c r="B51" s="189"/>
      <c r="C51" s="190"/>
      <c r="D51" s="190"/>
      <c r="E51" s="190"/>
      <c r="F51" s="3259">
        <f t="shared" si="1"/>
        <v>25000</v>
      </c>
      <c r="G51" s="3257" t="str">
        <f t="shared" si="2"/>
        <v>--  27,000</v>
      </c>
      <c r="H51" s="3257"/>
      <c r="I51" s="3255">
        <v>0.28999999999999998</v>
      </c>
      <c r="J51" s="3260">
        <f t="shared" si="3"/>
        <v>41000</v>
      </c>
      <c r="K51" s="3257" t="str">
        <f t="shared" si="0"/>
        <v xml:space="preserve"> --  43,000</v>
      </c>
      <c r="L51" s="3258"/>
      <c r="M51" s="3255">
        <v>0.21</v>
      </c>
      <c r="N51" s="3241"/>
      <c r="O51" s="3245"/>
      <c r="P51" s="3195"/>
      <c r="Q51" s="7"/>
      <c r="T51" s="3385" t="s">
        <v>2491</v>
      </c>
      <c r="U51" s="3032"/>
      <c r="V51" s="3032"/>
      <c r="W51" s="3032"/>
      <c r="X51" s="3386"/>
    </row>
    <row r="52" spans="1:24">
      <c r="A52" s="112"/>
      <c r="B52" s="189"/>
      <c r="C52" s="190"/>
      <c r="D52" s="190"/>
      <c r="E52" s="190"/>
      <c r="F52" s="3259">
        <f t="shared" si="1"/>
        <v>27000</v>
      </c>
      <c r="G52" s="3257" t="str">
        <f t="shared" si="2"/>
        <v>--  29,000</v>
      </c>
      <c r="H52" s="3257"/>
      <c r="I52" s="3255">
        <v>0.28000000000000003</v>
      </c>
      <c r="J52" s="3260">
        <f t="shared" si="3"/>
        <v>43000</v>
      </c>
      <c r="K52" s="3257" t="str">
        <f>" --  No limit"</f>
        <v xml:space="preserve"> --  No limit</v>
      </c>
      <c r="L52" s="3258"/>
      <c r="M52" s="3255">
        <v>0.2</v>
      </c>
      <c r="N52" s="3241"/>
      <c r="O52" s="3245"/>
      <c r="P52" s="3195"/>
      <c r="Q52" s="7"/>
      <c r="T52" s="3390" t="s">
        <v>2492</v>
      </c>
      <c r="U52" s="3391"/>
      <c r="V52" s="3391"/>
      <c r="W52" s="3391"/>
      <c r="X52" s="3392"/>
    </row>
    <row r="53" spans="1:24">
      <c r="A53" s="112"/>
      <c r="B53" s="189"/>
      <c r="C53" s="190"/>
      <c r="D53" s="190"/>
      <c r="E53" s="190"/>
      <c r="F53" s="3259"/>
      <c r="G53" s="3259"/>
      <c r="H53" s="3259"/>
      <c r="I53" s="3258"/>
      <c r="J53" s="3261"/>
      <c r="K53" s="3257"/>
      <c r="L53" s="3258"/>
      <c r="M53" s="190"/>
      <c r="N53" s="3241"/>
      <c r="O53" s="3245"/>
      <c r="P53" s="3195"/>
      <c r="Q53" s="7"/>
      <c r="T53" s="3394" t="s">
        <v>2511</v>
      </c>
      <c r="U53" s="3383"/>
      <c r="V53" s="3383"/>
      <c r="W53" s="3383"/>
      <c r="X53" s="3384"/>
    </row>
    <row r="54" spans="1:24" ht="13.5" thickBot="1">
      <c r="A54" s="112"/>
      <c r="B54" s="3236">
        <v>9</v>
      </c>
      <c r="C54" s="3237" t="str">
        <f>"Multiply line 6 by the decimal amount on line 8.  If you paid "&amp;TaxYear-1&amp;" expenses in "&amp;TaxYear&amp;", see"</f>
        <v>Multiply line 6 by the decimal amount on line 8.  If you paid 2015 expenses in 2016, see</v>
      </c>
      <c r="D54" s="3237"/>
      <c r="E54" s="3237"/>
      <c r="F54" s="190"/>
      <c r="G54" s="190"/>
      <c r="H54" s="190"/>
      <c r="I54" s="190"/>
      <c r="J54" s="190"/>
      <c r="K54" s="190"/>
      <c r="L54" s="190"/>
      <c r="M54" s="190"/>
      <c r="N54" s="3241"/>
      <c r="O54" s="3262"/>
      <c r="P54" s="3195"/>
      <c r="Q54" s="3332" t="s">
        <v>150</v>
      </c>
      <c r="T54" s="3385" t="s">
        <v>2493</v>
      </c>
      <c r="U54" s="3032"/>
      <c r="V54" s="3032"/>
      <c r="W54" s="3032"/>
      <c r="X54" s="3386"/>
    </row>
    <row r="55" spans="1:24" ht="13.5" thickBot="1">
      <c r="A55" s="112"/>
      <c r="B55" s="189"/>
      <c r="C55" s="1532" t="s">
        <v>2359</v>
      </c>
      <c r="D55" s="1532"/>
      <c r="E55" s="1532"/>
      <c r="F55" s="189"/>
      <c r="G55" s="189"/>
      <c r="H55" s="189"/>
      <c r="I55" s="189"/>
      <c r="J55" s="189"/>
      <c r="K55" s="189"/>
      <c r="L55" s="222"/>
      <c r="M55" s="2735" t="s">
        <v>936</v>
      </c>
      <c r="N55" s="3243">
        <f>B54</f>
        <v>9</v>
      </c>
      <c r="O55" s="3327" t="str">
        <f>IF(Q55&lt;&gt;"",ROUND(Q55,0),IF(J22&lt;&gt;"","",IF((ROUND((O39)*(P49),0))&gt;Tax,Tax,ROUND((O39)*(P49),0))))</f>
        <v/>
      </c>
      <c r="P55" s="971">
        <f>IF(AND(L19&lt;&gt;"",K19=""),ROUND((O39)*(O49),0),0)</f>
        <v>0</v>
      </c>
      <c r="Q55" s="3594"/>
      <c r="T55" s="3390" t="s">
        <v>2494</v>
      </c>
      <c r="U55" s="3391"/>
      <c r="V55" s="3391"/>
      <c r="W55" s="3391"/>
      <c r="X55" s="3392"/>
    </row>
    <row r="56" spans="1:24" ht="12" customHeight="1" thickBot="1">
      <c r="A56" s="112"/>
      <c r="B56" s="3236">
        <v>10</v>
      </c>
      <c r="C56" s="190" t="s">
        <v>2391</v>
      </c>
      <c r="D56" s="190"/>
      <c r="E56" s="190"/>
      <c r="F56" s="190"/>
      <c r="G56" s="190"/>
      <c r="H56" s="190"/>
      <c r="I56" s="190"/>
      <c r="J56" s="190"/>
      <c r="K56" s="190"/>
      <c r="L56" s="189"/>
      <c r="M56" s="3242"/>
      <c r="N56" s="3241"/>
      <c r="O56" s="1602"/>
      <c r="P56" s="3195"/>
      <c r="Q56" s="7"/>
      <c r="R56" s="1436"/>
      <c r="T56" s="3382" t="s">
        <v>2495</v>
      </c>
      <c r="U56" s="3383"/>
      <c r="V56" s="3383"/>
      <c r="W56" s="3383"/>
      <c r="X56" s="3384"/>
    </row>
    <row r="57" spans="1:24" ht="14.25" customHeight="1" thickBot="1">
      <c r="A57" s="112"/>
      <c r="B57" s="3236"/>
      <c r="C57" s="190" t="s">
        <v>2392</v>
      </c>
      <c r="D57" s="190"/>
      <c r="E57" s="190"/>
      <c r="F57" s="190"/>
      <c r="G57" s="190"/>
      <c r="H57" s="190"/>
      <c r="I57" s="190"/>
      <c r="J57" s="190"/>
      <c r="K57" s="3242" t="s">
        <v>864</v>
      </c>
      <c r="L57" s="3243">
        <v>10</v>
      </c>
      <c r="M57" s="3327" t="str">
        <f>IF(Q57&lt;&gt;"",ROUND(Q57,0),IF(AND(L19="",L21=""),"",IF(O57&gt;0,O57,0)))</f>
        <v/>
      </c>
      <c r="N57" s="3241"/>
      <c r="O57" s="3314">
        <f>SUM(F1040_Line47,-Foreign_Tax_Credit)</f>
        <v>0</v>
      </c>
      <c r="P57" s="3195"/>
      <c r="Q57" s="3594"/>
      <c r="R57" s="3314"/>
      <c r="T57" s="3385" t="s">
        <v>2496</v>
      </c>
      <c r="U57" s="3032"/>
      <c r="V57" s="3032"/>
      <c r="W57" s="3032"/>
      <c r="X57" s="3386"/>
    </row>
    <row r="58" spans="1:24" ht="12.75" customHeight="1" thickBot="1">
      <c r="A58" s="112"/>
      <c r="B58" s="3236">
        <v>11</v>
      </c>
      <c r="C58" s="185" t="s">
        <v>2360</v>
      </c>
      <c r="D58" s="185"/>
      <c r="E58" s="185"/>
      <c r="F58" s="189"/>
      <c r="G58" s="189"/>
      <c r="H58" s="189"/>
      <c r="I58" s="189"/>
      <c r="J58" s="189"/>
      <c r="K58" s="189"/>
      <c r="L58" s="189"/>
      <c r="M58" s="189"/>
      <c r="N58" s="3211"/>
      <c r="O58" s="3245"/>
      <c r="P58" s="3195"/>
      <c r="Q58" s="7"/>
      <c r="T58" s="3385" t="s">
        <v>2497</v>
      </c>
      <c r="U58" s="3032"/>
      <c r="V58" s="3032"/>
      <c r="W58" s="3032"/>
      <c r="X58" s="3386"/>
    </row>
    <row r="59" spans="1:24" ht="14.25" customHeight="1" thickBot="1">
      <c r="A59" s="112"/>
      <c r="B59" s="3263"/>
      <c r="C59" s="2995" t="s">
        <v>2464</v>
      </c>
      <c r="D59" s="2995"/>
      <c r="E59" s="2995"/>
      <c r="F59" s="218"/>
      <c r="G59" s="218"/>
      <c r="H59" s="218"/>
      <c r="I59" s="218"/>
      <c r="J59" s="218"/>
      <c r="K59" s="218"/>
      <c r="L59" s="218"/>
      <c r="M59" s="3264" t="s">
        <v>2361</v>
      </c>
      <c r="N59" s="3265">
        <f>B58</f>
        <v>11</v>
      </c>
      <c r="O59" s="3327" t="str">
        <f>IF(Q59&lt;&gt;"",ROUND(Q59,0),IF(J22&lt;&gt;"","",MIN(O55,M57)))</f>
        <v/>
      </c>
      <c r="P59" s="3195"/>
      <c r="Q59" s="3594"/>
      <c r="T59" s="3385" t="s">
        <v>2498</v>
      </c>
      <c r="U59" s="3032"/>
      <c r="V59" s="3032"/>
      <c r="W59" s="3032"/>
      <c r="X59" s="3386"/>
    </row>
    <row r="60" spans="1:24" s="3191" customFormat="1" ht="16.5" customHeight="1">
      <c r="A60" s="962"/>
      <c r="B60" s="3725" t="s">
        <v>779</v>
      </c>
      <c r="C60" s="3266"/>
      <c r="D60" s="3266"/>
      <c r="E60" s="3266"/>
      <c r="F60" s="3266"/>
      <c r="G60" s="3266"/>
      <c r="H60" s="3266"/>
      <c r="I60" s="3266"/>
      <c r="J60" s="3266"/>
      <c r="K60" s="3266"/>
      <c r="L60" s="3266"/>
      <c r="M60" s="3267" t="s">
        <v>2362</v>
      </c>
      <c r="N60" s="3266"/>
      <c r="O60" s="516" t="str">
        <f>"Form 2441  ("&amp;TaxYear&amp;")"</f>
        <v>Form 2441  (2016)</v>
      </c>
      <c r="P60" s="3202"/>
      <c r="Q60" s="3203"/>
      <c r="T60" s="3387" t="s">
        <v>2499</v>
      </c>
      <c r="U60" s="3388"/>
      <c r="V60" s="3388"/>
      <c r="W60" s="3388"/>
      <c r="X60" s="3389"/>
    </row>
    <row r="61" spans="1:24" ht="15.75" customHeight="1" thickBot="1">
      <c r="A61" s="112"/>
      <c r="B61" s="219" t="str">
        <f>"Form 2441 ("&amp;TaxYear&amp;")"</f>
        <v>Form 2441 (2016)</v>
      </c>
      <c r="C61" s="218"/>
      <c r="D61" s="218"/>
      <c r="E61" s="218"/>
      <c r="F61" s="218"/>
      <c r="G61" s="218"/>
      <c r="H61" s="218"/>
      <c r="I61" s="218"/>
      <c r="J61" s="218"/>
      <c r="K61" s="218"/>
      <c r="L61" s="218"/>
      <c r="M61" s="218"/>
      <c r="N61" s="218"/>
      <c r="O61" s="3268" t="s">
        <v>2363</v>
      </c>
      <c r="P61" s="3195"/>
      <c r="Q61" s="7"/>
      <c r="T61" s="3385" t="s">
        <v>2500</v>
      </c>
      <c r="U61" s="3032"/>
      <c r="V61" s="3032"/>
      <c r="W61" s="3032"/>
      <c r="X61" s="3386"/>
    </row>
    <row r="62" spans="1:24" ht="19.5" customHeight="1">
      <c r="A62" s="112"/>
      <c r="B62" s="3269" t="s">
        <v>514</v>
      </c>
      <c r="C62" s="3270" t="s">
        <v>2364</v>
      </c>
      <c r="D62" s="3270"/>
      <c r="E62" s="3270"/>
      <c r="F62" s="195"/>
      <c r="G62" s="195"/>
      <c r="H62" s="195"/>
      <c r="I62" s="195"/>
      <c r="J62" s="195"/>
      <c r="K62" s="4504" t="str">
        <f>IF(AND(File_Marr_Sep&lt;&gt;"",$S$17&lt;&gt;""),"You cannot take the credit or exclusion.","")</f>
        <v/>
      </c>
      <c r="L62" s="195"/>
      <c r="M62" s="195"/>
      <c r="N62" s="195"/>
      <c r="O62" s="195"/>
      <c r="P62" s="3202"/>
      <c r="Q62" s="3203"/>
      <c r="T62" s="3385" t="s">
        <v>2501</v>
      </c>
      <c r="U62" s="3032"/>
      <c r="V62" s="3032"/>
      <c r="W62" s="3032"/>
      <c r="X62" s="3386"/>
    </row>
    <row r="63" spans="1:24">
      <c r="A63" s="112"/>
      <c r="B63" s="3236">
        <v>12</v>
      </c>
      <c r="C63" s="3237" t="s">
        <v>2365</v>
      </c>
      <c r="D63" s="3237"/>
      <c r="E63" s="3237"/>
      <c r="F63" s="190"/>
      <c r="G63" s="190"/>
      <c r="H63" s="190"/>
      <c r="I63" s="190"/>
      <c r="J63" s="190" t="str">
        <f>"received for "&amp;TaxYear&amp;".  Amounts you "</f>
        <v xml:space="preserve">received for 2016.  Amounts you </v>
      </c>
      <c r="K63" s="190"/>
      <c r="L63" s="190"/>
      <c r="M63" s="190"/>
      <c r="N63" s="3271"/>
      <c r="O63" s="3272"/>
      <c r="P63" s="3195"/>
      <c r="Q63" s="7"/>
      <c r="T63" s="3385" t="s">
        <v>2502</v>
      </c>
      <c r="U63" s="3032"/>
      <c r="V63" s="3032"/>
      <c r="W63" s="3032"/>
      <c r="X63" s="3386"/>
    </row>
    <row r="64" spans="1:24">
      <c r="A64" s="112"/>
      <c r="B64" s="291"/>
      <c r="C64" s="3237" t="s">
        <v>2366</v>
      </c>
      <c r="D64" s="3237"/>
      <c r="E64" s="3237"/>
      <c r="F64" s="190"/>
      <c r="G64" s="190"/>
      <c r="H64" s="190"/>
      <c r="I64" s="190"/>
      <c r="J64" s="190"/>
      <c r="K64" s="190"/>
      <c r="L64" s="190"/>
      <c r="M64" s="190"/>
      <c r="N64" s="3211"/>
      <c r="O64" s="1602"/>
      <c r="P64" s="3195"/>
      <c r="Q64" s="7"/>
      <c r="T64" s="3385" t="s">
        <v>2503</v>
      </c>
      <c r="U64" s="3032"/>
      <c r="V64" s="3032"/>
      <c r="W64" s="3032"/>
      <c r="X64" s="3386"/>
    </row>
    <row r="65" spans="1:24">
      <c r="A65" s="112"/>
      <c r="B65" s="291"/>
      <c r="C65" s="3237" t="s">
        <v>2367</v>
      </c>
      <c r="D65" s="3237"/>
      <c r="E65" s="3237"/>
      <c r="F65" s="190"/>
      <c r="G65" s="190"/>
      <c r="H65" s="190"/>
      <c r="I65" s="190"/>
      <c r="J65" s="190"/>
      <c r="K65" s="190"/>
      <c r="L65" s="190"/>
      <c r="M65" s="190"/>
      <c r="N65" s="3211"/>
      <c r="O65" s="1602"/>
      <c r="P65" s="3195"/>
      <c r="Q65" s="7"/>
      <c r="T65" s="3385" t="s">
        <v>2504</v>
      </c>
      <c r="U65" s="3032"/>
      <c r="V65" s="3032"/>
      <c r="W65" s="3032"/>
      <c r="X65" s="3386"/>
    </row>
    <row r="66" spans="1:24" ht="12.75" customHeight="1" thickBot="1">
      <c r="A66" s="112"/>
      <c r="B66" s="291"/>
      <c r="C66" s="3237" t="s">
        <v>2368</v>
      </c>
      <c r="D66" s="3237"/>
      <c r="E66" s="3237"/>
      <c r="F66" s="190"/>
      <c r="G66" s="190"/>
      <c r="H66" s="190"/>
      <c r="I66" s="190"/>
      <c r="J66" s="190"/>
      <c r="K66" s="190"/>
      <c r="L66" s="190"/>
      <c r="M66" s="190"/>
      <c r="N66" s="3211"/>
      <c r="O66" s="1602"/>
      <c r="P66" s="3195"/>
      <c r="Q66" s="3332" t="s">
        <v>150</v>
      </c>
      <c r="T66" s="3385" t="s">
        <v>2505</v>
      </c>
      <c r="U66" s="3032"/>
      <c r="V66" s="3032"/>
      <c r="W66" s="3032"/>
      <c r="X66" s="3386"/>
    </row>
    <row r="67" spans="1:24" ht="13.5" customHeight="1" thickBot="1">
      <c r="A67" s="112"/>
      <c r="B67" s="291"/>
      <c r="C67" s="3237" t="s">
        <v>2369</v>
      </c>
      <c r="D67" s="3237"/>
      <c r="E67" s="3237"/>
      <c r="F67" s="190"/>
      <c r="G67" s="190"/>
      <c r="H67" s="190"/>
      <c r="I67" s="190"/>
      <c r="J67" s="190"/>
      <c r="K67" s="190"/>
      <c r="L67" s="190"/>
      <c r="M67" s="190"/>
      <c r="N67" s="3273">
        <f>B63</f>
        <v>12</v>
      </c>
      <c r="O67" s="3327">
        <f>IF(Q67&lt;&gt;"",ROUND(Q67,0),'W-2s'!C61)</f>
        <v>0</v>
      </c>
      <c r="P67" s="3195"/>
      <c r="Q67" s="3594"/>
      <c r="T67" s="3385" t="s">
        <v>2506</v>
      </c>
      <c r="U67" s="3032"/>
      <c r="V67" s="3032"/>
      <c r="W67" s="3032"/>
      <c r="X67" s="3386"/>
    </row>
    <row r="68" spans="1:24">
      <c r="A68" s="112"/>
      <c r="B68" s="3236">
        <v>13</v>
      </c>
      <c r="C68" s="3237" t="str">
        <f>"Enter the amount, if any, you carried over from "&amp;TaxYear-1&amp;" and used in "&amp;TaxYear&amp;" during the grace"</f>
        <v>Enter the amount, if any, you carried over from 2015 and used in 2016 during the grace</v>
      </c>
      <c r="D68" s="3237"/>
      <c r="E68" s="3237"/>
      <c r="F68" s="190"/>
      <c r="G68" s="190"/>
      <c r="H68" s="190"/>
      <c r="I68" s="190"/>
      <c r="J68" s="190"/>
      <c r="K68" s="190"/>
      <c r="L68" s="190"/>
      <c r="M68" s="215"/>
      <c r="N68" s="3282"/>
      <c r="O68" s="3283"/>
      <c r="P68" s="3195"/>
      <c r="Q68" s="7"/>
      <c r="T68" s="3390" t="s">
        <v>2507</v>
      </c>
      <c r="U68" s="3391"/>
      <c r="V68" s="3391"/>
      <c r="W68" s="3391"/>
      <c r="X68" s="3392"/>
    </row>
    <row r="69" spans="1:24" ht="12.75" customHeight="1">
      <c r="A69" s="112"/>
      <c r="B69" s="3236"/>
      <c r="C69" s="3237" t="s">
        <v>2394</v>
      </c>
      <c r="D69" s="3237"/>
      <c r="E69" s="3237"/>
      <c r="F69" s="190"/>
      <c r="G69" s="190"/>
      <c r="H69" s="190"/>
      <c r="I69" s="190"/>
      <c r="J69" s="190"/>
      <c r="K69" s="190"/>
      <c r="L69" s="190"/>
      <c r="M69" s="215" t="s">
        <v>920</v>
      </c>
      <c r="N69" s="3274">
        <f>B68</f>
        <v>13</v>
      </c>
      <c r="O69" s="3341"/>
      <c r="P69" s="3195"/>
      <c r="Q69" s="7"/>
    </row>
    <row r="70" spans="1:24" ht="16.5" customHeight="1">
      <c r="A70" s="112"/>
      <c r="B70" s="3236">
        <v>14</v>
      </c>
      <c r="C70" s="190" t="str">
        <f>"Enter the amount, if any, you forfeited or carried forward to "&amp;TaxYear+1&amp;". See instructions"</f>
        <v>Enter the amount, if any, you forfeited or carried forward to 2017. See instructions</v>
      </c>
      <c r="D70" s="190"/>
      <c r="E70" s="190"/>
      <c r="F70" s="190"/>
      <c r="G70" s="190"/>
      <c r="H70" s="190"/>
      <c r="I70" s="190"/>
      <c r="J70" s="190"/>
      <c r="K70" s="190"/>
      <c r="L70" s="190"/>
      <c r="M70" s="215" t="s">
        <v>1002</v>
      </c>
      <c r="N70" s="3274">
        <f>B70</f>
        <v>14</v>
      </c>
      <c r="O70" s="3341"/>
      <c r="P70" s="3195"/>
      <c r="Q70" s="7"/>
    </row>
    <row r="71" spans="1:24" ht="16.5" customHeight="1">
      <c r="A71" s="112"/>
      <c r="B71" s="3236">
        <v>15</v>
      </c>
      <c r="C71" s="3237" t="s">
        <v>2395</v>
      </c>
      <c r="D71" s="3237"/>
      <c r="E71" s="3237"/>
      <c r="F71" s="190"/>
      <c r="G71" s="190"/>
      <c r="H71" s="190"/>
      <c r="I71" s="190"/>
      <c r="J71" s="190"/>
      <c r="K71" s="190"/>
      <c r="L71" s="190"/>
      <c r="M71" s="215" t="s">
        <v>995</v>
      </c>
      <c r="N71" s="3274">
        <f>B71</f>
        <v>15</v>
      </c>
      <c r="O71" s="3327" t="str">
        <f>IF(OR(L19&lt;&gt;"",L21=""),"",ROUND(SUM(O67,O69,-O70),0))</f>
        <v/>
      </c>
      <c r="P71" s="3195"/>
      <c r="Q71" s="7"/>
      <c r="S71" s="5"/>
      <c r="T71" s="5"/>
      <c r="U71" s="5"/>
      <c r="V71" s="5"/>
    </row>
    <row r="72" spans="1:24" ht="15.75" customHeight="1">
      <c r="A72" s="112"/>
      <c r="B72" s="3236">
        <v>16</v>
      </c>
      <c r="C72" s="190" t="s">
        <v>2370</v>
      </c>
      <c r="D72" s="190"/>
      <c r="E72" s="190"/>
      <c r="F72" s="190"/>
      <c r="G72" s="190"/>
      <c r="H72" s="190"/>
      <c r="I72" s="190"/>
      <c r="J72" s="190"/>
      <c r="K72" s="190"/>
      <c r="L72" s="3275"/>
      <c r="M72" s="3276"/>
      <c r="N72" s="3241"/>
      <c r="O72" s="191"/>
      <c r="P72" s="3195"/>
      <c r="Q72" s="3332"/>
      <c r="S72" s="3336"/>
      <c r="T72" s="3337"/>
      <c r="U72" s="5"/>
      <c r="V72" s="5"/>
    </row>
    <row r="73" spans="1:24" ht="12.75" customHeight="1" thickBot="1">
      <c r="A73" s="112"/>
      <c r="B73" s="291"/>
      <c r="C73" s="190" t="str">
        <f>"in   "&amp;TaxYear&amp;"   for   care  of   the"</f>
        <v>in   2016   for   care  of   the</v>
      </c>
      <c r="D73" s="190"/>
      <c r="E73" s="190"/>
      <c r="F73" s="190"/>
      <c r="G73" s="34" t="s">
        <v>2371</v>
      </c>
      <c r="H73" s="34"/>
      <c r="I73" s="190"/>
      <c r="J73" s="190"/>
      <c r="K73" s="3277"/>
      <c r="L73" s="3273">
        <f>B72</f>
        <v>16</v>
      </c>
      <c r="M73" s="3341"/>
      <c r="N73" s="3278"/>
      <c r="O73" s="191"/>
      <c r="P73" s="3195"/>
      <c r="Q73" s="3332" t="s">
        <v>150</v>
      </c>
      <c r="S73" s="3336"/>
      <c r="T73" s="3337"/>
      <c r="U73" s="5"/>
      <c r="V73" s="5"/>
    </row>
    <row r="74" spans="1:24" ht="16.5" customHeight="1" thickBot="1">
      <c r="A74" s="112"/>
      <c r="B74" s="3236">
        <v>17</v>
      </c>
      <c r="C74" s="3237" t="s">
        <v>2396</v>
      </c>
      <c r="D74" s="3237"/>
      <c r="E74" s="3237"/>
      <c r="F74" s="190"/>
      <c r="G74" s="190"/>
      <c r="H74" s="190"/>
      <c r="I74" s="190"/>
      <c r="J74" s="190"/>
      <c r="K74" s="190"/>
      <c r="L74" s="3273">
        <f>B74</f>
        <v>17</v>
      </c>
      <c r="M74" s="3327" t="str">
        <f>IF(Q74&lt;&gt;"",Q74,IF(OR(L19&lt;&gt;"",L21=""),"",MIN(O71,M73)))</f>
        <v/>
      </c>
      <c r="N74" s="3241"/>
      <c r="O74" s="191"/>
      <c r="P74" s="3195"/>
      <c r="Q74" s="3594"/>
      <c r="S74" s="5"/>
      <c r="T74" s="5"/>
      <c r="U74" s="5"/>
      <c r="V74" s="5"/>
    </row>
    <row r="75" spans="1:24" ht="15" customHeight="1" thickBot="1">
      <c r="A75" s="112"/>
      <c r="B75" s="3236">
        <v>18</v>
      </c>
      <c r="C75" s="190" t="s">
        <v>2372</v>
      </c>
      <c r="D75" s="190"/>
      <c r="E75" s="190"/>
      <c r="F75" s="190"/>
      <c r="G75" s="190"/>
      <c r="H75" s="190"/>
      <c r="I75" s="190"/>
      <c r="J75" s="190"/>
      <c r="K75" s="190"/>
      <c r="L75" s="3273">
        <f>B75</f>
        <v>18</v>
      </c>
      <c r="M75" s="3327" t="str">
        <f>IF(Q75&lt;&gt;"",ROUND(Q75,0),IF(OR(L19&lt;&gt;"",L21=""),"",'W-2s'!G3))</f>
        <v/>
      </c>
      <c r="N75" s="3241"/>
      <c r="O75" s="3342" t="s">
        <v>2436</v>
      </c>
      <c r="P75" s="3195"/>
      <c r="Q75" s="3594"/>
      <c r="S75" s="4502"/>
      <c r="T75" s="4502"/>
      <c r="U75" s="4502"/>
      <c r="V75" s="4502"/>
    </row>
    <row r="76" spans="1:24" ht="14.25" customHeight="1">
      <c r="A76" s="112"/>
      <c r="B76" s="3236">
        <v>19</v>
      </c>
      <c r="C76" s="190" t="s">
        <v>2373</v>
      </c>
      <c r="D76" s="190"/>
      <c r="E76" s="190"/>
      <c r="F76" s="190"/>
      <c r="G76" s="190"/>
      <c r="H76" s="190"/>
      <c r="I76" s="190"/>
      <c r="J76" s="190"/>
      <c r="K76" s="190"/>
      <c r="L76" s="3241"/>
      <c r="M76" s="3279"/>
      <c r="N76" s="3241"/>
      <c r="O76" s="3342" t="s">
        <v>2437</v>
      </c>
      <c r="P76" s="3195"/>
      <c r="Q76" s="7"/>
      <c r="S76" s="4502"/>
      <c r="T76" s="4502"/>
      <c r="U76" s="4502"/>
      <c r="V76" s="4502"/>
    </row>
    <row r="77" spans="1:24">
      <c r="A77" s="112"/>
      <c r="B77" s="3236"/>
      <c r="C77" s="190" t="s">
        <v>2374</v>
      </c>
      <c r="D77" s="190"/>
      <c r="E77" s="190"/>
      <c r="F77" s="190"/>
      <c r="G77" s="190"/>
      <c r="H77" s="190"/>
      <c r="I77" s="190"/>
      <c r="J77" s="190"/>
      <c r="K77" s="190"/>
      <c r="L77" s="3241"/>
      <c r="M77" s="3279"/>
      <c r="N77" s="3241"/>
      <c r="O77" s="3342" t="s">
        <v>2438</v>
      </c>
      <c r="P77" s="3195"/>
      <c r="Q77" s="7"/>
      <c r="S77" s="4502"/>
      <c r="T77" s="4502"/>
      <c r="U77" s="4502"/>
      <c r="V77" s="4502"/>
    </row>
    <row r="78" spans="1:24" ht="14.25">
      <c r="A78" s="112"/>
      <c r="B78" s="3236"/>
      <c r="C78" s="325" t="s">
        <v>2375</v>
      </c>
      <c r="D78" s="325"/>
      <c r="E78" s="325"/>
      <c r="F78" s="325"/>
      <c r="G78" s="190"/>
      <c r="H78" s="190"/>
      <c r="I78" s="190"/>
      <c r="J78" s="190"/>
      <c r="K78" s="190"/>
      <c r="L78" s="3241"/>
      <c r="M78" s="3279"/>
      <c r="N78" s="3241"/>
      <c r="O78" s="3342" t="s">
        <v>2431</v>
      </c>
      <c r="P78" s="3195"/>
      <c r="Q78" s="7"/>
      <c r="S78" s="4502"/>
      <c r="T78" s="4502"/>
      <c r="U78" s="4502"/>
      <c r="V78" s="4502"/>
    </row>
    <row r="79" spans="1:24">
      <c r="A79" s="112"/>
      <c r="B79" s="291"/>
      <c r="C79" s="190" t="s">
        <v>2376</v>
      </c>
      <c r="D79" s="190"/>
      <c r="E79" s="190"/>
      <c r="F79" s="190"/>
      <c r="G79" s="190"/>
      <c r="H79" s="190"/>
      <c r="I79" s="190"/>
      <c r="J79" s="190"/>
      <c r="K79" s="190"/>
      <c r="L79" s="3241"/>
      <c r="M79" s="3279"/>
      <c r="N79" s="3241"/>
      <c r="O79" s="3342" t="s">
        <v>2432</v>
      </c>
      <c r="P79" s="3195"/>
      <c r="Q79" s="7"/>
      <c r="S79" s="4502"/>
      <c r="T79" s="4502"/>
      <c r="U79" s="4502"/>
      <c r="V79" s="4502"/>
    </row>
    <row r="80" spans="1:24" ht="13.5" thickBot="1">
      <c r="A80" s="112"/>
      <c r="B80" s="291"/>
      <c r="C80" s="190" t="s">
        <v>2377</v>
      </c>
      <c r="D80" s="190"/>
      <c r="E80" s="190"/>
      <c r="F80" s="190"/>
      <c r="G80" s="190"/>
      <c r="H80" s="190"/>
      <c r="I80" s="190"/>
      <c r="J80" s="190"/>
      <c r="K80" s="190"/>
      <c r="L80" s="3241"/>
      <c r="M80" s="3335" t="str">
        <f>IF(AND(File_Marr_Sep&lt;&gt;"",S16&lt;&gt;""),ROUND('W-2s'!G28,0),M75)</f>
        <v/>
      </c>
      <c r="N80" s="3241"/>
      <c r="O80" s="3342" t="str">
        <f>"'unmarried' for"</f>
        <v>'unmarried' for</v>
      </c>
      <c r="P80" s="3195"/>
      <c r="Q80" s="3332" t="s">
        <v>150</v>
      </c>
      <c r="S80" s="4502"/>
      <c r="T80" s="4502"/>
      <c r="U80" s="4502"/>
      <c r="V80" s="4502"/>
    </row>
    <row r="81" spans="1:22" ht="13.5" thickBot="1">
      <c r="A81" s="112"/>
      <c r="B81" s="291"/>
      <c r="C81" s="190" t="s">
        <v>2378</v>
      </c>
      <c r="D81" s="190"/>
      <c r="E81" s="190"/>
      <c r="F81" s="190"/>
      <c r="G81" s="190"/>
      <c r="H81" s="190"/>
      <c r="I81" s="190"/>
      <c r="J81" s="34" t="s">
        <v>1131</v>
      </c>
      <c r="K81" s="190"/>
      <c r="L81" s="3273">
        <f>B76</f>
        <v>19</v>
      </c>
      <c r="M81" s="3327" t="str">
        <f>IF(Q81&lt;&gt;"",ROUND(Q81,0),IF(OR(L19&lt;&gt;"",L21=""),"",IF(File_Marr_Joint&lt;&gt;"",ROUND('W-2s'!G28,0),IF(AND(File_Marr_Sep&lt;&gt;"",S16&lt;&gt;""),M80,M75))))</f>
        <v/>
      </c>
      <c r="N81" s="3241"/>
      <c r="O81" s="3342" t="s">
        <v>2433</v>
      </c>
      <c r="P81" s="3195"/>
      <c r="Q81" s="3594"/>
      <c r="S81" s="4502"/>
      <c r="T81" s="4502"/>
      <c r="U81" s="4502"/>
      <c r="V81" s="4502"/>
    </row>
    <row r="82" spans="1:22" ht="14.25">
      <c r="A82" s="112"/>
      <c r="B82" s="291"/>
      <c r="C82" s="325" t="s">
        <v>2379</v>
      </c>
      <c r="D82" s="325"/>
      <c r="E82" s="325"/>
      <c r="F82" s="190"/>
      <c r="G82" s="190"/>
      <c r="H82" s="190"/>
      <c r="I82" s="190"/>
      <c r="J82" s="190"/>
      <c r="K82" s="190"/>
      <c r="L82" s="3241"/>
      <c r="M82" s="3279"/>
      <c r="N82" s="3241"/>
      <c r="O82" s="3342" t="s">
        <v>2434</v>
      </c>
      <c r="P82" s="3195"/>
      <c r="Q82" s="7"/>
      <c r="S82" s="4502"/>
      <c r="T82" s="4502"/>
      <c r="U82" s="4502"/>
      <c r="V82" s="4502"/>
    </row>
    <row r="83" spans="1:22">
      <c r="A83" s="112"/>
      <c r="B83" s="291"/>
      <c r="C83" s="190" t="s">
        <v>2380</v>
      </c>
      <c r="D83" s="190"/>
      <c r="E83" s="190"/>
      <c r="F83" s="190"/>
      <c r="G83" s="190"/>
      <c r="H83" s="190"/>
      <c r="I83" s="190"/>
      <c r="J83" s="190"/>
      <c r="K83" s="190"/>
      <c r="L83" s="3241"/>
      <c r="M83" s="3279"/>
      <c r="N83" s="3241"/>
      <c r="O83" s="3342" t="s">
        <v>2435</v>
      </c>
      <c r="P83" s="3195"/>
      <c r="Q83" s="7"/>
      <c r="S83" s="4502"/>
      <c r="T83" s="4502"/>
      <c r="U83" s="4502"/>
      <c r="V83" s="4502"/>
    </row>
    <row r="84" spans="1:22" ht="14.25">
      <c r="A84" s="112"/>
      <c r="B84" s="291"/>
      <c r="C84" s="325" t="s">
        <v>2397</v>
      </c>
      <c r="D84" s="325"/>
      <c r="E84" s="325"/>
      <c r="F84" s="34"/>
      <c r="G84" s="190"/>
      <c r="H84" s="190"/>
      <c r="I84" s="190"/>
      <c r="J84" s="190"/>
      <c r="K84" s="190"/>
      <c r="L84" s="3241"/>
      <c r="M84" s="3281"/>
      <c r="N84" s="3241"/>
      <c r="O84" s="3280"/>
      <c r="P84" s="3195"/>
      <c r="Q84" s="7"/>
      <c r="S84" s="4502"/>
      <c r="T84" s="4502"/>
      <c r="U84" s="4502"/>
      <c r="V84" s="4502"/>
    </row>
    <row r="85" spans="1:22" ht="16.5" customHeight="1">
      <c r="A85" s="112"/>
      <c r="B85" s="3236">
        <v>20</v>
      </c>
      <c r="C85" s="3237" t="s">
        <v>2398</v>
      </c>
      <c r="D85" s="3237"/>
      <c r="E85" s="3237"/>
      <c r="F85" s="190"/>
      <c r="G85" s="190"/>
      <c r="H85" s="190"/>
      <c r="I85" s="190"/>
      <c r="J85" s="190"/>
      <c r="K85" s="190"/>
      <c r="L85" s="3273">
        <f>B85</f>
        <v>20</v>
      </c>
      <c r="M85" s="3327" t="str">
        <f>IF(OR(L19&lt;&gt;"",L21="",AND(File_Marr_Sep&lt;&gt;"",S16="")),"",MIN(M74,M75,M81))</f>
        <v/>
      </c>
      <c r="N85" s="3241"/>
      <c r="O85" s="3280"/>
      <c r="P85" s="3195"/>
      <c r="Q85" s="7"/>
      <c r="S85" s="4502"/>
      <c r="T85" s="4502"/>
      <c r="U85" s="4502"/>
      <c r="V85" s="4502"/>
    </row>
    <row r="86" spans="1:22" ht="16.5" customHeight="1">
      <c r="A86" s="112"/>
      <c r="B86" s="3236">
        <v>21</v>
      </c>
      <c r="C86" s="3237" t="s">
        <v>2399</v>
      </c>
      <c r="D86" s="3237"/>
      <c r="E86" s="3237"/>
      <c r="F86" s="190"/>
      <c r="G86" s="190"/>
      <c r="H86" s="190"/>
      <c r="I86" s="190"/>
      <c r="J86" s="190"/>
      <c r="K86" s="190"/>
      <c r="L86" s="3322"/>
      <c r="M86" s="215"/>
      <c r="N86" s="3241"/>
      <c r="O86" s="3338">
        <v>5000</v>
      </c>
      <c r="P86" s="3195"/>
      <c r="Q86" s="7"/>
      <c r="S86" s="4502"/>
      <c r="T86" s="4502"/>
      <c r="U86" s="4502"/>
      <c r="V86" s="4502"/>
    </row>
    <row r="87" spans="1:22">
      <c r="A87" s="112"/>
      <c r="B87" s="3236"/>
      <c r="C87" s="3237" t="s">
        <v>2400</v>
      </c>
      <c r="D87" s="3237"/>
      <c r="E87" s="3237"/>
      <c r="F87" s="190"/>
      <c r="G87" s="190"/>
      <c r="H87" s="190"/>
      <c r="I87" s="190"/>
      <c r="J87" s="190"/>
      <c r="K87" s="215" t="s">
        <v>2401</v>
      </c>
      <c r="L87" s="3273">
        <f>B86</f>
        <v>21</v>
      </c>
      <c r="M87" s="3327" t="str">
        <f>IF(OR(L19&lt;&gt;"",L21=""),"",IF(AND(File_Marr_Sep&lt;&gt;"",S16&lt;&gt;""),O87,O86))</f>
        <v/>
      </c>
      <c r="N87" s="3241"/>
      <c r="O87" s="3338">
        <v>2500</v>
      </c>
      <c r="P87" s="3195"/>
      <c r="Q87" s="7"/>
      <c r="S87" s="4502"/>
      <c r="T87" s="4502"/>
      <c r="U87" s="4502"/>
      <c r="V87" s="4502"/>
    </row>
    <row r="88" spans="1:22" ht="13.5" thickBot="1">
      <c r="A88" s="112"/>
      <c r="B88" s="3236">
        <v>22</v>
      </c>
      <c r="C88" s="3237" t="s">
        <v>2403</v>
      </c>
      <c r="D88" s="3237"/>
      <c r="E88" s="3237"/>
      <c r="F88" s="190"/>
      <c r="G88" s="190"/>
      <c r="H88" s="190"/>
      <c r="I88" s="190"/>
      <c r="J88" s="190"/>
      <c r="K88" s="190"/>
      <c r="L88" s="190"/>
      <c r="M88" s="190"/>
      <c r="N88" s="3241"/>
      <c r="O88" s="191"/>
      <c r="P88" s="3195"/>
      <c r="Q88" s="3339" t="s">
        <v>2428</v>
      </c>
      <c r="S88" s="4502"/>
      <c r="T88" s="4502"/>
      <c r="U88" s="4502"/>
      <c r="V88" s="4502"/>
    </row>
    <row r="89" spans="1:22" ht="13.5" thickBot="1">
      <c r="A89" s="2629">
        <f>IF(C89&lt;&gt;"",1,0)</f>
        <v>1</v>
      </c>
      <c r="B89" s="3236"/>
      <c r="C89" s="2402" t="s">
        <v>2449</v>
      </c>
      <c r="D89" s="3237" t="s">
        <v>2404</v>
      </c>
      <c r="E89" s="3237"/>
      <c r="F89" s="3343"/>
      <c r="G89" s="3343" t="str">
        <f>IF(OR(L19&lt;&gt;"",L21=""),"",IF(A91=0,"&lt; Check one.",IF(A91=2,"Check ONLY one.","")))</f>
        <v/>
      </c>
      <c r="H89" s="190"/>
      <c r="I89" s="190"/>
      <c r="J89" s="190"/>
      <c r="K89" s="190"/>
      <c r="L89" s="190"/>
      <c r="M89" s="215"/>
      <c r="N89" s="3282"/>
      <c r="O89" s="3344" t="str">
        <f>IF(OR(L19&lt;&gt;"",L21=""),"",IF(A91=0,"&lt; Check one.",IF(A91=2,"Check ONLY one.","")))</f>
        <v/>
      </c>
      <c r="P89" s="3195"/>
      <c r="Q89" s="3339" t="s">
        <v>2429</v>
      </c>
      <c r="S89" s="4502"/>
      <c r="T89" s="4502"/>
      <c r="U89" s="4502"/>
      <c r="V89" s="4502"/>
    </row>
    <row r="90" spans="1:22" ht="13.5" thickBot="1">
      <c r="A90" s="2629">
        <f>IF(C90&lt;&gt;"",1,0)</f>
        <v>0</v>
      </c>
      <c r="B90" s="291"/>
      <c r="C90" s="2402"/>
      <c r="D90" s="3237" t="s">
        <v>2405</v>
      </c>
      <c r="E90" s="3237"/>
      <c r="F90" s="190"/>
      <c r="G90" s="190"/>
      <c r="H90" s="190"/>
      <c r="I90" s="190"/>
      <c r="J90" s="190"/>
      <c r="K90" s="190"/>
      <c r="L90" s="190"/>
      <c r="M90" s="215" t="s">
        <v>2087</v>
      </c>
      <c r="N90" s="3274">
        <f>B88</f>
        <v>22</v>
      </c>
      <c r="O90" s="3327" t="str">
        <f>IF(OR(L19&lt;&gt;"",L21=""),"",IF(C89&lt;&gt;"",0,ROUND(Q90,0)))</f>
        <v/>
      </c>
      <c r="P90" s="3195"/>
      <c r="Q90" s="3340"/>
      <c r="S90" s="4502"/>
      <c r="T90" s="4502"/>
      <c r="U90" s="4502"/>
      <c r="V90" s="4502"/>
    </row>
    <row r="91" spans="1:22" ht="15" customHeight="1">
      <c r="A91" s="2629">
        <f>SUM(A89,A90)</f>
        <v>1</v>
      </c>
      <c r="B91" s="3236">
        <v>23</v>
      </c>
      <c r="C91" s="3237" t="s">
        <v>2402</v>
      </c>
      <c r="D91" s="3237"/>
      <c r="E91" s="3237"/>
      <c r="F91" s="190"/>
      <c r="G91" s="190"/>
      <c r="H91" s="190"/>
      <c r="I91" s="190"/>
      <c r="J91" s="190"/>
      <c r="K91" s="215" t="s">
        <v>730</v>
      </c>
      <c r="L91" s="3273">
        <f>B91</f>
        <v>23</v>
      </c>
      <c r="M91" s="3327" t="str">
        <f>IF(OR(L19&lt;&gt;"",L21=""),"",SUM(O71,-O90))</f>
        <v/>
      </c>
      <c r="N91" s="3241"/>
      <c r="O91" s="191"/>
      <c r="P91" s="3195"/>
      <c r="Q91" s="7"/>
      <c r="S91" s="4502"/>
      <c r="T91" s="4502"/>
      <c r="U91" s="4502"/>
      <c r="V91" s="4502"/>
    </row>
    <row r="92" spans="1:22" ht="16.5" customHeight="1">
      <c r="A92" s="112"/>
      <c r="B92" s="3236">
        <v>24</v>
      </c>
      <c r="C92" s="34" t="s">
        <v>2381</v>
      </c>
      <c r="D92" s="34"/>
      <c r="E92" s="34"/>
      <c r="F92" s="190"/>
      <c r="G92" s="190"/>
      <c r="H92" s="190"/>
      <c r="I92" s="190" t="str">
        <f>"of line "&amp;B85&amp;", "&amp;B86&amp;", or "&amp;B88&amp;". Also, include this amount on"</f>
        <v>of line 20, 21, or 22. Also, include this amount on</v>
      </c>
      <c r="J92" s="190"/>
      <c r="K92" s="190"/>
      <c r="L92" s="190"/>
      <c r="M92" s="215"/>
      <c r="N92" s="3282"/>
      <c r="O92" s="3284"/>
      <c r="P92" s="3195"/>
      <c r="Q92" s="7"/>
      <c r="S92" s="4502"/>
      <c r="T92" s="4502"/>
      <c r="U92" s="4502"/>
      <c r="V92" s="4502"/>
    </row>
    <row r="93" spans="1:22" ht="13.5" customHeight="1">
      <c r="A93" s="112"/>
      <c r="B93" s="291"/>
      <c r="C93" s="3237" t="s">
        <v>2406</v>
      </c>
      <c r="D93" s="3237"/>
      <c r="E93" s="3237"/>
      <c r="F93" s="190"/>
      <c r="G93" s="190"/>
      <c r="H93" s="190"/>
      <c r="I93" s="190"/>
      <c r="J93" s="190"/>
      <c r="K93" s="190"/>
      <c r="L93" s="190"/>
      <c r="M93" s="215" t="s">
        <v>924</v>
      </c>
      <c r="N93" s="3274">
        <f>B92</f>
        <v>24</v>
      </c>
      <c r="O93" s="3327" t="str">
        <f>IF(OR(L19&lt;&gt;"",L21=""),"",MIN(M85,M87,O90))</f>
        <v/>
      </c>
      <c r="P93" s="3195"/>
      <c r="Q93" s="7"/>
      <c r="S93" s="4502"/>
      <c r="T93" s="4502"/>
      <c r="U93" s="4502"/>
      <c r="V93" s="4502"/>
    </row>
    <row r="94" spans="1:22" ht="13.5" customHeight="1">
      <c r="A94" s="112"/>
      <c r="B94" s="3236">
        <v>25</v>
      </c>
      <c r="C94" s="3237" t="s">
        <v>2409</v>
      </c>
      <c r="D94" s="190"/>
      <c r="E94" s="190"/>
      <c r="F94" s="190"/>
      <c r="G94" s="190"/>
      <c r="H94" s="190"/>
      <c r="I94" s="190"/>
      <c r="J94" s="190"/>
      <c r="K94" s="215"/>
      <c r="L94" s="190"/>
      <c r="M94" s="190"/>
      <c r="N94" s="3241"/>
      <c r="O94" s="191"/>
      <c r="P94" s="3195"/>
      <c r="Q94" s="7"/>
    </row>
    <row r="95" spans="1:22" ht="13.5" customHeight="1" thickBot="1">
      <c r="A95" s="112"/>
      <c r="B95" s="3236"/>
      <c r="C95" s="3237" t="s">
        <v>2407</v>
      </c>
      <c r="D95" s="190"/>
      <c r="E95" s="190"/>
      <c r="F95" s="190"/>
      <c r="G95" s="190"/>
      <c r="H95" s="190"/>
      <c r="I95" s="190"/>
      <c r="J95" s="190"/>
      <c r="K95" s="215"/>
      <c r="L95" s="190"/>
      <c r="M95" s="190"/>
      <c r="N95" s="3241"/>
      <c r="O95" s="191"/>
      <c r="P95" s="3195"/>
      <c r="Q95" s="3332" t="s">
        <v>150</v>
      </c>
    </row>
    <row r="96" spans="1:22" ht="13.5" customHeight="1" thickBot="1">
      <c r="A96" s="112"/>
      <c r="B96" s="3236"/>
      <c r="C96" s="3237" t="s">
        <v>2408</v>
      </c>
      <c r="D96" s="34"/>
      <c r="E96" s="34"/>
      <c r="F96" s="190"/>
      <c r="G96" s="190"/>
      <c r="H96" s="190"/>
      <c r="I96" s="190"/>
      <c r="J96" s="190"/>
      <c r="K96" s="190"/>
      <c r="L96" s="190"/>
      <c r="M96" s="190"/>
      <c r="N96" s="3274">
        <f>B94</f>
        <v>25</v>
      </c>
      <c r="O96" s="3327" t="str">
        <f>IF(Q96&lt;&gt;"",Q96,IF(OR(L19&lt;&gt;"",L21=""),"",IF(AND(C89="",C90=""),"",IF(C89&lt;&gt;"",MIN(M85,M87),IF(SUM(MIN(M85,M87),-O93)&lt;0,0,SUM(MIN(M85,M87),-O93))))))</f>
        <v/>
      </c>
      <c r="P96" s="3195"/>
      <c r="Q96" s="3594"/>
    </row>
    <row r="97" spans="1:23" ht="13.5" customHeight="1">
      <c r="A97" s="112"/>
      <c r="B97" s="3236">
        <v>26</v>
      </c>
      <c r="C97" s="3326" t="s">
        <v>2410</v>
      </c>
      <c r="D97" s="315"/>
      <c r="E97" s="315"/>
      <c r="F97" s="190"/>
      <c r="G97" s="190"/>
      <c r="H97" s="190"/>
      <c r="I97" s="190"/>
      <c r="J97" s="190"/>
      <c r="K97" s="190"/>
      <c r="L97" s="190"/>
      <c r="M97" s="190"/>
      <c r="N97" s="3275"/>
      <c r="O97" s="3280"/>
      <c r="P97" s="3195"/>
      <c r="Q97" s="7"/>
    </row>
    <row r="98" spans="1:23" ht="13.5" customHeight="1">
      <c r="A98" s="112"/>
      <c r="B98" s="3236"/>
      <c r="C98" s="3237" t="s">
        <v>2411</v>
      </c>
      <c r="D98" s="315"/>
      <c r="E98" s="315"/>
      <c r="F98" s="190"/>
      <c r="G98" s="190"/>
      <c r="H98" s="190"/>
      <c r="I98" s="190"/>
      <c r="J98" s="190"/>
      <c r="K98" s="190"/>
      <c r="L98" s="190"/>
      <c r="M98" s="190"/>
      <c r="N98" s="3275"/>
      <c r="O98" s="3280"/>
      <c r="P98" s="3195"/>
      <c r="Q98" s="7"/>
    </row>
    <row r="99" spans="1:23" ht="13.5" customHeight="1">
      <c r="A99" s="112"/>
      <c r="B99" s="3236"/>
      <c r="C99" s="3237" t="s">
        <v>2412</v>
      </c>
      <c r="D99" s="315"/>
      <c r="E99" s="315"/>
      <c r="F99" s="190"/>
      <c r="G99" s="190"/>
      <c r="H99" s="190"/>
      <c r="I99" s="190"/>
      <c r="J99" s="190"/>
      <c r="K99" s="190"/>
      <c r="L99" s="190"/>
      <c r="M99" s="190"/>
      <c r="N99" s="3275"/>
      <c r="O99" s="3280"/>
      <c r="P99" s="3195"/>
      <c r="Q99" s="7"/>
    </row>
    <row r="100" spans="1:23" ht="15" customHeight="1" thickBot="1">
      <c r="A100" s="112"/>
      <c r="B100" s="3236"/>
      <c r="C100" s="3237" t="s">
        <v>2415</v>
      </c>
      <c r="D100" s="315"/>
      <c r="E100" s="315"/>
      <c r="F100" s="190"/>
      <c r="G100" s="190"/>
      <c r="H100" s="190"/>
      <c r="I100" s="190"/>
      <c r="J100" s="190"/>
      <c r="K100" s="190"/>
      <c r="L100" s="190"/>
      <c r="M100" s="190"/>
      <c r="N100" s="3275"/>
      <c r="O100" s="3280"/>
      <c r="P100" s="3195"/>
      <c r="Q100" s="3332" t="s">
        <v>150</v>
      </c>
    </row>
    <row r="101" spans="1:23" ht="13.5" thickBot="1">
      <c r="A101" s="112"/>
      <c r="B101" s="3285"/>
      <c r="C101" s="3226" t="s">
        <v>2413</v>
      </c>
      <c r="D101" s="3226"/>
      <c r="E101" s="3226"/>
      <c r="F101" s="27"/>
      <c r="G101" s="27"/>
      <c r="H101" s="27"/>
      <c r="I101" s="27"/>
      <c r="J101" s="27"/>
      <c r="K101" s="27"/>
      <c r="L101" s="27"/>
      <c r="M101" s="3286" t="s">
        <v>1183</v>
      </c>
      <c r="N101" s="3273">
        <f>B97</f>
        <v>26</v>
      </c>
      <c r="O101" s="3327" t="str">
        <f>IF(Q101&lt;&gt;"",ROUND(Q101,0),IF(OR(AND(File_Marr_Sep&lt;&gt;"",$S$17&lt;&gt;""),AND(C89="",C90="")),"",IF(OR(L19&lt;&gt;"",L21=""),"",IF(SUM(M91,-O96)&lt;0,0,SUM(M91,-O96)))))</f>
        <v/>
      </c>
      <c r="P101" s="3195"/>
      <c r="Q101" s="3594"/>
    </row>
    <row r="102" spans="1:23">
      <c r="A102" s="112"/>
      <c r="B102" s="189"/>
      <c r="C102" s="190"/>
      <c r="D102" s="190"/>
      <c r="E102" s="190"/>
      <c r="F102" s="190"/>
      <c r="G102" s="190"/>
      <c r="H102" s="190"/>
      <c r="I102" s="190"/>
      <c r="J102" s="190"/>
      <c r="K102" s="190"/>
      <c r="L102" s="190"/>
      <c r="M102" s="190"/>
      <c r="N102" s="190"/>
      <c r="O102" s="191"/>
      <c r="P102" s="3195"/>
      <c r="Q102" s="7"/>
    </row>
    <row r="103" spans="1:23">
      <c r="A103" s="112"/>
      <c r="B103" s="189" t="s">
        <v>623</v>
      </c>
      <c r="C103" s="190"/>
      <c r="D103" s="190"/>
      <c r="E103" s="190"/>
      <c r="F103" s="190"/>
      <c r="G103" s="190"/>
      <c r="H103" s="190"/>
      <c r="I103" s="190" t="s">
        <v>2382</v>
      </c>
      <c r="J103" s="190"/>
      <c r="K103" s="190"/>
      <c r="L103" s="190"/>
      <c r="M103" s="190"/>
      <c r="N103" s="190"/>
      <c r="O103" s="191"/>
      <c r="P103" s="3195"/>
      <c r="Q103" s="7"/>
    </row>
    <row r="104" spans="1:23">
      <c r="A104" s="112"/>
      <c r="B104" s="1532"/>
      <c r="C104" s="190"/>
      <c r="D104" s="190"/>
      <c r="E104" s="190"/>
      <c r="F104" s="190"/>
      <c r="G104" s="190"/>
      <c r="H104" s="190"/>
      <c r="I104" s="3237" t="s">
        <v>2414</v>
      </c>
      <c r="J104" s="190"/>
      <c r="K104" s="190"/>
      <c r="L104" s="190"/>
      <c r="M104" s="190"/>
      <c r="N104" s="190"/>
      <c r="O104" s="191"/>
      <c r="P104" s="3195"/>
      <c r="Q104" s="7"/>
    </row>
    <row r="105" spans="1:23" ht="13.5" thickBot="1">
      <c r="A105" s="112"/>
      <c r="B105" s="27"/>
      <c r="C105" s="27"/>
      <c r="D105" s="27"/>
      <c r="E105" s="27"/>
      <c r="F105" s="27"/>
      <c r="G105" s="27"/>
      <c r="H105" s="27"/>
      <c r="I105" s="27"/>
      <c r="J105" s="27"/>
      <c r="K105" s="27"/>
      <c r="L105" s="27"/>
      <c r="M105" s="27"/>
      <c r="N105" s="27"/>
      <c r="O105" s="28"/>
      <c r="P105" s="3195"/>
      <c r="Q105" s="3332" t="s">
        <v>150</v>
      </c>
    </row>
    <row r="106" spans="1:23" ht="16.5" customHeight="1" thickBot="1">
      <c r="A106" s="112"/>
      <c r="B106" s="3236">
        <v>27</v>
      </c>
      <c r="C106" s="190" t="str">
        <f>"Enter "&amp;TEXT(Q33,"$0,000")&amp;" ("&amp;TEXT(Q34,"$0,000")&amp;" if two or more qualifying persons)"</f>
        <v>Enter $3,000 ($6,000 if two or more qualifying persons)</v>
      </c>
      <c r="D106" s="190"/>
      <c r="E106" s="190"/>
      <c r="F106" s="190"/>
      <c r="G106" s="190"/>
      <c r="H106" s="190"/>
      <c r="I106" s="190"/>
      <c r="J106" s="190"/>
      <c r="K106" s="190"/>
      <c r="L106" s="190"/>
      <c r="M106" s="190"/>
      <c r="N106" s="3273">
        <f>B106</f>
        <v>27</v>
      </c>
      <c r="O106" s="3327" t="str">
        <f>IF(Q106&lt;&gt;"",Q106,IF(OR(L19&lt;&gt;"",L21=""),"",IF(P34&gt;1,Q34,Q33)))</f>
        <v/>
      </c>
      <c r="P106" s="3195"/>
      <c r="Q106" s="3594"/>
      <c r="S106" s="6020" t="s">
        <v>2439</v>
      </c>
      <c r="T106" s="5969"/>
      <c r="U106" s="5969"/>
      <c r="V106" s="5969"/>
      <c r="W106" s="5970"/>
    </row>
    <row r="107" spans="1:23" ht="16.5" customHeight="1">
      <c r="A107" s="112"/>
      <c r="B107" s="3236">
        <v>28</v>
      </c>
      <c r="C107" s="3237" t="s">
        <v>2417</v>
      </c>
      <c r="D107" s="190"/>
      <c r="E107" s="190"/>
      <c r="F107" s="190"/>
      <c r="G107" s="190"/>
      <c r="H107" s="190"/>
      <c r="I107" s="190"/>
      <c r="J107" s="190"/>
      <c r="K107" s="190"/>
      <c r="L107" s="190"/>
      <c r="M107" s="215"/>
      <c r="N107" s="3273">
        <f>B107</f>
        <v>28</v>
      </c>
      <c r="O107" s="3327" t="str">
        <f>IF(OR(L19&lt;&gt;"",L21=""),"",SUM(O93,O96))</f>
        <v/>
      </c>
      <c r="P107" s="3195"/>
      <c r="Q107" s="7"/>
      <c r="S107" s="5971"/>
      <c r="T107" s="5183"/>
      <c r="U107" s="5183"/>
      <c r="V107" s="5183"/>
      <c r="W107" s="5972"/>
    </row>
    <row r="108" spans="1:23" ht="15.75" customHeight="1" thickBot="1">
      <c r="A108" s="112"/>
      <c r="B108" s="3236">
        <v>29</v>
      </c>
      <c r="C108" s="190" t="str">
        <f>"Subtract line "&amp;B107&amp;" from line "&amp;B106&amp;". If zero or"</f>
        <v>Subtract line 28 from line 27. If zero or</v>
      </c>
      <c r="D108" s="190"/>
      <c r="E108" s="190"/>
      <c r="F108" s="190"/>
      <c r="G108" s="190"/>
      <c r="H108" s="190" t="s">
        <v>2383</v>
      </c>
      <c r="I108" s="190"/>
      <c r="J108" s="190"/>
      <c r="K108" s="190"/>
      <c r="L108" s="190"/>
      <c r="M108" s="190"/>
      <c r="N108" s="3241"/>
      <c r="O108" s="3280"/>
      <c r="P108" s="3195"/>
      <c r="Q108" s="3332" t="s">
        <v>150</v>
      </c>
      <c r="S108" s="5971"/>
      <c r="T108" s="5183"/>
      <c r="U108" s="5183"/>
      <c r="V108" s="5183"/>
      <c r="W108" s="5972"/>
    </row>
    <row r="109" spans="1:23" ht="13.5" thickBot="1">
      <c r="A109" s="112"/>
      <c r="B109" s="3236"/>
      <c r="C109" s="3287" t="s">
        <v>2384</v>
      </c>
      <c r="D109" s="3287"/>
      <c r="E109" s="3287"/>
      <c r="F109" s="190" t="str">
        <f>"paid "&amp;TaxYear-1&amp;" expenses in "&amp;TaxYear&amp;", see the instruction for line 9"</f>
        <v>paid 2015 expenses in 2016, see the instruction for line 9</v>
      </c>
      <c r="G109" s="190"/>
      <c r="H109" s="190"/>
      <c r="I109" s="190"/>
      <c r="J109" s="190"/>
      <c r="K109" s="190"/>
      <c r="L109" s="190"/>
      <c r="M109" s="215" t="s">
        <v>931</v>
      </c>
      <c r="N109" s="3273">
        <f>B108</f>
        <v>29</v>
      </c>
      <c r="O109" s="3327" t="str">
        <f>IF(Q109&lt;&gt;"",ROUND(Q109,0),IF(OR(L19&lt;&gt;"",L21=""),"",IF(SUM(O106,-O107)&gt;=0,SUM(O106,-O107),"STOP")))</f>
        <v/>
      </c>
      <c r="P109" s="3195"/>
      <c r="Q109" s="3594"/>
      <c r="S109" s="5971"/>
      <c r="T109" s="5183"/>
      <c r="U109" s="5183"/>
      <c r="V109" s="5183"/>
      <c r="W109" s="5972"/>
    </row>
    <row r="110" spans="1:23" ht="13.5" thickBot="1">
      <c r="A110" s="112"/>
      <c r="B110" s="3236">
        <v>30</v>
      </c>
      <c r="C110" s="3237" t="s">
        <v>2416</v>
      </c>
      <c r="D110" s="319"/>
      <c r="E110" s="319"/>
      <c r="F110" s="190"/>
      <c r="G110" s="190"/>
      <c r="H110" s="190"/>
      <c r="I110" s="190"/>
      <c r="J110" s="190"/>
      <c r="K110" s="190"/>
      <c r="L110" s="190"/>
      <c r="M110" s="190"/>
      <c r="N110" s="3241"/>
      <c r="O110" s="3280"/>
      <c r="P110" s="3195"/>
      <c r="Q110" s="3332" t="s">
        <v>150</v>
      </c>
      <c r="S110" s="5973"/>
      <c r="T110" s="5974"/>
      <c r="U110" s="5974"/>
      <c r="V110" s="5974"/>
      <c r="W110" s="5975"/>
    </row>
    <row r="111" spans="1:23" ht="13.5" thickBot="1">
      <c r="A111" s="112"/>
      <c r="B111" s="3236"/>
      <c r="C111" s="3237" t="str">
        <f>"line "&amp;B107&amp;" above.   Then, add the amounts in column (c) and enter the total here"</f>
        <v>line 28 above.   Then, add the amounts in column (c) and enter the total here</v>
      </c>
      <c r="D111" s="319"/>
      <c r="E111" s="319"/>
      <c r="F111" s="190"/>
      <c r="G111" s="190"/>
      <c r="H111" s="190"/>
      <c r="I111" s="190"/>
      <c r="J111" s="190"/>
      <c r="K111" s="190"/>
      <c r="L111" s="190"/>
      <c r="M111" s="215" t="s">
        <v>632</v>
      </c>
      <c r="N111" s="3273">
        <f>B110</f>
        <v>30</v>
      </c>
      <c r="O111" s="3327" t="str">
        <f>IF(Q111&lt;&gt;"",Q111,IF(OR(L19&lt;&gt;"",L21=""),"",O33))</f>
        <v/>
      </c>
      <c r="P111" s="3195"/>
      <c r="Q111" s="3594"/>
    </row>
    <row r="112" spans="1:23" ht="13.5" thickBot="1">
      <c r="A112" s="112"/>
      <c r="B112" s="3236">
        <v>31</v>
      </c>
      <c r="C112" s="190" t="s">
        <v>2385</v>
      </c>
      <c r="D112" s="190"/>
      <c r="E112" s="190"/>
      <c r="F112" s="190" t="str">
        <f>"of line "&amp;B108&amp;" or "&amp;B110&amp;".  Also, enter this amount on line "&amp;B33&amp;" on the front of this"</f>
        <v>of line 29 or 30.  Also, enter this amount on line 3 on the front of this</v>
      </c>
      <c r="G112" s="190"/>
      <c r="H112" s="190"/>
      <c r="I112" s="190"/>
      <c r="J112" s="190"/>
      <c r="K112" s="190"/>
      <c r="L112" s="190"/>
      <c r="M112" s="190"/>
      <c r="N112" s="3241"/>
      <c r="O112" s="3280"/>
      <c r="P112" s="3195"/>
      <c r="Q112" s="3332" t="s">
        <v>150</v>
      </c>
    </row>
    <row r="113" spans="1:17" ht="13.5" thickBot="1">
      <c r="A113" s="112"/>
      <c r="B113" s="218"/>
      <c r="C113" s="218" t="str">
        <f>"form and complete lines "&amp;B36&amp;" through "&amp;B58</f>
        <v>form and complete lines 4 through 11</v>
      </c>
      <c r="D113" s="218"/>
      <c r="E113" s="218"/>
      <c r="F113" s="218"/>
      <c r="G113" s="218"/>
      <c r="H113" s="218"/>
      <c r="I113" s="218"/>
      <c r="J113" s="218"/>
      <c r="K113" s="218"/>
      <c r="L113" s="218"/>
      <c r="M113" s="3288" t="s">
        <v>2418</v>
      </c>
      <c r="N113" s="3289">
        <f>B112</f>
        <v>31</v>
      </c>
      <c r="O113" s="3327" t="str">
        <f>IF(Q113&lt;&gt;"",Q113,IF(OR(L19&lt;&gt;"",L21=""),"",IF(O109="STOP",0,MIN(O109,O111))))</f>
        <v/>
      </c>
      <c r="P113" s="3195"/>
      <c r="Q113" s="3594"/>
    </row>
    <row r="114" spans="1:17" ht="17.25" customHeight="1">
      <c r="A114" s="112"/>
      <c r="B114" s="3290"/>
      <c r="C114" s="316"/>
      <c r="D114" s="316"/>
      <c r="E114" s="316"/>
      <c r="F114" s="316"/>
      <c r="G114" s="316"/>
      <c r="H114" s="316"/>
      <c r="I114" s="316"/>
      <c r="J114" s="316"/>
      <c r="K114" s="316"/>
      <c r="L114" s="316"/>
      <c r="M114" s="422"/>
      <c r="N114" s="316"/>
      <c r="O114" s="3291" t="str">
        <f>"Form 2441  ("&amp;TaxYear&amp;")"</f>
        <v>Form 2441  (2016)</v>
      </c>
      <c r="P114" s="3195"/>
      <c r="Q114" s="7"/>
    </row>
    <row r="115" spans="1:17" ht="36" customHeight="1" thickBot="1">
      <c r="A115" s="112"/>
      <c r="B115" s="3204"/>
      <c r="C115" s="189"/>
      <c r="D115" s="189"/>
      <c r="E115" s="189"/>
      <c r="F115" s="189"/>
      <c r="G115" s="189"/>
      <c r="H115" s="189"/>
      <c r="I115" s="3204"/>
      <c r="J115" s="3204"/>
      <c r="K115" s="189"/>
      <c r="L115" s="3205"/>
      <c r="M115" s="189"/>
      <c r="N115" s="189"/>
      <c r="O115" s="3206"/>
      <c r="P115" s="3195"/>
      <c r="Q115" s="7"/>
    </row>
    <row r="116" spans="1:17" ht="17.25" customHeight="1">
      <c r="A116" s="112"/>
      <c r="B116" s="3292"/>
      <c r="C116" s="6097">
        <v>2441</v>
      </c>
      <c r="D116" s="6098"/>
      <c r="E116" s="6098"/>
      <c r="F116" s="317"/>
      <c r="G116" s="6090" t="s">
        <v>2386</v>
      </c>
      <c r="H116" s="6091"/>
      <c r="I116" s="5383"/>
      <c r="J116" s="5383"/>
      <c r="K116" s="5383"/>
      <c r="L116" s="5383"/>
      <c r="M116" s="5383"/>
      <c r="N116" s="6092"/>
      <c r="O116" s="6093">
        <f>TaxYear</f>
        <v>2016</v>
      </c>
      <c r="P116" s="3195"/>
      <c r="Q116" s="7"/>
    </row>
    <row r="117" spans="1:17" ht="21" customHeight="1" thickBot="1">
      <c r="A117" s="112"/>
      <c r="B117" s="3293" t="s">
        <v>469</v>
      </c>
      <c r="C117" s="6099"/>
      <c r="D117" s="6099"/>
      <c r="E117" s="6099"/>
      <c r="F117" s="3294"/>
      <c r="G117" s="6095" t="s">
        <v>2322</v>
      </c>
      <c r="H117" s="6096"/>
      <c r="I117" s="5371"/>
      <c r="J117" s="5371"/>
      <c r="K117" s="5371"/>
      <c r="L117" s="5371"/>
      <c r="M117" s="5371"/>
      <c r="N117" s="5372"/>
      <c r="O117" s="6094"/>
      <c r="P117" s="3202"/>
      <c r="Q117" s="3203"/>
    </row>
    <row r="118" spans="1:17" ht="6" customHeight="1">
      <c r="A118" s="112"/>
      <c r="B118" s="3295"/>
      <c r="C118" s="3296"/>
      <c r="D118" s="3296"/>
      <c r="E118" s="3296"/>
      <c r="F118" s="3297"/>
      <c r="G118" s="3298"/>
      <c r="H118" s="3298"/>
      <c r="I118" s="3298"/>
      <c r="J118" s="3297"/>
      <c r="K118" s="3297"/>
      <c r="L118" s="3297"/>
      <c r="M118" s="3297"/>
      <c r="N118" s="3297"/>
      <c r="O118" s="3299"/>
      <c r="P118" s="3202"/>
      <c r="Q118" s="3203"/>
    </row>
    <row r="119" spans="1:17" ht="11.25" customHeight="1">
      <c r="A119" s="112"/>
      <c r="B119" s="3300" t="s">
        <v>147</v>
      </c>
      <c r="C119" s="3301"/>
      <c r="D119" s="3301"/>
      <c r="E119" s="3301"/>
      <c r="F119" s="2927"/>
      <c r="G119" s="214"/>
      <c r="H119" s="214"/>
      <c r="I119" s="214"/>
      <c r="J119" s="214"/>
      <c r="K119" s="3302"/>
      <c r="L119" s="3303"/>
      <c r="M119" s="3304"/>
      <c r="N119" s="3305"/>
      <c r="O119" s="757" t="s">
        <v>148</v>
      </c>
      <c r="P119" s="3201"/>
      <c r="Q119" s="7"/>
    </row>
    <row r="120" spans="1:17" ht="14.25" customHeight="1">
      <c r="A120" s="112"/>
      <c r="B120" s="3306" t="str">
        <f>Names</f>
        <v/>
      </c>
      <c r="C120" s="209"/>
      <c r="D120" s="209"/>
      <c r="E120" s="209"/>
      <c r="F120" s="27"/>
      <c r="G120" s="28"/>
      <c r="H120" s="28"/>
      <c r="I120" s="28"/>
      <c r="J120" s="28"/>
      <c r="K120" s="3307"/>
      <c r="L120" s="3308"/>
      <c r="M120" s="3309"/>
      <c r="N120" s="3310"/>
      <c r="O120" s="3311">
        <f>SS_Yours</f>
        <v>0</v>
      </c>
      <c r="P120" s="3201"/>
      <c r="Q120" s="7"/>
    </row>
    <row r="121" spans="1:17" ht="12" customHeight="1">
      <c r="A121" s="112"/>
      <c r="B121" s="3204"/>
      <c r="C121" s="189"/>
      <c r="D121" s="189"/>
      <c r="E121" s="189"/>
      <c r="F121" s="189"/>
      <c r="G121" s="189"/>
      <c r="H121" s="189"/>
      <c r="I121" s="3204"/>
      <c r="J121" s="3204"/>
      <c r="K121" s="189"/>
      <c r="L121" s="3205"/>
      <c r="M121" s="189"/>
      <c r="N121" s="189"/>
      <c r="O121" s="3206"/>
      <c r="P121" s="3195"/>
      <c r="Q121" s="7"/>
    </row>
    <row r="122" spans="1:17" ht="15" customHeight="1">
      <c r="A122" s="112"/>
      <c r="B122" s="3207" t="s">
        <v>92</v>
      </c>
      <c r="C122" s="3287" t="s">
        <v>2387</v>
      </c>
      <c r="D122" s="3287"/>
      <c r="E122" s="3287"/>
      <c r="F122" s="190"/>
      <c r="G122" s="190"/>
      <c r="H122" s="190"/>
      <c r="I122" s="190"/>
      <c r="J122" s="190"/>
      <c r="K122" s="190"/>
      <c r="L122" s="190"/>
      <c r="M122" s="190"/>
      <c r="N122" s="190"/>
      <c r="O122" s="189"/>
      <c r="P122" s="3195"/>
      <c r="Q122" s="7"/>
    </row>
    <row r="123" spans="1:17" ht="6.75" customHeight="1">
      <c r="A123" s="112"/>
      <c r="B123" s="27"/>
      <c r="C123" s="27"/>
      <c r="D123" s="27"/>
      <c r="E123" s="27"/>
      <c r="F123" s="27"/>
      <c r="G123" s="27"/>
      <c r="H123" s="27"/>
      <c r="I123" s="27"/>
      <c r="J123" s="27"/>
      <c r="K123" s="27"/>
      <c r="L123" s="27"/>
      <c r="M123" s="27"/>
      <c r="N123" s="27"/>
      <c r="O123" s="27"/>
      <c r="P123" s="3195"/>
      <c r="Q123" s="7"/>
    </row>
    <row r="124" spans="1:17">
      <c r="A124" s="112"/>
      <c r="B124" s="3209" t="s">
        <v>2328</v>
      </c>
      <c r="C124" s="201" t="s">
        <v>2329</v>
      </c>
      <c r="D124" s="201"/>
      <c r="E124" s="201"/>
      <c r="F124" s="3210"/>
      <c r="G124" s="3211"/>
      <c r="H124" s="189"/>
      <c r="I124" s="3212" t="s">
        <v>2330</v>
      </c>
      <c r="J124" s="190"/>
      <c r="K124" s="190"/>
      <c r="L124" s="3211"/>
      <c r="M124" s="3213" t="s">
        <v>2331</v>
      </c>
      <c r="N124" s="190"/>
      <c r="O124" s="3214" t="s">
        <v>2332</v>
      </c>
      <c r="P124" s="3195"/>
      <c r="Q124" s="7"/>
    </row>
    <row r="125" spans="1:17">
      <c r="A125" s="112"/>
      <c r="B125" s="3215" t="str">
        <f>"   1"</f>
        <v xml:space="preserve">   1</v>
      </c>
      <c r="C125" s="3216" t="s">
        <v>2333</v>
      </c>
      <c r="D125" s="3216"/>
      <c r="E125" s="3216"/>
      <c r="F125" s="3217"/>
      <c r="G125" s="3218" t="s">
        <v>2334</v>
      </c>
      <c r="H125" s="203"/>
      <c r="I125" s="27"/>
      <c r="J125" s="27"/>
      <c r="K125" s="27"/>
      <c r="L125" s="3219"/>
      <c r="M125" s="203" t="s">
        <v>2335</v>
      </c>
      <c r="N125" s="27"/>
      <c r="O125" s="3218" t="s">
        <v>2336</v>
      </c>
      <c r="P125" s="3195"/>
      <c r="Q125" s="7"/>
    </row>
    <row r="126" spans="1:17">
      <c r="A126" s="112"/>
      <c r="B126" s="6071"/>
      <c r="C126" s="6072"/>
      <c r="D126" s="6072"/>
      <c r="E126" s="6072"/>
      <c r="F126" s="6073"/>
      <c r="G126" s="6076"/>
      <c r="H126" s="6077"/>
      <c r="I126" s="6078"/>
      <c r="J126" s="6078"/>
      <c r="K126" s="6079"/>
      <c r="L126" s="6080"/>
      <c r="M126" s="6081"/>
      <c r="N126" s="6082"/>
      <c r="O126" s="3365"/>
      <c r="P126" s="3195"/>
      <c r="Q126" s="7"/>
    </row>
    <row r="127" spans="1:17">
      <c r="A127" s="112"/>
      <c r="B127" s="6074"/>
      <c r="C127" s="6074"/>
      <c r="D127" s="6074"/>
      <c r="E127" s="6074"/>
      <c r="F127" s="6075"/>
      <c r="G127" s="6086"/>
      <c r="H127" s="6087"/>
      <c r="I127" s="6088"/>
      <c r="J127" s="6088"/>
      <c r="K127" s="6089"/>
      <c r="L127" s="6083"/>
      <c r="M127" s="6084"/>
      <c r="N127" s="6085"/>
      <c r="O127" s="3341"/>
      <c r="P127" s="3195"/>
      <c r="Q127" s="7"/>
    </row>
    <row r="128" spans="1:17">
      <c r="A128" s="112"/>
      <c r="B128" s="6071"/>
      <c r="C128" s="6072"/>
      <c r="D128" s="6072"/>
      <c r="E128" s="6072"/>
      <c r="F128" s="6073"/>
      <c r="G128" s="6076"/>
      <c r="H128" s="6077"/>
      <c r="I128" s="6078"/>
      <c r="J128" s="6078"/>
      <c r="K128" s="6079"/>
      <c r="L128" s="6080"/>
      <c r="M128" s="6081"/>
      <c r="N128" s="6082"/>
      <c r="O128" s="3365"/>
      <c r="P128" s="3195"/>
      <c r="Q128" s="7"/>
    </row>
    <row r="129" spans="1:17">
      <c r="A129" s="112"/>
      <c r="B129" s="6074"/>
      <c r="C129" s="6074"/>
      <c r="D129" s="6074"/>
      <c r="E129" s="6074"/>
      <c r="F129" s="6075"/>
      <c r="G129" s="6086"/>
      <c r="H129" s="6087"/>
      <c r="I129" s="6088"/>
      <c r="J129" s="6088"/>
      <c r="K129" s="6089"/>
      <c r="L129" s="6083"/>
      <c r="M129" s="6084"/>
      <c r="N129" s="6085"/>
      <c r="O129" s="3341"/>
      <c r="P129" s="3195"/>
      <c r="Q129" s="7"/>
    </row>
    <row r="130" spans="1:17">
      <c r="A130" s="112"/>
      <c r="B130" s="6071"/>
      <c r="C130" s="6072"/>
      <c r="D130" s="6072"/>
      <c r="E130" s="6072"/>
      <c r="F130" s="6073"/>
      <c r="G130" s="6076"/>
      <c r="H130" s="6077"/>
      <c r="I130" s="6078"/>
      <c r="J130" s="6078"/>
      <c r="K130" s="6079"/>
      <c r="L130" s="6080"/>
      <c r="M130" s="6081"/>
      <c r="N130" s="6082"/>
      <c r="O130" s="3365"/>
      <c r="P130" s="3195"/>
      <c r="Q130" s="7"/>
    </row>
    <row r="131" spans="1:17">
      <c r="A131" s="112"/>
      <c r="B131" s="6074"/>
      <c r="C131" s="6074"/>
      <c r="D131" s="6074"/>
      <c r="E131" s="6074"/>
      <c r="F131" s="6075"/>
      <c r="G131" s="6086"/>
      <c r="H131" s="6087"/>
      <c r="I131" s="6088"/>
      <c r="J131" s="6088"/>
      <c r="K131" s="6089"/>
      <c r="L131" s="6083"/>
      <c r="M131" s="6084"/>
      <c r="N131" s="6085"/>
      <c r="O131" s="3341"/>
      <c r="P131" s="3195"/>
      <c r="Q131" s="7"/>
    </row>
    <row r="132" spans="1:17">
      <c r="A132" s="112"/>
      <c r="B132" s="6071"/>
      <c r="C132" s="6072"/>
      <c r="D132" s="6072"/>
      <c r="E132" s="6072"/>
      <c r="F132" s="6073"/>
      <c r="G132" s="6076"/>
      <c r="H132" s="6077"/>
      <c r="I132" s="6078"/>
      <c r="J132" s="6078"/>
      <c r="K132" s="6079"/>
      <c r="L132" s="6080"/>
      <c r="M132" s="6081"/>
      <c r="N132" s="6082"/>
      <c r="O132" s="3365"/>
      <c r="P132" s="3195"/>
      <c r="Q132" s="7"/>
    </row>
    <row r="133" spans="1:17">
      <c r="A133" s="112"/>
      <c r="B133" s="6074"/>
      <c r="C133" s="6074"/>
      <c r="D133" s="6074"/>
      <c r="E133" s="6074"/>
      <c r="F133" s="6075"/>
      <c r="G133" s="6086"/>
      <c r="H133" s="6087"/>
      <c r="I133" s="6088"/>
      <c r="J133" s="6088"/>
      <c r="K133" s="6089"/>
      <c r="L133" s="6083"/>
      <c r="M133" s="6084"/>
      <c r="N133" s="6085"/>
      <c r="O133" s="3341"/>
      <c r="P133" s="3195"/>
      <c r="Q133" s="7"/>
    </row>
    <row r="134" spans="1:17">
      <c r="A134" s="112"/>
      <c r="B134" s="6071"/>
      <c r="C134" s="6072"/>
      <c r="D134" s="6072"/>
      <c r="E134" s="6072"/>
      <c r="F134" s="6073"/>
      <c r="G134" s="6076"/>
      <c r="H134" s="6077"/>
      <c r="I134" s="6078"/>
      <c r="J134" s="6078"/>
      <c r="K134" s="6079"/>
      <c r="L134" s="6080"/>
      <c r="M134" s="6081"/>
      <c r="N134" s="6082"/>
      <c r="O134" s="3365"/>
      <c r="P134" s="3195"/>
      <c r="Q134" s="7"/>
    </row>
    <row r="135" spans="1:17">
      <c r="A135" s="112"/>
      <c r="B135" s="6074"/>
      <c r="C135" s="6074"/>
      <c r="D135" s="6074"/>
      <c r="E135" s="6074"/>
      <c r="F135" s="6075"/>
      <c r="G135" s="6086"/>
      <c r="H135" s="6087"/>
      <c r="I135" s="6088"/>
      <c r="J135" s="6088"/>
      <c r="K135" s="6089"/>
      <c r="L135" s="6083"/>
      <c r="M135" s="6084"/>
      <c r="N135" s="6085"/>
      <c r="O135" s="3341"/>
      <c r="P135" s="3195"/>
      <c r="Q135" s="7"/>
    </row>
    <row r="136" spans="1:17">
      <c r="A136" s="112"/>
      <c r="B136" s="6071"/>
      <c r="C136" s="6072"/>
      <c r="D136" s="6072"/>
      <c r="E136" s="6072"/>
      <c r="F136" s="6073"/>
      <c r="G136" s="6076"/>
      <c r="H136" s="6077"/>
      <c r="I136" s="6078"/>
      <c r="J136" s="6078"/>
      <c r="K136" s="6079"/>
      <c r="L136" s="6080"/>
      <c r="M136" s="6081"/>
      <c r="N136" s="6082"/>
      <c r="O136" s="3365"/>
      <c r="P136" s="3195"/>
      <c r="Q136" s="7"/>
    </row>
    <row r="137" spans="1:17">
      <c r="A137" s="112"/>
      <c r="B137" s="6074"/>
      <c r="C137" s="6074"/>
      <c r="D137" s="6074"/>
      <c r="E137" s="6074"/>
      <c r="F137" s="6075"/>
      <c r="G137" s="6086"/>
      <c r="H137" s="6087"/>
      <c r="I137" s="6088"/>
      <c r="J137" s="6088"/>
      <c r="K137" s="6089"/>
      <c r="L137" s="6083"/>
      <c r="M137" s="6084"/>
      <c r="N137" s="6085"/>
      <c r="O137" s="3341"/>
      <c r="P137" s="3195"/>
      <c r="Q137" s="7"/>
    </row>
    <row r="138" spans="1:17">
      <c r="A138" s="112"/>
      <c r="B138" s="6071"/>
      <c r="C138" s="6072"/>
      <c r="D138" s="6072"/>
      <c r="E138" s="6072"/>
      <c r="F138" s="6073"/>
      <c r="G138" s="6076"/>
      <c r="H138" s="6077"/>
      <c r="I138" s="6078"/>
      <c r="J138" s="6078"/>
      <c r="K138" s="6079"/>
      <c r="L138" s="6080"/>
      <c r="M138" s="6081"/>
      <c r="N138" s="6082"/>
      <c r="O138" s="3365"/>
      <c r="P138" s="3195"/>
      <c r="Q138" s="7"/>
    </row>
    <row r="139" spans="1:17">
      <c r="A139" s="112"/>
      <c r="B139" s="6074"/>
      <c r="C139" s="6074"/>
      <c r="D139" s="6074"/>
      <c r="E139" s="6074"/>
      <c r="F139" s="6075"/>
      <c r="G139" s="6086"/>
      <c r="H139" s="6087"/>
      <c r="I139" s="6088"/>
      <c r="J139" s="6088"/>
      <c r="K139" s="6089"/>
      <c r="L139" s="6083"/>
      <c r="M139" s="6084"/>
      <c r="N139" s="6085"/>
      <c r="O139" s="3341"/>
      <c r="P139" s="3195"/>
      <c r="Q139" s="7"/>
    </row>
    <row r="140" spans="1:17">
      <c r="A140" s="112"/>
      <c r="B140" s="6071"/>
      <c r="C140" s="6072"/>
      <c r="D140" s="6072"/>
      <c r="E140" s="6072"/>
      <c r="F140" s="6073"/>
      <c r="G140" s="6076"/>
      <c r="H140" s="6077"/>
      <c r="I140" s="6078"/>
      <c r="J140" s="6078"/>
      <c r="K140" s="6079"/>
      <c r="L140" s="6080"/>
      <c r="M140" s="6081"/>
      <c r="N140" s="6082"/>
      <c r="O140" s="3365"/>
      <c r="P140" s="3195"/>
      <c r="Q140" s="7"/>
    </row>
    <row r="141" spans="1:17">
      <c r="A141" s="112"/>
      <c r="B141" s="6074"/>
      <c r="C141" s="6074"/>
      <c r="D141" s="6074"/>
      <c r="E141" s="6074"/>
      <c r="F141" s="6075"/>
      <c r="G141" s="6086"/>
      <c r="H141" s="6087"/>
      <c r="I141" s="6088"/>
      <c r="J141" s="6088"/>
      <c r="K141" s="6089"/>
      <c r="L141" s="6083"/>
      <c r="M141" s="6084"/>
      <c r="N141" s="6085"/>
      <c r="O141" s="3341"/>
      <c r="P141" s="3195"/>
      <c r="Q141" s="7"/>
    </row>
    <row r="142" spans="1:17" ht="39" customHeight="1">
      <c r="A142" s="112"/>
      <c r="B142" s="189"/>
      <c r="C142" s="190"/>
      <c r="D142" s="190"/>
      <c r="E142" s="190"/>
      <c r="F142" s="190"/>
      <c r="G142" s="190"/>
      <c r="H142" s="190"/>
      <c r="I142" s="190"/>
      <c r="J142" s="190"/>
      <c r="K142" s="190"/>
      <c r="L142" s="190"/>
      <c r="M142" s="190"/>
      <c r="N142" s="190"/>
      <c r="O142" s="189"/>
      <c r="P142" s="3195"/>
      <c r="Q142" s="7"/>
    </row>
    <row r="143" spans="1:17" ht="15" customHeight="1">
      <c r="A143" s="112"/>
      <c r="B143" s="3227" t="s">
        <v>194</v>
      </c>
      <c r="C143" s="3228" t="s">
        <v>2388</v>
      </c>
      <c r="D143" s="3228"/>
      <c r="E143" s="3228"/>
      <c r="F143" s="3229"/>
      <c r="G143" s="3229"/>
      <c r="H143" s="3229"/>
      <c r="I143" s="3229"/>
      <c r="J143" s="3229"/>
      <c r="K143" s="3229"/>
      <c r="L143" s="3229"/>
      <c r="M143" s="3229"/>
      <c r="N143" s="3229"/>
      <c r="O143" s="3229"/>
      <c r="P143" s="3195"/>
      <c r="Q143" s="7"/>
    </row>
    <row r="144" spans="1:17">
      <c r="A144" s="112"/>
      <c r="B144" s="3215" t="str">
        <f>"   2"</f>
        <v xml:space="preserve">   2</v>
      </c>
      <c r="C144" s="27" t="s">
        <v>2343</v>
      </c>
      <c r="D144" s="27"/>
      <c r="E144" s="27"/>
      <c r="F144" s="27"/>
      <c r="G144" s="27"/>
      <c r="H144" s="27"/>
      <c r="I144" s="27"/>
      <c r="J144" s="27"/>
      <c r="K144" s="27"/>
      <c r="L144" s="27"/>
      <c r="M144" s="27"/>
      <c r="N144" s="27"/>
      <c r="O144" s="27"/>
      <c r="P144" s="3195"/>
      <c r="Q144" s="7"/>
    </row>
    <row r="145" spans="1:17" ht="12.75" customHeight="1">
      <c r="A145" s="112"/>
      <c r="B145" s="189"/>
      <c r="C145" s="190"/>
      <c r="D145" s="190"/>
      <c r="E145" s="190"/>
      <c r="F145" s="199" t="s">
        <v>2344</v>
      </c>
      <c r="G145" s="190"/>
      <c r="H145" s="190"/>
      <c r="I145" s="190"/>
      <c r="J145" s="190"/>
      <c r="K145" s="190"/>
      <c r="L145" s="3214"/>
      <c r="M145" s="190"/>
      <c r="N145" s="189"/>
      <c r="O145" s="3231" t="s">
        <v>2345</v>
      </c>
      <c r="P145" s="3195"/>
      <c r="Q145" s="7"/>
    </row>
    <row r="146" spans="1:17" ht="10.5" customHeight="1">
      <c r="A146" s="112"/>
      <c r="B146" s="189"/>
      <c r="C146" s="3232"/>
      <c r="D146" s="3232"/>
      <c r="E146" s="3232"/>
      <c r="F146" s="199"/>
      <c r="G146" s="190"/>
      <c r="H146" s="190"/>
      <c r="I146" s="201"/>
      <c r="J146" s="201"/>
      <c r="K146" s="190"/>
      <c r="L146" s="3233" t="s">
        <v>2346</v>
      </c>
      <c r="M146" s="190"/>
      <c r="N146" s="189"/>
      <c r="O146" s="3234" t="str">
        <f>"incurred and paid in "&amp;$O$3&amp;" for"</f>
        <v>incurred and paid in 2016 for</v>
      </c>
      <c r="P146" s="3195"/>
      <c r="Q146" s="7"/>
    </row>
    <row r="147" spans="1:17" ht="10.5" customHeight="1">
      <c r="A147" s="112"/>
      <c r="B147" s="27"/>
      <c r="C147" s="3216" t="s">
        <v>2347</v>
      </c>
      <c r="D147" s="3216"/>
      <c r="E147" s="3216"/>
      <c r="F147" s="27"/>
      <c r="G147" s="27"/>
      <c r="H147" s="27"/>
      <c r="I147" s="203" t="s">
        <v>2348</v>
      </c>
      <c r="J147" s="203"/>
      <c r="K147" s="27"/>
      <c r="L147" s="3219"/>
      <c r="M147" s="27"/>
      <c r="N147" s="27"/>
      <c r="O147" s="3235" t="s">
        <v>2349</v>
      </c>
      <c r="P147" s="3195"/>
      <c r="Q147" s="7"/>
    </row>
    <row r="148" spans="1:17" ht="25.5" customHeight="1">
      <c r="A148" s="112"/>
      <c r="B148" s="6064"/>
      <c r="C148" s="6065"/>
      <c r="D148" s="6065"/>
      <c r="E148" s="6065"/>
      <c r="F148" s="6066"/>
      <c r="G148" s="6067"/>
      <c r="H148" s="6064"/>
      <c r="I148" s="6065"/>
      <c r="J148" s="6065"/>
      <c r="K148" s="6066"/>
      <c r="L148" s="6068"/>
      <c r="M148" s="6069"/>
      <c r="N148" s="6070"/>
      <c r="O148" s="3341"/>
      <c r="P148" s="3195">
        <f t="shared" ref="P148:P155" si="4">IF(O148&gt;0,1,0)</f>
        <v>0</v>
      </c>
      <c r="Q148" s="7"/>
    </row>
    <row r="149" spans="1:17" ht="25.5" customHeight="1">
      <c r="A149" s="112"/>
      <c r="B149" s="6064"/>
      <c r="C149" s="6065"/>
      <c r="D149" s="6065"/>
      <c r="E149" s="6065"/>
      <c r="F149" s="6066"/>
      <c r="G149" s="6067"/>
      <c r="H149" s="6064"/>
      <c r="I149" s="6065"/>
      <c r="J149" s="6065"/>
      <c r="K149" s="6066"/>
      <c r="L149" s="6068"/>
      <c r="M149" s="6069"/>
      <c r="N149" s="6070"/>
      <c r="O149" s="3341"/>
      <c r="P149" s="3195">
        <f t="shared" si="4"/>
        <v>0</v>
      </c>
      <c r="Q149" s="7"/>
    </row>
    <row r="150" spans="1:17" ht="25.5" customHeight="1">
      <c r="A150" s="112"/>
      <c r="B150" s="6064"/>
      <c r="C150" s="6065"/>
      <c r="D150" s="6065"/>
      <c r="E150" s="6065"/>
      <c r="F150" s="6066"/>
      <c r="G150" s="6067"/>
      <c r="H150" s="6064"/>
      <c r="I150" s="6065"/>
      <c r="J150" s="6065"/>
      <c r="K150" s="6066"/>
      <c r="L150" s="6068"/>
      <c r="M150" s="6069"/>
      <c r="N150" s="6070"/>
      <c r="O150" s="3341"/>
      <c r="P150" s="3195">
        <f t="shared" si="4"/>
        <v>0</v>
      </c>
      <c r="Q150" s="7"/>
    </row>
    <row r="151" spans="1:17" ht="25.5" customHeight="1">
      <c r="A151" s="112"/>
      <c r="B151" s="6064"/>
      <c r="C151" s="6065"/>
      <c r="D151" s="6065"/>
      <c r="E151" s="6065"/>
      <c r="F151" s="6066"/>
      <c r="G151" s="6067"/>
      <c r="H151" s="6064"/>
      <c r="I151" s="6065"/>
      <c r="J151" s="6065"/>
      <c r="K151" s="6066"/>
      <c r="L151" s="6068"/>
      <c r="M151" s="6069"/>
      <c r="N151" s="6070"/>
      <c r="O151" s="3341"/>
      <c r="P151" s="3195">
        <f t="shared" si="4"/>
        <v>0</v>
      </c>
      <c r="Q151" s="7"/>
    </row>
    <row r="152" spans="1:17" ht="25.5" customHeight="1">
      <c r="A152" s="112"/>
      <c r="B152" s="6064"/>
      <c r="C152" s="6065"/>
      <c r="D152" s="6065"/>
      <c r="E152" s="6065"/>
      <c r="F152" s="6066"/>
      <c r="G152" s="6067"/>
      <c r="H152" s="6064"/>
      <c r="I152" s="6065"/>
      <c r="J152" s="6065"/>
      <c r="K152" s="6066"/>
      <c r="L152" s="6068"/>
      <c r="M152" s="6069"/>
      <c r="N152" s="6070"/>
      <c r="O152" s="3341"/>
      <c r="P152" s="3195">
        <f t="shared" si="4"/>
        <v>0</v>
      </c>
      <c r="Q152" s="7"/>
    </row>
    <row r="153" spans="1:17" ht="25.5" customHeight="1">
      <c r="A153" s="112"/>
      <c r="B153" s="6064"/>
      <c r="C153" s="6065"/>
      <c r="D153" s="6065"/>
      <c r="E153" s="6065"/>
      <c r="F153" s="6066"/>
      <c r="G153" s="6067"/>
      <c r="H153" s="6064"/>
      <c r="I153" s="6065"/>
      <c r="J153" s="6065"/>
      <c r="K153" s="6066"/>
      <c r="L153" s="6068"/>
      <c r="M153" s="6069"/>
      <c r="N153" s="6070"/>
      <c r="O153" s="3341"/>
      <c r="P153" s="3195">
        <f t="shared" si="4"/>
        <v>0</v>
      </c>
      <c r="Q153" s="7"/>
    </row>
    <row r="154" spans="1:17" ht="25.5" customHeight="1">
      <c r="A154" s="112"/>
      <c r="B154" s="6064"/>
      <c r="C154" s="6065"/>
      <c r="D154" s="6065"/>
      <c r="E154" s="6065"/>
      <c r="F154" s="6066"/>
      <c r="G154" s="6067"/>
      <c r="H154" s="6064"/>
      <c r="I154" s="6065"/>
      <c r="J154" s="6065"/>
      <c r="K154" s="6066"/>
      <c r="L154" s="6068"/>
      <c r="M154" s="6069"/>
      <c r="N154" s="6070"/>
      <c r="O154" s="3341"/>
      <c r="P154" s="3195">
        <f t="shared" si="4"/>
        <v>0</v>
      </c>
      <c r="Q154" s="7"/>
    </row>
    <row r="155" spans="1:17" ht="25.5" customHeight="1">
      <c r="A155" s="112"/>
      <c r="B155" s="6064"/>
      <c r="C155" s="6065"/>
      <c r="D155" s="6065"/>
      <c r="E155" s="6065"/>
      <c r="F155" s="6066"/>
      <c r="G155" s="6067"/>
      <c r="H155" s="6064"/>
      <c r="I155" s="6065"/>
      <c r="J155" s="6065"/>
      <c r="K155" s="6066"/>
      <c r="L155" s="6068"/>
      <c r="M155" s="6069"/>
      <c r="N155" s="6070"/>
      <c r="O155" s="3341"/>
      <c r="P155" s="3195">
        <f t="shared" si="4"/>
        <v>0</v>
      </c>
      <c r="Q155" s="7"/>
    </row>
    <row r="156" spans="1:17" ht="12.75" customHeight="1">
      <c r="A156" s="112"/>
      <c r="B156" s="1964"/>
      <c r="C156" s="970"/>
      <c r="D156" s="970"/>
      <c r="E156" s="970"/>
      <c r="F156" s="970"/>
      <c r="G156" s="970"/>
      <c r="H156" s="970"/>
      <c r="I156" s="970"/>
      <c r="J156" s="970"/>
      <c r="K156" s="970"/>
      <c r="L156" s="970"/>
      <c r="M156" s="970"/>
      <c r="N156" s="970"/>
      <c r="O156" s="1964"/>
      <c r="P156" s="3195"/>
      <c r="Q156" s="7"/>
    </row>
    <row r="157" spans="1:17">
      <c r="B157" s="3312"/>
      <c r="C157" s="3313"/>
      <c r="D157" s="3313"/>
      <c r="E157" s="3313"/>
      <c r="F157" s="3313"/>
      <c r="G157" s="3313"/>
      <c r="H157" s="3313"/>
      <c r="I157" s="3313"/>
      <c r="J157" s="3313"/>
      <c r="K157" s="3313"/>
      <c r="L157" s="3313"/>
      <c r="M157" s="3313"/>
      <c r="N157" s="3313"/>
      <c r="O157" s="3312"/>
      <c r="P157" s="7"/>
      <c r="Q157" s="7"/>
    </row>
    <row r="158" spans="1:17">
      <c r="B158" s="3312"/>
      <c r="C158" s="3313"/>
      <c r="D158" s="3313"/>
      <c r="E158" s="3313"/>
      <c r="F158" s="3313"/>
      <c r="G158" s="3313"/>
      <c r="H158" s="3313"/>
      <c r="I158" s="3313"/>
      <c r="J158" s="3313"/>
      <c r="K158" s="3313"/>
      <c r="L158" s="3313"/>
      <c r="M158" s="3313"/>
      <c r="N158" s="3313"/>
      <c r="O158" s="3312"/>
      <c r="P158" s="7"/>
      <c r="Q158" s="7"/>
    </row>
    <row r="159" spans="1:17">
      <c r="B159" s="3312"/>
      <c r="C159" s="3313"/>
      <c r="D159" s="3313"/>
      <c r="E159" s="3313"/>
      <c r="F159" s="3313"/>
      <c r="G159" s="3313"/>
      <c r="H159" s="3313"/>
      <c r="I159" s="3313"/>
      <c r="J159" s="3313"/>
      <c r="K159" s="3313"/>
      <c r="L159" s="3313"/>
      <c r="M159" s="3313"/>
      <c r="N159" s="3313"/>
      <c r="O159" s="3312"/>
      <c r="P159" s="7"/>
      <c r="Q159" s="7"/>
    </row>
    <row r="160" spans="1:17" ht="13.5" thickBot="1">
      <c r="B160" s="3312"/>
      <c r="C160" s="3313"/>
      <c r="D160" s="3313"/>
      <c r="E160" s="3313"/>
      <c r="F160" s="3313"/>
      <c r="G160" s="3313"/>
      <c r="H160" s="3313"/>
      <c r="I160" s="3313"/>
      <c r="J160" s="3313"/>
      <c r="K160" s="3313"/>
      <c r="L160" s="3313"/>
      <c r="M160" s="3313"/>
      <c r="N160" s="3313"/>
      <c r="O160" s="3312"/>
      <c r="P160" s="7"/>
      <c r="Q160" s="7"/>
    </row>
    <row r="161" spans="2:17" ht="14.25" thickTop="1" thickBot="1">
      <c r="B161" s="3312"/>
      <c r="C161" s="6061" t="s">
        <v>2389</v>
      </c>
      <c r="D161" s="6062"/>
      <c r="E161" s="6062"/>
      <c r="F161" s="6062"/>
      <c r="G161" s="6062"/>
      <c r="H161" s="6062"/>
      <c r="I161" s="6063"/>
      <c r="J161" s="3313"/>
      <c r="K161" s="3313"/>
      <c r="L161" s="3313"/>
      <c r="M161" s="3313"/>
      <c r="N161" s="3313"/>
      <c r="O161" s="3312"/>
      <c r="P161" s="7"/>
      <c r="Q161" s="7"/>
    </row>
    <row r="162" spans="2:17" ht="14.25" thickTop="1" thickBot="1">
      <c r="B162" s="3312"/>
      <c r="C162" s="3313"/>
      <c r="D162" s="3313"/>
      <c r="E162" s="3313"/>
      <c r="F162" s="3313"/>
      <c r="G162" s="3313"/>
      <c r="H162" s="3313"/>
      <c r="I162" s="3313"/>
      <c r="J162" s="3313"/>
      <c r="K162" s="3313"/>
      <c r="L162" s="3313"/>
      <c r="M162" s="3313"/>
      <c r="N162" s="3313"/>
      <c r="O162" s="3312"/>
      <c r="P162" s="7"/>
      <c r="Q162" s="7"/>
    </row>
    <row r="163" spans="2:17" ht="14.25" thickTop="1" thickBot="1">
      <c r="B163" s="3312"/>
      <c r="C163" s="6061" t="s">
        <v>2390</v>
      </c>
      <c r="D163" s="6062"/>
      <c r="E163" s="6062"/>
      <c r="F163" s="6062"/>
      <c r="G163" s="6062"/>
      <c r="H163" s="6062"/>
      <c r="I163" s="6063"/>
      <c r="J163" s="3313"/>
      <c r="K163" s="3313"/>
      <c r="L163" s="3313"/>
      <c r="M163" s="3313"/>
      <c r="N163" s="3313"/>
      <c r="O163" s="3312"/>
      <c r="P163" s="7"/>
      <c r="Q163" s="7"/>
    </row>
    <row r="164" spans="2:17" ht="13.5" thickTop="1"/>
  </sheetData>
  <sheetProtection password="F07E" sheet="1" objects="1" scenarios="1"/>
  <mergeCells count="93">
    <mergeCell ref="G17:K17"/>
    <mergeCell ref="F21:I21"/>
    <mergeCell ref="B31:F31"/>
    <mergeCell ref="G31:K31"/>
    <mergeCell ref="L31:N31"/>
    <mergeCell ref="F19:I20"/>
    <mergeCell ref="L28:N30"/>
    <mergeCell ref="N8:O8"/>
    <mergeCell ref="B14:F15"/>
    <mergeCell ref="G14:K14"/>
    <mergeCell ref="L14:N15"/>
    <mergeCell ref="O14:O15"/>
    <mergeCell ref="G15:K15"/>
    <mergeCell ref="G116:N116"/>
    <mergeCell ref="O116:O117"/>
    <mergeCell ref="G117:N117"/>
    <mergeCell ref="C116:E117"/>
    <mergeCell ref="B126:F127"/>
    <mergeCell ref="G126:K126"/>
    <mergeCell ref="L126:N127"/>
    <mergeCell ref="G127:K127"/>
    <mergeCell ref="B130:F131"/>
    <mergeCell ref="G130:K130"/>
    <mergeCell ref="L130:N131"/>
    <mergeCell ref="G131:K131"/>
    <mergeCell ref="B128:F129"/>
    <mergeCell ref="G128:K128"/>
    <mergeCell ref="L128:N129"/>
    <mergeCell ref="G129:K129"/>
    <mergeCell ref="B134:F135"/>
    <mergeCell ref="G134:K134"/>
    <mergeCell ref="L134:N135"/>
    <mergeCell ref="G135:K135"/>
    <mergeCell ref="B132:F133"/>
    <mergeCell ref="G132:K132"/>
    <mergeCell ref="L132:N133"/>
    <mergeCell ref="G133:K133"/>
    <mergeCell ref="G137:K137"/>
    <mergeCell ref="B138:F139"/>
    <mergeCell ref="G138:K138"/>
    <mergeCell ref="L138:N139"/>
    <mergeCell ref="G139:K139"/>
    <mergeCell ref="B136:F137"/>
    <mergeCell ref="G136:K136"/>
    <mergeCell ref="L136:N137"/>
    <mergeCell ref="B140:F141"/>
    <mergeCell ref="G140:K140"/>
    <mergeCell ref="L140:N141"/>
    <mergeCell ref="G141:K141"/>
    <mergeCell ref="B149:F149"/>
    <mergeCell ref="G149:K149"/>
    <mergeCell ref="L149:N149"/>
    <mergeCell ref="B148:F148"/>
    <mergeCell ref="G148:K148"/>
    <mergeCell ref="L148:N148"/>
    <mergeCell ref="B150:F150"/>
    <mergeCell ref="G150:K150"/>
    <mergeCell ref="L150:N150"/>
    <mergeCell ref="B151:F151"/>
    <mergeCell ref="G151:K151"/>
    <mergeCell ref="L151:N151"/>
    <mergeCell ref="O3:O4"/>
    <mergeCell ref="B3:B4"/>
    <mergeCell ref="C161:I161"/>
    <mergeCell ref="C163:I163"/>
    <mergeCell ref="B154:F154"/>
    <mergeCell ref="G154:K154"/>
    <mergeCell ref="L154:N154"/>
    <mergeCell ref="B155:F155"/>
    <mergeCell ref="G155:K155"/>
    <mergeCell ref="L155:N155"/>
    <mergeCell ref="B152:F152"/>
    <mergeCell ref="G152:K152"/>
    <mergeCell ref="L152:N152"/>
    <mergeCell ref="B153:F153"/>
    <mergeCell ref="G153:K153"/>
    <mergeCell ref="L153:N153"/>
    <mergeCell ref="S106:W110"/>
    <mergeCell ref="F2:L3"/>
    <mergeCell ref="F4:L4"/>
    <mergeCell ref="F5:L5"/>
    <mergeCell ref="F6:L6"/>
    <mergeCell ref="M2:N6"/>
    <mergeCell ref="J22:K23"/>
    <mergeCell ref="B16:F17"/>
    <mergeCell ref="G16:K16"/>
    <mergeCell ref="L16:N17"/>
    <mergeCell ref="B32:F32"/>
    <mergeCell ref="G32:K32"/>
    <mergeCell ref="L32:N32"/>
    <mergeCell ref="O16:O17"/>
    <mergeCell ref="B8:M8"/>
    <mergeCell ref="C3:E4"/>
  </mergeCells>
  <conditionalFormatting sqref="B8:M8">
    <cfRule type="expression" dxfId="600" priority="72">
      <formula>IF(NoColor,1,0)</formula>
    </cfRule>
  </conditionalFormatting>
  <conditionalFormatting sqref="N8:O8">
    <cfRule type="expression" dxfId="599" priority="71">
      <formula>IF(NoColor,1,0)</formula>
    </cfRule>
  </conditionalFormatting>
  <conditionalFormatting sqref="B14:O17">
    <cfRule type="expression" dxfId="598" priority="70">
      <formula>IF(NoColor,1,0)</formula>
    </cfRule>
  </conditionalFormatting>
  <conditionalFormatting sqref="L19">
    <cfRule type="expression" dxfId="597" priority="69">
      <formula>IF(NoColor,1,0)</formula>
    </cfRule>
  </conditionalFormatting>
  <conditionalFormatting sqref="B31:O32">
    <cfRule type="expression" dxfId="596" priority="68">
      <formula>IF(NoColor,1,0)</formula>
    </cfRule>
  </conditionalFormatting>
  <conditionalFormatting sqref="O35">
    <cfRule type="expression" dxfId="595" priority="67">
      <formula>IF(NoColor,1,0)</formula>
    </cfRule>
  </conditionalFormatting>
  <conditionalFormatting sqref="O36">
    <cfRule type="expression" dxfId="594" priority="66">
      <formula>IF(NoColor,1,0)</formula>
    </cfRule>
  </conditionalFormatting>
  <conditionalFormatting sqref="O39">
    <cfRule type="expression" dxfId="593" priority="65">
      <formula>IF(NoColor,1,0)</formula>
    </cfRule>
  </conditionalFormatting>
  <conditionalFormatting sqref="O49">
    <cfRule type="expression" dxfId="592" priority="64">
      <formula>IF(NoColor,1,0)</formula>
    </cfRule>
  </conditionalFormatting>
  <conditionalFormatting sqref="O38">
    <cfRule type="expression" dxfId="591" priority="63">
      <formula>IF(NoColor,1,0)</formula>
    </cfRule>
  </conditionalFormatting>
  <conditionalFormatting sqref="Q37">
    <cfRule type="expression" dxfId="590" priority="60">
      <formula>IF(File_Marr_Joint&lt;&gt;"",1,0)</formula>
    </cfRule>
  </conditionalFormatting>
  <conditionalFormatting sqref="M40">
    <cfRule type="expression" dxfId="589" priority="59">
      <formula>IF(NoColor,1,0)</formula>
    </cfRule>
  </conditionalFormatting>
  <conditionalFormatting sqref="O55">
    <cfRule type="expression" dxfId="588" priority="58">
      <formula>IF(NoColor,1,0)</formula>
    </cfRule>
  </conditionalFormatting>
  <conditionalFormatting sqref="M57">
    <cfRule type="expression" dxfId="587" priority="57">
      <formula>IF(NoColor,1,0)</formula>
    </cfRule>
  </conditionalFormatting>
  <conditionalFormatting sqref="O59">
    <cfRule type="expression" dxfId="586" priority="56">
      <formula>IF(NoColor,1,0)</formula>
    </cfRule>
  </conditionalFormatting>
  <conditionalFormatting sqref="L21">
    <cfRule type="expression" dxfId="585" priority="55">
      <formula>IF(NoColor,1,0)</formula>
    </cfRule>
  </conditionalFormatting>
  <conditionalFormatting sqref="O71">
    <cfRule type="expression" dxfId="584" priority="51">
      <formula>IF(NoColor,1,0)</formula>
    </cfRule>
  </conditionalFormatting>
  <conditionalFormatting sqref="O126:O141">
    <cfRule type="expression" dxfId="583" priority="49">
      <formula>IF(NoColor,1,0)</formula>
    </cfRule>
  </conditionalFormatting>
  <conditionalFormatting sqref="O148:O155">
    <cfRule type="expression" dxfId="582" priority="48">
      <formula>IF(NoColor,1,0)</formula>
    </cfRule>
  </conditionalFormatting>
  <conditionalFormatting sqref="M74">
    <cfRule type="expression" dxfId="581" priority="47">
      <formula>IF(NoColor,1,0)</formula>
    </cfRule>
  </conditionalFormatting>
  <conditionalFormatting sqref="M75">
    <cfRule type="expression" dxfId="580" priority="46">
      <formula>IF(NoColor,1,0)</formula>
    </cfRule>
  </conditionalFormatting>
  <conditionalFormatting sqref="M81">
    <cfRule type="expression" dxfId="579" priority="45">
      <formula>IF(NoColor,1,0)</formula>
    </cfRule>
  </conditionalFormatting>
  <conditionalFormatting sqref="S75:V93">
    <cfRule type="expression" dxfId="578" priority="44">
      <formula>IF(AND($L$19="",$L$21&lt;&gt;"",$S$72="",$S$73="",File_Marr_Sep&lt;&gt;""),1,0)</formula>
    </cfRule>
  </conditionalFormatting>
  <conditionalFormatting sqref="S72:S73">
    <cfRule type="expression" dxfId="577" priority="43">
      <formula>IF(AND($L$19="",$L$21&lt;&gt;"",$S$72="",$S$73="",File_Marr_Sep&lt;&gt;""),1,0)</formula>
    </cfRule>
  </conditionalFormatting>
  <conditionalFormatting sqref="T72:T73">
    <cfRule type="expression" dxfId="576" priority="42">
      <formula>IF(AND($L$19="",$L$21&lt;&gt;"",$S$72="",$S$73="",File_Marr_Sep&lt;&gt;""),1,0)</formula>
    </cfRule>
  </conditionalFormatting>
  <conditionalFormatting sqref="M85">
    <cfRule type="expression" dxfId="575" priority="41">
      <formula>IF(NoColor,1,0)</formula>
    </cfRule>
  </conditionalFormatting>
  <conditionalFormatting sqref="M87">
    <cfRule type="expression" dxfId="574" priority="40">
      <formula>IF(NoColor,1,0)</formula>
    </cfRule>
  </conditionalFormatting>
  <conditionalFormatting sqref="C89">
    <cfRule type="expression" dxfId="573" priority="39">
      <formula>IF(NoColor,1,0)</formula>
    </cfRule>
  </conditionalFormatting>
  <conditionalFormatting sqref="C90">
    <cfRule type="expression" dxfId="572" priority="38">
      <formula>IF(NoColor,1,0)</formula>
    </cfRule>
  </conditionalFormatting>
  <conditionalFormatting sqref="O90">
    <cfRule type="expression" dxfId="571" priority="37">
      <formula>IF(NoColor,1,0)</formula>
    </cfRule>
  </conditionalFormatting>
  <conditionalFormatting sqref="Q90">
    <cfRule type="expression" dxfId="570" priority="36">
      <formula>IF(C90&lt;&gt;"",1,0)</formula>
    </cfRule>
  </conditionalFormatting>
  <conditionalFormatting sqref="Q88">
    <cfRule type="expression" dxfId="569" priority="35">
      <formula>IF(C90&lt;&gt;"",1,0)</formula>
    </cfRule>
  </conditionalFormatting>
  <conditionalFormatting sqref="Q89">
    <cfRule type="expression" dxfId="568" priority="34">
      <formula>IF(C90&lt;&gt;"",1,0)</formula>
    </cfRule>
  </conditionalFormatting>
  <conditionalFormatting sqref="M91">
    <cfRule type="expression" dxfId="567" priority="33">
      <formula>IF(NoColor,1,0)</formula>
    </cfRule>
  </conditionalFormatting>
  <conditionalFormatting sqref="O93">
    <cfRule type="expression" dxfId="566" priority="32">
      <formula>IF(NoColor,1,0)</formula>
    </cfRule>
  </conditionalFormatting>
  <conditionalFormatting sqref="O96">
    <cfRule type="expression" dxfId="565" priority="31">
      <formula>IF(NoColor,1,0)</formula>
    </cfRule>
  </conditionalFormatting>
  <conditionalFormatting sqref="O101">
    <cfRule type="expression" dxfId="564" priority="30">
      <formula>IF(NoColor,1,0)</formula>
    </cfRule>
  </conditionalFormatting>
  <conditionalFormatting sqref="O69">
    <cfRule type="expression" dxfId="563" priority="29">
      <formula>IF(NoColor,1,0)</formula>
    </cfRule>
  </conditionalFormatting>
  <conditionalFormatting sqref="O70">
    <cfRule type="expression" dxfId="562" priority="28">
      <formula>IF(NoColor,1,0)</formula>
    </cfRule>
  </conditionalFormatting>
  <conditionalFormatting sqref="O106">
    <cfRule type="expression" dxfId="561" priority="27">
      <formula>IF(NoColor,1,0)</formula>
    </cfRule>
  </conditionalFormatting>
  <conditionalFormatting sqref="O107">
    <cfRule type="expression" dxfId="560" priority="26">
      <formula>IF(NoColor,1,0)</formula>
    </cfRule>
  </conditionalFormatting>
  <conditionalFormatting sqref="O109">
    <cfRule type="expression" dxfId="559" priority="25">
      <formula>IF(NoColor,1,0)</formula>
    </cfRule>
  </conditionalFormatting>
  <conditionalFormatting sqref="O75:O83">
    <cfRule type="expression" dxfId="558" priority="23">
      <formula>IF(AND($L$19="",$L$21&lt;&gt;"",$S$72="",$S$73="",File_Marr_Sep&lt;&gt;""),1,0)</formula>
    </cfRule>
  </conditionalFormatting>
  <conditionalFormatting sqref="O111">
    <cfRule type="expression" dxfId="557" priority="22">
      <formula>IF(NoColor,1,0)</formula>
    </cfRule>
  </conditionalFormatting>
  <conditionalFormatting sqref="O113">
    <cfRule type="expression" dxfId="556" priority="21">
      <formula>IF(NoColor,1,0)</formula>
    </cfRule>
  </conditionalFormatting>
  <conditionalFormatting sqref="M73">
    <cfRule type="expression" dxfId="555" priority="18">
      <formula>IF(NoColor,1,0)</formula>
    </cfRule>
  </conditionalFormatting>
  <conditionalFormatting sqref="O67">
    <cfRule type="expression" dxfId="554" priority="17">
      <formula>IF(NoColor,1,0)</formula>
    </cfRule>
  </conditionalFormatting>
  <conditionalFormatting sqref="S2:S14">
    <cfRule type="expression" dxfId="553" priority="16">
      <formula>IF(File_Marr_Sep&lt;&gt;"",1,0)</formula>
    </cfRule>
  </conditionalFormatting>
  <conditionalFormatting sqref="S2:Y14">
    <cfRule type="expression" dxfId="552" priority="15">
      <formula>IF(File_Marr_Sep&lt;&gt;"",1,0)</formula>
    </cfRule>
  </conditionalFormatting>
  <conditionalFormatting sqref="S14">
    <cfRule type="expression" dxfId="551" priority="14">
      <formula>IF(File_Marr_Sep&lt;&gt;"",1,0)</formula>
    </cfRule>
  </conditionalFormatting>
  <conditionalFormatting sqref="S2">
    <cfRule type="expression" dxfId="550" priority="13">
      <formula>IF(File_Marr_Sep&lt;&gt;"",1,0)</formula>
    </cfRule>
  </conditionalFormatting>
  <conditionalFormatting sqref="S3:S13">
    <cfRule type="expression" dxfId="549" priority="12">
      <formula>IF(File_Marr_Sep&lt;&gt;"",1,0)</formula>
    </cfRule>
  </conditionalFormatting>
  <conditionalFormatting sqref="Y3:Y13">
    <cfRule type="expression" dxfId="548" priority="11">
      <formula>IF(File_Marr_Sep&lt;&gt;"",1,0)</formula>
    </cfRule>
  </conditionalFormatting>
  <conditionalFormatting sqref="T14:X14">
    <cfRule type="expression" dxfId="547" priority="10">
      <formula>IF(File_Marr_Sep&lt;&gt;"",1,0)</formula>
    </cfRule>
  </conditionalFormatting>
  <conditionalFormatting sqref="Y14">
    <cfRule type="expression" dxfId="546" priority="9">
      <formula>IF(File_Marr_Sep&lt;&gt;"",1,0)</formula>
    </cfRule>
  </conditionalFormatting>
  <conditionalFormatting sqref="T2:X2">
    <cfRule type="expression" dxfId="545" priority="8">
      <formula>IF(File_Marr_Sep&lt;&gt;"",1,0)</formula>
    </cfRule>
  </conditionalFormatting>
  <conditionalFormatting sqref="Y2">
    <cfRule type="expression" dxfId="544" priority="7">
      <formula>IF(File_Marr_Sep&lt;&gt;"",1,0)</formula>
    </cfRule>
  </conditionalFormatting>
  <conditionalFormatting sqref="Q3:R13">
    <cfRule type="expression" dxfId="543" priority="6">
      <formula>IF(AND($S$16="",$S$17="",File_Marr_Sep&lt;&gt;""),1,0)</formula>
    </cfRule>
  </conditionalFormatting>
  <conditionalFormatting sqref="S16">
    <cfRule type="expression" dxfId="542" priority="5">
      <formula>IF(File_Marr_Sep&lt;&gt;"",1,0)</formula>
    </cfRule>
  </conditionalFormatting>
  <conditionalFormatting sqref="T16">
    <cfRule type="expression" dxfId="541" priority="3">
      <formula>IF(File_Marr_Sep&lt;&gt;"",1,0)</formula>
    </cfRule>
  </conditionalFormatting>
  <conditionalFormatting sqref="T17">
    <cfRule type="expression" dxfId="540" priority="2">
      <formula>IF(File_Marr_Sep&lt;&gt;"",1,0)</formula>
    </cfRule>
  </conditionalFormatting>
  <conditionalFormatting sqref="S17">
    <cfRule type="expression" dxfId="539" priority="1">
      <formula>IF(File_Marr_Sep&lt;&gt;"",1,0)</formula>
    </cfRule>
  </conditionalFormatting>
  <hyperlinks>
    <hyperlink ref="C161:I161" r:id="rId1" display="Download Form 2441"/>
    <hyperlink ref="C163:I163" r:id="rId2" display="Download Form 2441 Instructions"/>
  </hyperlinks>
  <pageMargins left="0.5" right="0.25" top="0.36" bottom="0.28999999999999998" header="0.36" footer="0.21"/>
  <pageSetup scale="86" fitToHeight="0" orientation="portrait" horizontalDpi="4294967293" verticalDpi="4294967293" r:id="rId3"/>
  <headerFooter alignWithMargins="0"/>
  <rowBreaks count="2" manualBreakCount="2">
    <brk id="59" min="1" max="12" man="1"/>
    <brk id="114" min="1" max="12" man="1"/>
  </rowBreaks>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W244"/>
  <sheetViews>
    <sheetView zoomScaleNormal="100" zoomScaleSheetLayoutView="100" workbookViewId="0">
      <selection activeCell="K20" sqref="K20"/>
    </sheetView>
  </sheetViews>
  <sheetFormatPr defaultColWidth="9.140625" defaultRowHeight="12.75"/>
  <cols>
    <col min="1" max="1" width="3.7109375" style="64" customWidth="1"/>
    <col min="2" max="3" width="5" style="64" customWidth="1"/>
    <col min="4" max="36" width="3.7109375" style="64" customWidth="1"/>
    <col min="37" max="37" width="9.140625" style="64"/>
    <col min="38" max="38" width="4.42578125" style="3532" customWidth="1"/>
    <col min="39" max="39" width="12.5703125" style="3532" customWidth="1"/>
    <col min="40" max="40" width="9.140625" style="3532"/>
    <col min="41" max="41" width="12.5703125" style="3532" customWidth="1"/>
    <col min="42" max="47" width="9.140625" style="3532"/>
    <col min="48" max="48" width="3.28515625" style="3532" customWidth="1"/>
    <col min="49" max="49" width="9.140625" style="3532" customWidth="1"/>
    <col min="50" max="50" width="2.85546875" style="3532" customWidth="1"/>
    <col min="51" max="51" width="3.7109375" style="3532" customWidth="1"/>
    <col min="52" max="53" width="9.140625" style="3532"/>
    <col min="54" max="54" width="10" style="3532" customWidth="1"/>
    <col min="55" max="59" width="9.140625" style="3532"/>
    <col min="60" max="60" width="3.42578125" style="3532" customWidth="1"/>
    <col min="61" max="62" width="9.140625" style="3532"/>
    <col min="63" max="66" width="11.7109375" style="3532" customWidth="1"/>
    <col min="67" max="67" width="9.140625" style="3532" customWidth="1"/>
    <col min="68" max="75" width="9.140625" style="3532"/>
    <col min="76" max="16384" width="9.140625" style="64"/>
  </cols>
  <sheetData>
    <row r="1" spans="1:62" ht="24" customHeight="1">
      <c r="A1" s="1706"/>
      <c r="B1" s="1706"/>
      <c r="C1" s="1706"/>
      <c r="D1" s="1706"/>
      <c r="E1" s="1706"/>
      <c r="F1" s="1706"/>
      <c r="G1" s="1706"/>
      <c r="H1" s="1706"/>
      <c r="I1" s="1706"/>
      <c r="J1" s="1706"/>
      <c r="K1" s="1706"/>
      <c r="L1" s="1706"/>
      <c r="M1" s="1706"/>
      <c r="N1" s="1706"/>
      <c r="O1" s="1706"/>
      <c r="P1" s="1706"/>
      <c r="Q1" s="1706"/>
      <c r="R1" s="1706"/>
      <c r="S1" s="1706"/>
      <c r="T1" s="1706"/>
      <c r="U1" s="1706"/>
      <c r="V1" s="1706"/>
      <c r="W1" s="1706"/>
      <c r="X1" s="1706"/>
      <c r="Y1" s="1706"/>
      <c r="Z1" s="1706"/>
      <c r="AA1" s="1706"/>
      <c r="AB1" s="1706"/>
      <c r="AC1" s="1706"/>
      <c r="AD1" s="1706"/>
      <c r="AE1" s="1706"/>
      <c r="AF1" s="1706"/>
      <c r="AG1" s="1706"/>
      <c r="AH1" s="1706"/>
      <c r="AI1" s="1706"/>
      <c r="AJ1" s="1706"/>
      <c r="AK1" s="1706"/>
    </row>
    <row r="2" spans="1:62" ht="18" customHeight="1">
      <c r="A2" s="1706"/>
      <c r="B2" s="2399"/>
      <c r="C2" s="2399"/>
      <c r="D2" s="6156" t="s">
        <v>2830</v>
      </c>
      <c r="E2" s="6157"/>
      <c r="F2" s="6157"/>
      <c r="G2" s="6157"/>
      <c r="H2" s="2477"/>
      <c r="I2" s="6158" t="s">
        <v>2829</v>
      </c>
      <c r="J2" s="6159"/>
      <c r="K2" s="6159"/>
      <c r="L2" s="6159"/>
      <c r="M2" s="6159"/>
      <c r="N2" s="6159"/>
      <c r="O2" s="6159"/>
      <c r="P2" s="6159"/>
      <c r="Q2" s="6159"/>
      <c r="R2" s="6159"/>
      <c r="S2" s="6159"/>
      <c r="T2" s="6159"/>
      <c r="U2" s="6159"/>
      <c r="V2" s="6159"/>
      <c r="W2" s="6159"/>
      <c r="X2" s="6159"/>
      <c r="Y2" s="6159"/>
      <c r="Z2" s="6159"/>
      <c r="AA2" s="6159"/>
      <c r="AB2" s="4943"/>
      <c r="AC2" s="6161" t="s">
        <v>249</v>
      </c>
      <c r="AD2" s="6162"/>
      <c r="AE2" s="6162"/>
      <c r="AF2" s="6162"/>
      <c r="AG2" s="6162"/>
      <c r="AH2" s="6162"/>
      <c r="AI2" s="6162"/>
      <c r="AJ2" s="6162"/>
      <c r="AK2" s="1706"/>
    </row>
    <row r="3" spans="1:62" ht="24" customHeight="1">
      <c r="A3" s="1706"/>
      <c r="B3" s="6163" t="s">
        <v>469</v>
      </c>
      <c r="C3" s="6164"/>
      <c r="D3" s="6157"/>
      <c r="E3" s="6157"/>
      <c r="F3" s="6157"/>
      <c r="G3" s="6157"/>
      <c r="H3" s="2477"/>
      <c r="I3" s="6160"/>
      <c r="J3" s="6159"/>
      <c r="K3" s="6159"/>
      <c r="L3" s="6159"/>
      <c r="M3" s="6159"/>
      <c r="N3" s="6159"/>
      <c r="O3" s="6159"/>
      <c r="P3" s="6159"/>
      <c r="Q3" s="6159"/>
      <c r="R3" s="6159"/>
      <c r="S3" s="6159"/>
      <c r="T3" s="6159"/>
      <c r="U3" s="6159"/>
      <c r="V3" s="6159"/>
      <c r="W3" s="6159"/>
      <c r="X3" s="6159"/>
      <c r="Y3" s="6159"/>
      <c r="Z3" s="6159"/>
      <c r="AA3" s="6159"/>
      <c r="AB3" s="4943"/>
      <c r="AC3" s="6165">
        <f>TaxYear</f>
        <v>2016</v>
      </c>
      <c r="AD3" s="6166"/>
      <c r="AE3" s="6166"/>
      <c r="AF3" s="6166"/>
      <c r="AG3" s="6166"/>
      <c r="AH3" s="6166"/>
      <c r="AI3" s="6166"/>
      <c r="AJ3" s="6166"/>
      <c r="AK3" s="1706"/>
    </row>
    <row r="4" spans="1:62">
      <c r="A4" s="1706"/>
      <c r="B4" s="2399"/>
      <c r="C4" s="2399"/>
      <c r="D4" s="2399"/>
      <c r="E4" s="2399"/>
      <c r="F4" s="2399"/>
      <c r="G4" s="2399"/>
      <c r="H4" s="2477"/>
      <c r="I4" s="3124"/>
      <c r="J4" s="3820" t="s">
        <v>3191</v>
      </c>
      <c r="K4" s="3125"/>
      <c r="L4" s="3125"/>
      <c r="M4" s="3125"/>
      <c r="N4" s="3125"/>
      <c r="O4" s="3125"/>
      <c r="P4" s="3125"/>
      <c r="Q4" s="3125"/>
      <c r="R4" s="3125"/>
      <c r="S4" s="3125"/>
      <c r="T4" s="3125"/>
      <c r="U4" s="3125"/>
      <c r="V4" s="3125"/>
      <c r="W4" s="3125"/>
      <c r="X4" s="3125"/>
      <c r="Y4" s="3125"/>
      <c r="Z4" s="3125"/>
      <c r="AA4" s="3125"/>
      <c r="AB4" s="3126"/>
      <c r="AC4" s="6167"/>
      <c r="AD4" s="6168"/>
      <c r="AE4" s="6168"/>
      <c r="AF4" s="6168"/>
      <c r="AG4" s="6168"/>
      <c r="AH4" s="6168"/>
      <c r="AI4" s="6168"/>
      <c r="AJ4" s="6168"/>
      <c r="AK4" s="1706"/>
    </row>
    <row r="5" spans="1:62">
      <c r="A5" s="1706"/>
      <c r="B5" s="2399" t="s">
        <v>293</v>
      </c>
      <c r="C5" s="2399"/>
      <c r="D5" s="2399"/>
      <c r="E5" s="2399"/>
      <c r="F5" s="2399"/>
      <c r="G5" s="2399"/>
      <c r="H5" s="2477"/>
      <c r="I5" s="6169" t="s">
        <v>3192</v>
      </c>
      <c r="J5" s="6170"/>
      <c r="K5" s="6170"/>
      <c r="L5" s="6170"/>
      <c r="M5" s="6170"/>
      <c r="N5" s="6170"/>
      <c r="O5" s="6170"/>
      <c r="P5" s="6170"/>
      <c r="Q5" s="6170"/>
      <c r="R5" s="6170"/>
      <c r="S5" s="6170"/>
      <c r="T5" s="6170"/>
      <c r="U5" s="6170"/>
      <c r="V5" s="6170"/>
      <c r="W5" s="6170"/>
      <c r="X5" s="6170"/>
      <c r="Y5" s="6170"/>
      <c r="Z5" s="6170"/>
      <c r="AA5" s="6170"/>
      <c r="AB5" s="6171"/>
      <c r="AC5" s="3127"/>
      <c r="AD5" s="6172" t="s">
        <v>1574</v>
      </c>
      <c r="AE5" s="6157"/>
      <c r="AF5" s="6157"/>
      <c r="AG5" s="6157"/>
      <c r="AH5" s="6173">
        <v>34</v>
      </c>
      <c r="AI5" s="3524"/>
      <c r="AJ5" s="3524"/>
      <c r="AK5" s="1706"/>
    </row>
    <row r="6" spans="1:62" ht="13.5" customHeight="1" thickBot="1">
      <c r="A6" s="1706"/>
      <c r="B6" s="2603" t="s">
        <v>637</v>
      </c>
      <c r="C6" s="2603"/>
      <c r="D6" s="2603"/>
      <c r="E6" s="2603"/>
      <c r="F6" s="2603"/>
      <c r="G6" s="2603"/>
      <c r="H6" s="2604"/>
      <c r="I6" s="6122" t="s">
        <v>3193</v>
      </c>
      <c r="J6" s="6123"/>
      <c r="K6" s="6123"/>
      <c r="L6" s="6123"/>
      <c r="M6" s="6123"/>
      <c r="N6" s="6123"/>
      <c r="O6" s="6123"/>
      <c r="P6" s="6123"/>
      <c r="Q6" s="6123"/>
      <c r="R6" s="6123"/>
      <c r="S6" s="6123"/>
      <c r="T6" s="6123"/>
      <c r="U6" s="6123"/>
      <c r="V6" s="6123"/>
      <c r="W6" s="6123"/>
      <c r="X6" s="6123"/>
      <c r="Y6" s="6123"/>
      <c r="Z6" s="6123"/>
      <c r="AA6" s="6123"/>
      <c r="AB6" s="6124"/>
      <c r="AC6" s="3128"/>
      <c r="AD6" s="6149" t="s">
        <v>2269</v>
      </c>
      <c r="AE6" s="6150"/>
      <c r="AF6" s="6150"/>
      <c r="AG6" s="6150"/>
      <c r="AH6" s="6174"/>
      <c r="AI6" s="3129"/>
      <c r="AJ6" s="3129"/>
      <c r="AK6" s="1706"/>
    </row>
    <row r="7" spans="1:62" ht="16.5" customHeight="1" thickBot="1">
      <c r="A7" s="1706"/>
      <c r="B7" s="3527"/>
      <c r="C7" s="3527"/>
      <c r="D7" s="3527"/>
      <c r="E7" s="3527"/>
      <c r="F7" s="3527"/>
      <c r="G7" s="3527"/>
      <c r="H7" s="3527"/>
      <c r="I7" s="3527"/>
      <c r="J7" s="3527"/>
      <c r="K7" s="3527"/>
      <c r="L7" s="3527"/>
      <c r="M7" s="3527"/>
      <c r="N7" s="3527"/>
      <c r="O7" s="3527"/>
      <c r="P7" s="3527"/>
      <c r="Q7" s="3528" t="s">
        <v>2831</v>
      </c>
      <c r="R7" s="3527"/>
      <c r="S7" s="3527"/>
      <c r="T7" s="3527"/>
      <c r="U7" s="3527"/>
      <c r="V7" s="3527"/>
      <c r="W7" s="3527"/>
      <c r="X7" s="3527"/>
      <c r="Y7" s="3527"/>
      <c r="Z7" s="3527"/>
      <c r="AA7" s="3527"/>
      <c r="AB7" s="3527"/>
      <c r="AC7" s="3527"/>
      <c r="AD7" s="3527"/>
      <c r="AE7" s="3527"/>
      <c r="AF7" s="3527"/>
      <c r="AG7" s="3527"/>
      <c r="AH7" s="3527"/>
      <c r="AI7" s="3527"/>
      <c r="AJ7" s="3527"/>
      <c r="AK7" s="1706"/>
    </row>
    <row r="8" spans="1:62">
      <c r="A8" s="1706"/>
      <c r="B8" s="2598" t="s">
        <v>2832</v>
      </c>
      <c r="C8" s="2598"/>
      <c r="D8" s="2598"/>
      <c r="E8" s="2598"/>
      <c r="F8" s="2598"/>
      <c r="G8" s="2598"/>
      <c r="H8" s="2598"/>
      <c r="I8" s="2598"/>
      <c r="J8" s="2598"/>
      <c r="K8" s="2598"/>
      <c r="L8" s="2598"/>
      <c r="M8" s="2598"/>
      <c r="N8" s="2598"/>
      <c r="O8" s="2598"/>
      <c r="P8" s="2598"/>
      <c r="Q8" s="2598"/>
      <c r="R8" s="2598"/>
      <c r="S8" s="2598"/>
      <c r="T8" s="2598"/>
      <c r="U8" s="2598"/>
      <c r="V8" s="2598"/>
      <c r="W8" s="2598"/>
      <c r="X8" s="2598"/>
      <c r="Y8" s="3169" t="s">
        <v>148</v>
      </c>
      <c r="Z8" s="2399"/>
      <c r="AA8" s="2399"/>
      <c r="AB8" s="2399"/>
      <c r="AC8" s="3169"/>
      <c r="AD8" s="3404"/>
      <c r="AE8" s="3404"/>
      <c r="AF8" s="3404"/>
      <c r="AG8" s="3404"/>
      <c r="AH8" s="3404"/>
      <c r="AI8" s="3404"/>
      <c r="AJ8" s="3404"/>
      <c r="AK8" s="1706"/>
    </row>
    <row r="9" spans="1:62" ht="13.5" customHeight="1">
      <c r="A9" s="1706"/>
      <c r="B9" s="6151" t="str">
        <f>IF(Names="","",Names)</f>
        <v/>
      </c>
      <c r="C9" s="6152"/>
      <c r="D9" s="6152"/>
      <c r="E9" s="6152"/>
      <c r="F9" s="6152"/>
      <c r="G9" s="6152"/>
      <c r="H9" s="6152"/>
      <c r="I9" s="6152"/>
      <c r="J9" s="6152"/>
      <c r="K9" s="6152"/>
      <c r="L9" s="5078"/>
      <c r="M9" s="5078"/>
      <c r="N9" s="5078"/>
      <c r="O9" s="5078"/>
      <c r="P9" s="5078"/>
      <c r="Q9" s="5078"/>
      <c r="R9" s="5078"/>
      <c r="S9" s="5078"/>
      <c r="T9" s="4979"/>
      <c r="U9" s="4979"/>
      <c r="V9" s="4979"/>
      <c r="W9" s="4979"/>
      <c r="X9" s="6117"/>
      <c r="Y9" s="6154">
        <f>SS_Yours</f>
        <v>0</v>
      </c>
      <c r="Z9" s="6155"/>
      <c r="AA9" s="6155"/>
      <c r="AB9" s="6155"/>
      <c r="AC9" s="6155"/>
      <c r="AD9" s="6155"/>
      <c r="AE9" s="6155"/>
      <c r="AF9" s="6155"/>
      <c r="AG9" s="6155"/>
      <c r="AH9" s="6155"/>
      <c r="AI9" s="6155"/>
      <c r="AJ9" s="6155"/>
      <c r="AK9" s="1706"/>
    </row>
    <row r="10" spans="1:62" ht="5.25" customHeight="1">
      <c r="A10" s="1706"/>
      <c r="B10" s="6153"/>
      <c r="C10" s="6153"/>
      <c r="D10" s="6153"/>
      <c r="E10" s="6153"/>
      <c r="F10" s="6153"/>
      <c r="G10" s="6153"/>
      <c r="H10" s="6153"/>
      <c r="I10" s="6153"/>
      <c r="J10" s="6153"/>
      <c r="K10" s="6153"/>
      <c r="L10" s="6153"/>
      <c r="M10" s="6153"/>
      <c r="N10" s="6153"/>
      <c r="O10" s="6153"/>
      <c r="P10" s="6153"/>
      <c r="Q10" s="6153"/>
      <c r="R10" s="6153"/>
      <c r="S10" s="6153"/>
      <c r="T10" s="6119"/>
      <c r="U10" s="6119"/>
      <c r="V10" s="6119"/>
      <c r="W10" s="6119"/>
      <c r="X10" s="6120"/>
      <c r="Y10" s="5411"/>
      <c r="Z10" s="5412"/>
      <c r="AA10" s="5412"/>
      <c r="AB10" s="5412"/>
      <c r="AC10" s="5412"/>
      <c r="AD10" s="5412"/>
      <c r="AE10" s="5412"/>
      <c r="AF10" s="5412"/>
      <c r="AG10" s="5412"/>
      <c r="AH10" s="5412"/>
      <c r="AI10" s="5412"/>
      <c r="AJ10" s="5412"/>
      <c r="AK10" s="1706"/>
    </row>
    <row r="11" spans="1:62" ht="5.25" customHeight="1">
      <c r="A11" s="1706"/>
      <c r="B11" s="3525"/>
      <c r="C11" s="3525"/>
      <c r="D11" s="3525"/>
      <c r="E11" s="3525"/>
      <c r="F11" s="3525"/>
      <c r="G11" s="3525"/>
      <c r="H11" s="3525"/>
      <c r="I11" s="3525"/>
      <c r="J11" s="3525"/>
      <c r="K11" s="3525"/>
      <c r="L11" s="3525"/>
      <c r="M11" s="3525"/>
      <c r="N11" s="3525"/>
      <c r="O11" s="3525"/>
      <c r="P11" s="3525"/>
      <c r="Q11" s="3525"/>
      <c r="R11" s="3525"/>
      <c r="S11" s="3525"/>
      <c r="T11" s="3525"/>
      <c r="U11" s="3525"/>
      <c r="V11" s="3525"/>
      <c r="W11" s="3525"/>
      <c r="X11" s="3525"/>
      <c r="Y11" s="3525"/>
      <c r="Z11" s="3525"/>
      <c r="AA11" s="3525"/>
      <c r="AB11" s="3525"/>
      <c r="AC11" s="3525"/>
      <c r="AD11" s="3525"/>
      <c r="AE11" s="3525"/>
      <c r="AF11" s="3525"/>
      <c r="AG11" s="3525"/>
      <c r="AH11" s="3525"/>
      <c r="AI11" s="3525"/>
      <c r="AJ11" s="3525"/>
      <c r="AK11" s="1706"/>
    </row>
    <row r="12" spans="1:62" ht="15" customHeight="1">
      <c r="A12" s="1706"/>
      <c r="B12" s="6121" t="s">
        <v>92</v>
      </c>
      <c r="C12" s="5423"/>
      <c r="D12" s="3531" t="s">
        <v>2833</v>
      </c>
      <c r="E12" s="3529"/>
      <c r="F12" s="3529"/>
      <c r="G12" s="3529"/>
      <c r="H12" s="3529"/>
      <c r="I12" s="3529"/>
      <c r="J12" s="3529"/>
      <c r="K12" s="3529"/>
      <c r="L12" s="3529"/>
      <c r="M12" s="3529"/>
      <c r="N12" s="3529"/>
      <c r="O12" s="3529"/>
      <c r="P12" s="3529"/>
      <c r="Q12" s="3529"/>
      <c r="R12" s="3529"/>
      <c r="S12" s="3529"/>
      <c r="T12" s="3529"/>
      <c r="U12" s="3529"/>
      <c r="V12" s="3529"/>
      <c r="W12" s="3529"/>
      <c r="X12" s="3529"/>
      <c r="Y12" s="3529"/>
      <c r="Z12" s="3529"/>
      <c r="AA12" s="3529"/>
      <c r="AB12" s="3529"/>
      <c r="AC12" s="3529"/>
      <c r="AD12" s="3529"/>
      <c r="AE12" s="3529"/>
      <c r="AF12" s="3529"/>
      <c r="AG12" s="3529"/>
      <c r="AH12" s="3529"/>
      <c r="AI12" s="3529"/>
      <c r="AJ12" s="3529"/>
      <c r="AK12" s="1706"/>
    </row>
    <row r="13" spans="1:62" ht="6" customHeight="1">
      <c r="A13" s="1706"/>
      <c r="B13" s="3530"/>
      <c r="C13" s="3530"/>
      <c r="D13" s="3530"/>
      <c r="E13" s="3530"/>
      <c r="F13" s="3530"/>
      <c r="G13" s="3530"/>
      <c r="H13" s="3530"/>
      <c r="I13" s="3530"/>
      <c r="J13" s="3530"/>
      <c r="K13" s="3530"/>
      <c r="L13" s="3530"/>
      <c r="M13" s="3530"/>
      <c r="N13" s="3530"/>
      <c r="O13" s="3530"/>
      <c r="P13" s="3530"/>
      <c r="Q13" s="3530"/>
      <c r="R13" s="3530"/>
      <c r="S13" s="3530"/>
      <c r="T13" s="3530"/>
      <c r="U13" s="3530"/>
      <c r="V13" s="3530"/>
      <c r="W13" s="3530"/>
      <c r="X13" s="3530"/>
      <c r="Y13" s="3530"/>
      <c r="Z13" s="3530"/>
      <c r="AA13" s="3530"/>
      <c r="AB13" s="3530"/>
      <c r="AC13" s="3530"/>
      <c r="AD13" s="3530"/>
      <c r="AE13" s="3530"/>
      <c r="AF13" s="3530"/>
      <c r="AG13" s="3530"/>
      <c r="AH13" s="3530"/>
      <c r="AI13" s="3530"/>
      <c r="AJ13" s="3530"/>
      <c r="AK13" s="1706"/>
    </row>
    <row r="14" spans="1:62" ht="15" customHeight="1">
      <c r="A14" s="1706"/>
      <c r="B14" s="2399"/>
      <c r="C14" s="3135" t="s">
        <v>243</v>
      </c>
      <c r="D14" s="2598" t="s">
        <v>2834</v>
      </c>
      <c r="E14" s="2399"/>
      <c r="F14" s="2399"/>
      <c r="G14" s="2399"/>
      <c r="H14" s="2399"/>
      <c r="I14" s="2399"/>
      <c r="J14" s="2399"/>
      <c r="K14" s="2399"/>
      <c r="L14" s="2399"/>
      <c r="M14" s="2399"/>
      <c r="N14" s="2399"/>
      <c r="O14" s="2399"/>
      <c r="P14" s="2399"/>
      <c r="Q14" s="2399"/>
      <c r="R14" s="2399"/>
      <c r="S14" s="2399"/>
      <c r="T14" s="2399"/>
      <c r="U14" s="2399"/>
      <c r="V14" s="2399"/>
      <c r="W14" s="2399"/>
      <c r="X14" s="2399"/>
      <c r="Y14" s="3565" t="s">
        <v>244</v>
      </c>
      <c r="Z14" s="3410" t="s">
        <v>185</v>
      </c>
      <c r="AA14" s="2399"/>
      <c r="AB14" s="2399"/>
      <c r="AC14" s="2399"/>
      <c r="AD14" s="2399"/>
      <c r="AE14" s="2399"/>
      <c r="AF14" s="2399"/>
      <c r="AG14" s="2399"/>
      <c r="AH14" s="2399"/>
      <c r="AI14" s="2399"/>
      <c r="AJ14" s="2399"/>
      <c r="AK14" s="1706"/>
      <c r="AN14" s="3534"/>
      <c r="AO14" s="3535"/>
      <c r="AP14" s="3535"/>
      <c r="AQ14" s="3535"/>
      <c r="AR14" s="3535"/>
      <c r="AS14" s="3535"/>
      <c r="AT14" s="3535"/>
      <c r="AU14" s="3535"/>
      <c r="AV14" s="3535"/>
      <c r="AW14" s="3535"/>
      <c r="AX14" s="3535"/>
      <c r="AZ14" s="3534"/>
      <c r="BA14" s="3535"/>
      <c r="BB14" s="3535"/>
      <c r="BC14" s="3535"/>
      <c r="BD14" s="3535"/>
      <c r="BE14" s="3535"/>
      <c r="BF14" s="3535"/>
      <c r="BG14" s="3535"/>
      <c r="BH14" s="3535"/>
      <c r="BI14" s="3535"/>
      <c r="BJ14" s="3535"/>
    </row>
    <row r="15" spans="1:62" ht="16.5" customHeight="1">
      <c r="A15" s="1706"/>
      <c r="B15" s="6125"/>
      <c r="C15" s="6126"/>
      <c r="D15" s="6126"/>
      <c r="E15" s="6126"/>
      <c r="F15" s="6126"/>
      <c r="G15" s="6126"/>
      <c r="H15" s="6126"/>
      <c r="I15" s="6126"/>
      <c r="J15" s="6126"/>
      <c r="K15" s="6126"/>
      <c r="L15" s="6126"/>
      <c r="M15" s="6126"/>
      <c r="N15" s="6126"/>
      <c r="O15" s="6126"/>
      <c r="P15" s="6126"/>
      <c r="Q15" s="6126"/>
      <c r="R15" s="6126"/>
      <c r="S15" s="6126"/>
      <c r="T15" s="6126"/>
      <c r="U15" s="6126"/>
      <c r="V15" s="6126"/>
      <c r="W15" s="6126"/>
      <c r="X15" s="6127"/>
      <c r="Y15" s="6128"/>
      <c r="Z15" s="5613"/>
      <c r="AA15" s="5613"/>
      <c r="AB15" s="5613"/>
      <c r="AC15" s="5613"/>
      <c r="AD15" s="5613"/>
      <c r="AE15" s="5613"/>
      <c r="AF15" s="5613"/>
      <c r="AG15" s="5613"/>
      <c r="AH15" s="5613"/>
      <c r="AI15" s="5613"/>
      <c r="AJ15" s="5613"/>
      <c r="AK15" s="1706"/>
      <c r="AN15" s="3535"/>
      <c r="AO15" s="3535"/>
      <c r="AP15" s="3535"/>
      <c r="AQ15" s="3535"/>
      <c r="AR15" s="3535"/>
      <c r="AS15" s="3535"/>
      <c r="AT15" s="3535"/>
      <c r="AU15" s="3535"/>
      <c r="AV15" s="3535"/>
      <c r="AW15" s="3535"/>
      <c r="AX15" s="3535"/>
      <c r="AZ15" s="3535"/>
      <c r="BA15" s="3535"/>
      <c r="BB15" s="3535"/>
      <c r="BC15" s="3535"/>
      <c r="BD15" s="3535"/>
      <c r="BE15" s="3535"/>
      <c r="BF15" s="3535"/>
      <c r="BG15" s="3535"/>
      <c r="BH15" s="3535"/>
      <c r="BI15" s="3535"/>
      <c r="BJ15" s="3535"/>
    </row>
    <row r="16" spans="1:62" ht="15" customHeight="1">
      <c r="A16" s="1706"/>
      <c r="B16" s="2117"/>
      <c r="C16" s="3135" t="s">
        <v>245</v>
      </c>
      <c r="D16" s="2611" t="s">
        <v>2835</v>
      </c>
      <c r="E16" s="2117"/>
      <c r="F16" s="2117"/>
      <c r="G16" s="2117"/>
      <c r="H16" s="2117"/>
      <c r="I16" s="6129"/>
      <c r="J16" s="6130"/>
      <c r="K16" s="6131"/>
      <c r="L16" s="6131"/>
      <c r="M16" s="6131"/>
      <c r="N16" s="6131"/>
      <c r="O16" s="6131"/>
      <c r="P16" s="6131"/>
      <c r="Q16" s="6131"/>
      <c r="R16" s="6131"/>
      <c r="S16" s="6131"/>
      <c r="T16" s="6131"/>
      <c r="U16" s="6131"/>
      <c r="V16" s="6131"/>
      <c r="W16" s="6131"/>
      <c r="X16" s="6131"/>
      <c r="Y16" s="6131"/>
      <c r="Z16" s="6131"/>
      <c r="AA16" s="6131"/>
      <c r="AB16" s="6131"/>
      <c r="AC16" s="6131"/>
      <c r="AD16" s="6131"/>
      <c r="AE16" s="6131"/>
      <c r="AF16" s="6132"/>
      <c r="AG16" s="6132"/>
      <c r="AH16" s="6132"/>
      <c r="AI16" s="6132"/>
      <c r="AJ16" s="6132"/>
      <c r="AK16" s="1706"/>
      <c r="AN16" s="3535"/>
      <c r="AO16" s="3535"/>
      <c r="AP16" s="3535"/>
      <c r="AQ16" s="3535"/>
      <c r="AR16" s="3535"/>
      <c r="AS16" s="3535"/>
      <c r="AT16" s="3535"/>
      <c r="AU16" s="3535"/>
      <c r="AV16" s="3535"/>
      <c r="AW16" s="3535"/>
      <c r="AX16" s="3535"/>
      <c r="AZ16" s="3535"/>
      <c r="BA16" s="3535"/>
      <c r="BB16" s="3535"/>
      <c r="BC16" s="3535"/>
      <c r="BD16" s="3535"/>
      <c r="BE16" s="3535"/>
      <c r="BF16" s="3535"/>
      <c r="BG16" s="3535"/>
      <c r="BH16" s="3535"/>
      <c r="BI16" s="3535"/>
      <c r="BJ16" s="3535"/>
    </row>
    <row r="17" spans="1:75" ht="15" customHeight="1">
      <c r="A17" s="1706"/>
      <c r="B17" s="2117"/>
      <c r="C17" s="3567" t="s">
        <v>2840</v>
      </c>
      <c r="D17" s="2611" t="s">
        <v>2836</v>
      </c>
      <c r="E17" s="2117"/>
      <c r="F17" s="2117"/>
      <c r="G17" s="2117"/>
      <c r="H17" s="2117"/>
      <c r="I17" s="2117"/>
      <c r="J17" s="2117"/>
      <c r="K17" s="6133"/>
      <c r="L17" s="6134"/>
      <c r="M17" s="6134"/>
      <c r="N17" s="6134"/>
      <c r="O17" s="6134"/>
      <c r="P17" s="6134"/>
      <c r="Q17" s="6134"/>
      <c r="R17" s="6134"/>
      <c r="S17" s="6134"/>
      <c r="T17" s="6134"/>
      <c r="U17" s="6134"/>
      <c r="V17" s="6134"/>
      <c r="W17" s="6134"/>
      <c r="X17" s="6134"/>
      <c r="Y17" s="6134"/>
      <c r="Z17" s="6134"/>
      <c r="AA17" s="6134"/>
      <c r="AB17" s="6134"/>
      <c r="AC17" s="6134"/>
      <c r="AD17" s="6134"/>
      <c r="AE17" s="6134"/>
      <c r="AF17" s="6134"/>
      <c r="AG17" s="6134"/>
      <c r="AH17" s="6134"/>
      <c r="AI17" s="6134"/>
      <c r="AJ17" s="6134"/>
      <c r="AK17" s="1706"/>
      <c r="AN17" s="3535"/>
      <c r="AO17" s="3535"/>
      <c r="AP17" s="3535"/>
      <c r="AQ17" s="3535"/>
      <c r="AR17" s="3535"/>
      <c r="AS17" s="3535"/>
      <c r="AT17" s="3535"/>
      <c r="AU17" s="3535"/>
      <c r="AV17" s="3535"/>
      <c r="AW17" s="3535"/>
      <c r="AX17" s="3535"/>
      <c r="AZ17" s="3535"/>
      <c r="BA17" s="3535"/>
      <c r="BB17" s="3535"/>
      <c r="BC17" s="3535"/>
      <c r="BD17" s="3535"/>
      <c r="BE17" s="3535"/>
      <c r="BF17" s="3535"/>
      <c r="BG17" s="3535"/>
      <c r="BH17" s="3535"/>
      <c r="BI17" s="3535"/>
      <c r="BJ17" s="3535"/>
    </row>
    <row r="18" spans="1:75" ht="15" customHeight="1">
      <c r="A18" s="1706"/>
      <c r="B18" s="2117"/>
      <c r="C18" s="3566" t="s">
        <v>2838</v>
      </c>
      <c r="D18" s="2611" t="s">
        <v>2837</v>
      </c>
      <c r="E18" s="2117"/>
      <c r="F18" s="2117"/>
      <c r="G18" s="2117"/>
      <c r="H18" s="2117"/>
      <c r="I18" s="2117"/>
      <c r="J18" s="2117"/>
      <c r="K18" s="6133"/>
      <c r="L18" s="6134"/>
      <c r="M18" s="6134"/>
      <c r="N18" s="6134"/>
      <c r="O18" s="6134"/>
      <c r="P18" s="6134"/>
      <c r="Q18" s="6134"/>
      <c r="R18" s="6134"/>
      <c r="S18" s="6134"/>
      <c r="T18" s="6134"/>
      <c r="U18" s="6134"/>
      <c r="V18" s="6134"/>
      <c r="W18" s="6134"/>
      <c r="X18" s="6134"/>
      <c r="Y18" s="6134"/>
      <c r="Z18" s="6134"/>
      <c r="AA18" s="6134"/>
      <c r="AB18" s="6134"/>
      <c r="AC18" s="6134"/>
      <c r="AD18" s="6134"/>
      <c r="AE18" s="6134"/>
      <c r="AF18" s="6134"/>
      <c r="AG18" s="6134"/>
      <c r="AH18" s="6134"/>
      <c r="AI18" s="6134"/>
      <c r="AJ18" s="6134"/>
      <c r="AK18" s="1706"/>
    </row>
    <row r="19" spans="1:75" ht="5.25" customHeight="1" thickBot="1">
      <c r="A19" s="1706"/>
      <c r="B19" s="2117"/>
      <c r="C19" s="2117"/>
      <c r="D19" s="2117"/>
      <c r="E19" s="2117"/>
      <c r="F19" s="2117"/>
      <c r="G19" s="2117"/>
      <c r="H19" s="2117"/>
      <c r="I19" s="2117"/>
      <c r="J19" s="2117"/>
      <c r="K19" s="2117"/>
      <c r="L19" s="2117"/>
      <c r="M19" s="2117"/>
      <c r="N19" s="2117"/>
      <c r="O19" s="2117"/>
      <c r="P19" s="2117"/>
      <c r="Q19" s="2117"/>
      <c r="R19" s="2117"/>
      <c r="S19" s="2117"/>
      <c r="T19" s="2117"/>
      <c r="U19" s="2117"/>
      <c r="V19" s="2117"/>
      <c r="W19" s="2117"/>
      <c r="X19" s="2117"/>
      <c r="Y19" s="2117"/>
      <c r="Z19" s="2117"/>
      <c r="AA19" s="2117"/>
      <c r="AB19" s="2117"/>
      <c r="AC19" s="2117"/>
      <c r="AD19" s="2117"/>
      <c r="AE19" s="2117"/>
      <c r="AF19" s="2117"/>
      <c r="AG19" s="2117"/>
      <c r="AH19" s="2117"/>
      <c r="AI19" s="2117"/>
      <c r="AJ19" s="2117"/>
      <c r="AK19" s="1706"/>
      <c r="BL19" s="3546"/>
      <c r="BM19" s="3546"/>
      <c r="BO19" s="3546"/>
      <c r="BP19" s="3546"/>
      <c r="BQ19" s="3546"/>
      <c r="BR19" s="3546"/>
      <c r="BS19" s="3546"/>
      <c r="BT19" s="3546"/>
      <c r="BU19" s="3546"/>
      <c r="BV19" s="3546"/>
    </row>
    <row r="20" spans="1:75" ht="13.5" customHeight="1" thickBot="1">
      <c r="A20" s="1706"/>
      <c r="B20" s="2117"/>
      <c r="C20" s="3567" t="s">
        <v>333</v>
      </c>
      <c r="D20" s="6198" t="s">
        <v>2839</v>
      </c>
      <c r="E20" s="4979"/>
      <c r="F20" s="4979"/>
      <c r="G20" s="4979"/>
      <c r="H20" s="4979"/>
      <c r="I20" s="2117"/>
      <c r="J20" s="3566" t="s">
        <v>2843</v>
      </c>
      <c r="K20" s="2121"/>
      <c r="L20" s="2611" t="s">
        <v>2841</v>
      </c>
      <c r="M20" s="2117"/>
      <c r="N20" s="2117"/>
      <c r="O20" s="2117"/>
      <c r="P20" s="2117"/>
      <c r="Q20" s="2117"/>
      <c r="R20" s="2117"/>
      <c r="S20" s="2117"/>
      <c r="T20" s="2117"/>
      <c r="U20" s="3566" t="s">
        <v>2838</v>
      </c>
      <c r="V20" s="2121"/>
      <c r="W20" s="2611" t="s">
        <v>2848</v>
      </c>
      <c r="X20" s="2117"/>
      <c r="Y20" s="2117"/>
      <c r="Z20" s="2117"/>
      <c r="AA20" s="2117"/>
      <c r="AB20" s="2117"/>
      <c r="AC20" s="3566" t="s">
        <v>2844</v>
      </c>
      <c r="AD20" s="2121"/>
      <c r="AE20" s="2611" t="s">
        <v>2847</v>
      </c>
      <c r="AF20" s="2117"/>
      <c r="AG20" s="2117"/>
      <c r="AH20" s="2117"/>
      <c r="AI20" s="2117"/>
      <c r="AJ20" s="2117"/>
      <c r="AK20" s="1706"/>
    </row>
    <row r="21" spans="1:75" ht="6" customHeight="1" thickBot="1">
      <c r="A21" s="1706"/>
      <c r="B21" s="2117"/>
      <c r="C21" s="2117"/>
      <c r="D21" s="4979"/>
      <c r="E21" s="4979"/>
      <c r="F21" s="4979"/>
      <c r="G21" s="4979"/>
      <c r="H21" s="4979"/>
      <c r="I21" s="2117"/>
      <c r="J21" s="2117"/>
      <c r="K21" s="3527"/>
      <c r="L21" s="2117"/>
      <c r="M21" s="2117"/>
      <c r="N21" s="2117"/>
      <c r="O21" s="2117"/>
      <c r="P21" s="2117"/>
      <c r="Q21" s="2117"/>
      <c r="R21" s="2117"/>
      <c r="S21" s="2117"/>
      <c r="T21" s="2117"/>
      <c r="U21" s="3363"/>
      <c r="V21" s="2117"/>
      <c r="W21" s="2117"/>
      <c r="X21" s="2117"/>
      <c r="Y21" s="2117"/>
      <c r="Z21" s="2117"/>
      <c r="AA21" s="2117"/>
      <c r="AB21" s="2117"/>
      <c r="AC21" s="2117"/>
      <c r="AD21" s="2117"/>
      <c r="AE21" s="2117"/>
      <c r="AF21" s="2117"/>
      <c r="AG21" s="2117"/>
      <c r="AH21" s="2117"/>
      <c r="AI21" s="2117"/>
      <c r="AJ21" s="2117"/>
      <c r="AK21" s="1706"/>
    </row>
    <row r="22" spans="1:75" ht="13.5" customHeight="1" thickBot="1">
      <c r="A22" s="1706"/>
      <c r="B22" s="2117"/>
      <c r="C22" s="2117"/>
      <c r="D22" s="4979"/>
      <c r="E22" s="4979"/>
      <c r="F22" s="4979"/>
      <c r="G22" s="4979"/>
      <c r="H22" s="4979"/>
      <c r="I22" s="2117"/>
      <c r="J22" s="3566" t="s">
        <v>2845</v>
      </c>
      <c r="K22" s="2121"/>
      <c r="L22" s="2611" t="s">
        <v>2842</v>
      </c>
      <c r="M22" s="2117"/>
      <c r="N22" s="2117"/>
      <c r="O22" s="2117"/>
      <c r="P22" s="2117"/>
      <c r="Q22" s="2117"/>
      <c r="R22" s="2117"/>
      <c r="S22" s="2117"/>
      <c r="T22" s="2117"/>
      <c r="U22" s="3566" t="s">
        <v>2846</v>
      </c>
      <c r="V22" s="2121"/>
      <c r="W22" s="2611" t="s">
        <v>2849</v>
      </c>
      <c r="X22" s="2117"/>
      <c r="Y22" s="2117"/>
      <c r="Z22" s="2117"/>
      <c r="AA22" s="2117"/>
      <c r="AB22" s="6176"/>
      <c r="AC22" s="6177"/>
      <c r="AD22" s="6177"/>
      <c r="AE22" s="6177"/>
      <c r="AF22" s="6177"/>
      <c r="AG22" s="6177"/>
      <c r="AH22" s="6177"/>
      <c r="AI22" s="6177"/>
      <c r="AJ22" s="6177"/>
      <c r="AK22" s="1706"/>
    </row>
    <row r="23" spans="1:75" ht="15.75" thickBot="1">
      <c r="A23" s="1706"/>
      <c r="B23" s="2117"/>
      <c r="C23" s="3567" t="s">
        <v>2851</v>
      </c>
      <c r="D23" s="2611" t="s">
        <v>2850</v>
      </c>
      <c r="E23" s="2117"/>
      <c r="F23" s="2117"/>
      <c r="G23" s="2117"/>
      <c r="H23" s="2117"/>
      <c r="I23" s="2117"/>
      <c r="J23" s="2117"/>
      <c r="K23" s="2117"/>
      <c r="L23" s="2117"/>
      <c r="M23" s="2117"/>
      <c r="N23" s="2117"/>
      <c r="O23" s="2117"/>
      <c r="P23" s="2117"/>
      <c r="Q23" s="2117"/>
      <c r="R23" s="2117"/>
      <c r="S23" s="2117"/>
      <c r="T23" s="2117"/>
      <c r="U23" s="2117"/>
      <c r="V23" s="2117"/>
      <c r="W23" s="2117"/>
      <c r="X23" s="2117"/>
      <c r="Y23" s="6176"/>
      <c r="Z23" s="6244"/>
      <c r="AA23" s="6177"/>
      <c r="AB23" s="6177"/>
      <c r="AC23" s="6177"/>
      <c r="AD23" s="6177"/>
      <c r="AE23" s="6177"/>
      <c r="AF23" s="6177"/>
      <c r="AG23" s="6177"/>
      <c r="AH23" s="6177"/>
      <c r="AI23" s="6177"/>
      <c r="AJ23" s="6177"/>
      <c r="AK23" s="1706"/>
      <c r="AN23" s="3538"/>
      <c r="AO23" s="3539"/>
      <c r="AZ23" s="3538"/>
      <c r="BA23" s="3539"/>
    </row>
    <row r="24" spans="1:75" ht="15.75" thickBot="1">
      <c r="A24" s="1706"/>
      <c r="B24" s="2117"/>
      <c r="C24" s="3566" t="s">
        <v>2838</v>
      </c>
      <c r="D24" s="2611" t="s">
        <v>3194</v>
      </c>
      <c r="E24" s="2117"/>
      <c r="F24" s="2117"/>
      <c r="G24" s="2117"/>
      <c r="H24" s="2117"/>
      <c r="I24" s="2117"/>
      <c r="J24" s="2117"/>
      <c r="K24" s="2117"/>
      <c r="L24" s="2117"/>
      <c r="M24" s="2117"/>
      <c r="N24" s="2117"/>
      <c r="O24" s="2117"/>
      <c r="P24" s="2117"/>
      <c r="Q24" s="2117"/>
      <c r="R24" s="2117"/>
      <c r="S24" s="2117"/>
      <c r="T24" s="2117"/>
      <c r="U24" s="2117"/>
      <c r="V24" s="2117"/>
      <c r="W24" s="2117"/>
      <c r="X24" s="2117"/>
      <c r="Y24" s="2117"/>
      <c r="Z24" s="2121"/>
      <c r="AA24" s="2611" t="s">
        <v>2852</v>
      </c>
      <c r="AB24" s="2117"/>
      <c r="AC24" s="2117"/>
      <c r="AD24" s="2117"/>
      <c r="AE24" s="2117"/>
      <c r="AF24" s="2117"/>
      <c r="AG24" s="2117"/>
      <c r="AH24" s="2117"/>
      <c r="AI24" s="2117"/>
      <c r="AJ24" s="2117"/>
      <c r="AK24" s="1706"/>
      <c r="AO24" s="3539"/>
      <c r="AT24" s="3538"/>
      <c r="AU24" s="3537"/>
      <c r="BA24" s="3539"/>
      <c r="BF24" s="3538"/>
    </row>
    <row r="25" spans="1:75" ht="13.5" customHeight="1" thickBot="1">
      <c r="A25" s="1706"/>
      <c r="B25" s="2117"/>
      <c r="C25" s="3566" t="s">
        <v>2844</v>
      </c>
      <c r="D25" s="2117" t="s">
        <v>2853</v>
      </c>
      <c r="E25" s="2117"/>
      <c r="F25" s="2117"/>
      <c r="G25" s="2117"/>
      <c r="H25" s="2117"/>
      <c r="I25" s="2117"/>
      <c r="J25" s="2117"/>
      <c r="K25" s="2117"/>
      <c r="L25" s="2117"/>
      <c r="M25" s="2117"/>
      <c r="N25" s="2117"/>
      <c r="O25" s="2117"/>
      <c r="P25" s="2117"/>
      <c r="Q25" s="2117"/>
      <c r="R25" s="2117"/>
      <c r="S25" s="2117"/>
      <c r="T25" s="2117"/>
      <c r="U25" s="2117"/>
      <c r="V25" s="2117"/>
      <c r="W25" s="2117"/>
      <c r="X25" s="2117"/>
      <c r="Y25" s="2117"/>
      <c r="Z25" s="2117"/>
      <c r="AA25" s="2117"/>
      <c r="AB25" s="2117"/>
      <c r="AC25" s="2117"/>
      <c r="AD25" s="2476" t="s">
        <v>1157</v>
      </c>
      <c r="AE25" s="2121"/>
      <c r="AF25" s="2609" t="s">
        <v>436</v>
      </c>
      <c r="AG25" s="2117"/>
      <c r="AH25" s="2121"/>
      <c r="AI25" s="2609" t="s">
        <v>437</v>
      </c>
      <c r="AJ25" s="2117"/>
      <c r="AK25" s="1706"/>
      <c r="AO25" s="3539"/>
      <c r="BA25" s="3539"/>
      <c r="BF25" s="3538"/>
      <c r="BG25" s="3536"/>
    </row>
    <row r="26" spans="1:75" ht="12.75" customHeight="1">
      <c r="A26" s="1706"/>
      <c r="B26" s="2117"/>
      <c r="C26" s="3566" t="s">
        <v>2845</v>
      </c>
      <c r="D26" s="2611" t="s">
        <v>2854</v>
      </c>
      <c r="E26" s="2117"/>
      <c r="F26" s="2117"/>
      <c r="G26" s="2117"/>
      <c r="H26" s="2117"/>
      <c r="I26" s="2117"/>
      <c r="J26" s="2117"/>
      <c r="K26" s="2117"/>
      <c r="L26" s="2117"/>
      <c r="M26" s="2117"/>
      <c r="N26" s="2117"/>
      <c r="O26" s="2117"/>
      <c r="P26" s="2117"/>
      <c r="Q26" s="2117"/>
      <c r="R26" s="2117"/>
      <c r="S26" s="2117"/>
      <c r="T26" s="2117"/>
      <c r="U26" s="2117"/>
      <c r="V26" s="2117"/>
      <c r="W26" s="2117"/>
      <c r="X26" s="2117"/>
      <c r="Y26" s="2117"/>
      <c r="Z26" s="2117"/>
      <c r="AA26" s="2117"/>
      <c r="AB26" s="2117"/>
      <c r="AC26" s="6176"/>
      <c r="AD26" s="6213"/>
      <c r="AE26" s="6213"/>
      <c r="AF26" s="6213"/>
      <c r="AG26" s="6213"/>
      <c r="AH26" s="6213"/>
      <c r="AI26" s="6213"/>
      <c r="AJ26" s="6213"/>
      <c r="AK26" s="1706"/>
      <c r="AO26" s="3539"/>
      <c r="BA26" s="3539"/>
    </row>
    <row r="27" spans="1:75" ht="15">
      <c r="A27" s="1706"/>
      <c r="B27" s="2117"/>
      <c r="C27" s="3135" t="s">
        <v>173</v>
      </c>
      <c r="D27" s="2117" t="s">
        <v>2855</v>
      </c>
      <c r="E27" s="2117"/>
      <c r="F27" s="2117"/>
      <c r="G27" s="2117"/>
      <c r="H27" s="2117"/>
      <c r="I27" s="2117"/>
      <c r="J27" s="2117"/>
      <c r="K27" s="2117"/>
      <c r="L27" s="2117"/>
      <c r="M27" s="2117"/>
      <c r="N27" s="2117"/>
      <c r="O27" s="6176"/>
      <c r="P27" s="6177"/>
      <c r="Q27" s="6177"/>
      <c r="R27" s="6177"/>
      <c r="S27" s="6177"/>
      <c r="T27" s="6177"/>
      <c r="U27" s="6177"/>
      <c r="V27" s="6177"/>
      <c r="W27" s="6177"/>
      <c r="X27" s="6177"/>
      <c r="Y27" s="6177"/>
      <c r="Z27" s="6177"/>
      <c r="AA27" s="6177"/>
      <c r="AB27" s="6177"/>
      <c r="AC27" s="6177"/>
      <c r="AD27" s="6177"/>
      <c r="AE27" s="6177"/>
      <c r="AF27" s="6177"/>
      <c r="AG27" s="6177"/>
      <c r="AH27" s="6177"/>
      <c r="AI27" s="6177"/>
      <c r="AJ27" s="6177"/>
      <c r="AK27" s="1706"/>
      <c r="AN27" s="3538"/>
      <c r="AO27" s="3539"/>
      <c r="AZ27" s="3538"/>
      <c r="BA27" s="3539"/>
    </row>
    <row r="28" spans="1:75" ht="15" customHeight="1" thickBot="1">
      <c r="A28" s="1706"/>
      <c r="B28" s="2117"/>
      <c r="C28" s="3567" t="s">
        <v>2857</v>
      </c>
      <c r="D28" s="2117" t="s">
        <v>2856</v>
      </c>
      <c r="E28" s="2117"/>
      <c r="F28" s="2117"/>
      <c r="G28" s="2117"/>
      <c r="H28" s="2117"/>
      <c r="I28" s="2117"/>
      <c r="J28" s="2117"/>
      <c r="K28" s="2117"/>
      <c r="L28" s="2117"/>
      <c r="M28" s="2117"/>
      <c r="N28" s="2117"/>
      <c r="O28" s="2117"/>
      <c r="P28" s="2117"/>
      <c r="Q28" s="2117"/>
      <c r="R28" s="2117"/>
      <c r="S28" s="2117"/>
      <c r="T28" s="2117"/>
      <c r="U28" s="2117"/>
      <c r="V28" s="2117"/>
      <c r="W28" s="2117"/>
      <c r="X28" s="2117"/>
      <c r="Y28" s="2117"/>
      <c r="Z28" s="2117"/>
      <c r="AA28" s="2117"/>
      <c r="AB28" s="2117"/>
      <c r="AC28" s="2117"/>
      <c r="AD28" s="2117"/>
      <c r="AE28" s="2117"/>
      <c r="AF28" s="2117"/>
      <c r="AG28" s="2117"/>
      <c r="AH28" s="2117"/>
      <c r="AI28" s="2117"/>
      <c r="AJ28" s="2117"/>
      <c r="AK28" s="1706"/>
      <c r="AM28" s="3536"/>
      <c r="AO28" s="3539"/>
      <c r="BA28" s="3539"/>
    </row>
    <row r="29" spans="1:75" ht="13.5" customHeight="1" thickBot="1">
      <c r="A29" s="1706"/>
      <c r="B29" s="2117"/>
      <c r="C29" s="2117"/>
      <c r="D29" s="2611" t="s">
        <v>3214</v>
      </c>
      <c r="E29" s="2117"/>
      <c r="F29" s="2117"/>
      <c r="G29" s="2117"/>
      <c r="H29" s="2117"/>
      <c r="I29" s="2117"/>
      <c r="J29" s="2117"/>
      <c r="K29" s="2117"/>
      <c r="L29" s="2117"/>
      <c r="M29" s="2117"/>
      <c r="N29" s="2117"/>
      <c r="O29" s="2117"/>
      <c r="P29" s="2117"/>
      <c r="Q29" s="2117"/>
      <c r="R29" s="2117"/>
      <c r="S29" s="2117"/>
      <c r="T29" s="2117"/>
      <c r="U29" s="2117"/>
      <c r="V29" s="2117"/>
      <c r="W29" s="2117"/>
      <c r="X29" s="2117"/>
      <c r="Y29" s="2117"/>
      <c r="Z29" s="2117"/>
      <c r="AA29" s="2117"/>
      <c r="AB29" s="2117"/>
      <c r="AC29" s="2117"/>
      <c r="AD29" s="2476" t="s">
        <v>1875</v>
      </c>
      <c r="AE29" s="2121"/>
      <c r="AF29" s="2609" t="s">
        <v>436</v>
      </c>
      <c r="AG29" s="2117"/>
      <c r="AH29" s="2121"/>
      <c r="AI29" s="2609" t="s">
        <v>437</v>
      </c>
      <c r="AJ29" s="2117"/>
      <c r="AK29" s="1706"/>
      <c r="AO29" s="3539"/>
      <c r="AS29" s="3538"/>
      <c r="AT29" s="3537"/>
      <c r="BA29" s="3539"/>
    </row>
    <row r="30" spans="1:75" ht="14.25" customHeight="1">
      <c r="A30" s="1706"/>
      <c r="B30" s="2117"/>
      <c r="C30" s="3566" t="s">
        <v>2838</v>
      </c>
      <c r="D30" s="2117" t="s">
        <v>2858</v>
      </c>
      <c r="E30" s="2117"/>
      <c r="F30" s="2117"/>
      <c r="G30" s="2117"/>
      <c r="H30" s="2117"/>
      <c r="I30" s="2117"/>
      <c r="J30" s="2117"/>
      <c r="K30" s="2117"/>
      <c r="L30" s="2117"/>
      <c r="M30" s="2117"/>
      <c r="N30" s="2117"/>
      <c r="O30" s="2117"/>
      <c r="P30" s="2117"/>
      <c r="Q30" s="2117"/>
      <c r="R30" s="2117"/>
      <c r="S30" s="2117"/>
      <c r="T30" s="2117"/>
      <c r="U30" s="2117"/>
      <c r="V30" s="2117"/>
      <c r="W30" s="2117"/>
      <c r="X30" s="2117"/>
      <c r="Y30" s="2117"/>
      <c r="Z30" s="2117"/>
      <c r="AA30" s="2117"/>
      <c r="AB30" s="2117"/>
      <c r="AC30" s="2117"/>
      <c r="AD30" s="2117"/>
      <c r="AE30" s="2117"/>
      <c r="AF30" s="2117"/>
      <c r="AG30" s="2117"/>
      <c r="AH30" s="2117"/>
      <c r="AI30" s="2117"/>
      <c r="AJ30" s="2117"/>
      <c r="AK30" s="1706"/>
      <c r="AO30" s="3539"/>
      <c r="BA30" s="3539"/>
      <c r="BE30" s="3538"/>
      <c r="BF30" s="3536"/>
    </row>
    <row r="31" spans="1:75" s="3427" customFormat="1" ht="13.5" customHeight="1">
      <c r="A31" s="1706"/>
      <c r="B31" s="2117"/>
      <c r="C31" s="2117"/>
      <c r="D31" s="2117" t="s">
        <v>2859</v>
      </c>
      <c r="E31" s="2117"/>
      <c r="F31" s="2117"/>
      <c r="G31" s="2117"/>
      <c r="H31" s="2117"/>
      <c r="I31" s="2117"/>
      <c r="J31" s="2117"/>
      <c r="K31" s="2117"/>
      <c r="L31" s="2117"/>
      <c r="M31" s="2117"/>
      <c r="N31" s="2117"/>
      <c r="O31" s="2117"/>
      <c r="P31" s="6176"/>
      <c r="Q31" s="6177"/>
      <c r="R31" s="6177"/>
      <c r="S31" s="6177"/>
      <c r="T31" s="6177"/>
      <c r="U31" s="6177"/>
      <c r="V31" s="6177"/>
      <c r="W31" s="6177"/>
      <c r="X31" s="6177"/>
      <c r="Y31" s="6177"/>
      <c r="Z31" s="6177"/>
      <c r="AA31" s="6177"/>
      <c r="AB31" s="6177"/>
      <c r="AC31" s="6177"/>
      <c r="AD31" s="6177"/>
      <c r="AE31" s="6177"/>
      <c r="AF31" s="6177"/>
      <c r="AG31" s="6177"/>
      <c r="AH31" s="6177"/>
      <c r="AI31" s="6177"/>
      <c r="AJ31" s="6177"/>
      <c r="AK31" s="1706"/>
      <c r="AL31" s="3532"/>
      <c r="AM31" s="3532"/>
      <c r="AN31" s="3538"/>
      <c r="AO31" s="3539"/>
      <c r="AP31" s="3532"/>
      <c r="AQ31" s="3532"/>
      <c r="AR31" s="3532"/>
      <c r="AS31" s="3532"/>
      <c r="AT31" s="3532"/>
      <c r="AU31" s="3532"/>
      <c r="AV31" s="3532"/>
      <c r="AW31" s="3532"/>
      <c r="AX31" s="3532"/>
      <c r="AY31" s="3532"/>
      <c r="AZ31" s="3538"/>
      <c r="BA31" s="3539"/>
      <c r="BB31" s="3532"/>
      <c r="BC31" s="3532"/>
      <c r="BD31" s="3532"/>
      <c r="BE31" s="3532"/>
      <c r="BF31" s="3532"/>
      <c r="BG31" s="3532"/>
      <c r="BH31" s="3532"/>
      <c r="BI31" s="3532"/>
      <c r="BJ31" s="3532"/>
      <c r="BK31" s="3532"/>
      <c r="BL31" s="3532"/>
      <c r="BM31" s="3532"/>
      <c r="BN31" s="3532"/>
      <c r="BO31" s="3532"/>
      <c r="BP31" s="3532"/>
      <c r="BQ31" s="3532"/>
      <c r="BR31" s="3532"/>
      <c r="BS31" s="3532"/>
      <c r="BT31" s="3532"/>
      <c r="BU31" s="3532"/>
      <c r="BV31" s="3532"/>
      <c r="BW31" s="3532"/>
    </row>
    <row r="32" spans="1:75" s="3427" customFormat="1" ht="15">
      <c r="A32" s="1706"/>
      <c r="B32" s="2117"/>
      <c r="C32" s="3135" t="s">
        <v>175</v>
      </c>
      <c r="D32" s="2117" t="s">
        <v>2860</v>
      </c>
      <c r="E32" s="2117"/>
      <c r="F32" s="2117"/>
      <c r="G32" s="2117"/>
      <c r="H32" s="2117"/>
      <c r="I32" s="2117"/>
      <c r="J32" s="2117"/>
      <c r="K32" s="2117"/>
      <c r="L32" s="2117"/>
      <c r="M32" s="2117"/>
      <c r="N32" s="2117"/>
      <c r="O32" s="2117"/>
      <c r="P32" s="2117"/>
      <c r="Q32" s="2117"/>
      <c r="R32" s="2117"/>
      <c r="S32" s="2117"/>
      <c r="T32" s="6133"/>
      <c r="U32" s="6148"/>
      <c r="V32" s="6148"/>
      <c r="W32" s="6148"/>
      <c r="X32" s="6148"/>
      <c r="Y32" s="6148"/>
      <c r="Z32" s="6148"/>
      <c r="AA32" s="6148"/>
      <c r="AB32" s="6148"/>
      <c r="AC32" s="6148"/>
      <c r="AD32" s="6148"/>
      <c r="AE32" s="6148"/>
      <c r="AF32" s="6148"/>
      <c r="AG32" s="6148"/>
      <c r="AH32" s="6148"/>
      <c r="AI32" s="6148"/>
      <c r="AJ32" s="6148"/>
      <c r="AK32" s="1706"/>
      <c r="AL32" s="3532"/>
      <c r="AM32" s="3532"/>
      <c r="AN32" s="3532"/>
      <c r="AO32" s="3539"/>
      <c r="AP32" s="3532"/>
      <c r="AQ32" s="3532"/>
      <c r="AR32" s="3532"/>
      <c r="AS32" s="3538"/>
      <c r="AT32" s="3536"/>
      <c r="AU32" s="3532"/>
      <c r="AV32" s="3532"/>
      <c r="AW32" s="3532"/>
      <c r="AX32" s="3532"/>
      <c r="AY32" s="3532"/>
      <c r="AZ32" s="3532"/>
      <c r="BA32" s="3539"/>
      <c r="BB32" s="3532"/>
      <c r="BC32" s="3532"/>
      <c r="BD32" s="3532"/>
      <c r="BE32" s="3538"/>
      <c r="BF32" s="3538"/>
      <c r="BG32" s="3532"/>
      <c r="BH32" s="3532"/>
      <c r="BI32" s="3532"/>
      <c r="BJ32" s="3532"/>
      <c r="BK32" s="3532"/>
      <c r="BL32" s="3532"/>
      <c r="BM32" s="3532"/>
      <c r="BN32" s="3532"/>
      <c r="BO32" s="3532"/>
      <c r="BP32" s="3532"/>
      <c r="BQ32" s="3532"/>
      <c r="BR32" s="3532"/>
      <c r="BS32" s="3532"/>
      <c r="BT32" s="3532"/>
      <c r="BU32" s="3532"/>
      <c r="BV32" s="3532"/>
      <c r="BW32" s="3532"/>
    </row>
    <row r="33" spans="1:75" s="3427" customFormat="1">
      <c r="A33" s="1706"/>
      <c r="B33" s="3132"/>
      <c r="C33" s="3132"/>
      <c r="D33" s="6202"/>
      <c r="E33" s="6203"/>
      <c r="F33" s="6203"/>
      <c r="G33" s="6203"/>
      <c r="H33" s="6203"/>
      <c r="I33" s="6203"/>
      <c r="J33" s="6203"/>
      <c r="K33" s="6203"/>
      <c r="L33" s="6203"/>
      <c r="M33" s="6203"/>
      <c r="N33" s="6203"/>
      <c r="O33" s="6203"/>
      <c r="P33" s="6203"/>
      <c r="Q33" s="6203"/>
      <c r="R33" s="6203"/>
      <c r="S33" s="6203"/>
      <c r="T33" s="6203"/>
      <c r="U33" s="6203"/>
      <c r="V33" s="6203"/>
      <c r="W33" s="6203"/>
      <c r="X33" s="6203"/>
      <c r="Y33" s="6203"/>
      <c r="Z33" s="6203"/>
      <c r="AA33" s="6203"/>
      <c r="AB33" s="6203"/>
      <c r="AC33" s="6203"/>
      <c r="AD33" s="6203"/>
      <c r="AE33" s="6203"/>
      <c r="AF33" s="6203"/>
      <c r="AG33" s="6203"/>
      <c r="AH33" s="6203"/>
      <c r="AI33" s="6203"/>
      <c r="AJ33" s="6203"/>
      <c r="AK33" s="1706"/>
      <c r="AL33" s="3532"/>
      <c r="AM33" s="3540"/>
      <c r="AN33" s="3532"/>
      <c r="AO33" s="3539"/>
      <c r="AP33" s="3532"/>
      <c r="AQ33" s="3532"/>
      <c r="AR33" s="3532"/>
      <c r="AS33" s="3532"/>
      <c r="AT33" s="3532"/>
      <c r="AU33" s="3532"/>
      <c r="AV33" s="3532"/>
      <c r="AW33" s="3532"/>
      <c r="AX33" s="3532"/>
      <c r="AY33" s="3532"/>
      <c r="AZ33" s="3532"/>
      <c r="BA33" s="3539"/>
      <c r="BB33" s="3532"/>
      <c r="BC33" s="3532"/>
      <c r="BD33" s="3532"/>
      <c r="BE33" s="3538"/>
      <c r="BF33" s="3536"/>
      <c r="BG33" s="3532"/>
      <c r="BH33" s="3532"/>
      <c r="BI33" s="3532"/>
      <c r="BJ33" s="3532"/>
      <c r="BK33" s="3532"/>
      <c r="BL33" s="3532"/>
      <c r="BM33" s="3532"/>
      <c r="BN33" s="3532"/>
      <c r="BO33" s="3532"/>
      <c r="BP33" s="3532"/>
      <c r="BQ33" s="3532"/>
      <c r="BR33" s="3532"/>
      <c r="BS33" s="3532"/>
      <c r="BT33" s="3532"/>
      <c r="BU33" s="3532"/>
      <c r="BV33" s="3532"/>
      <c r="BW33" s="3532"/>
    </row>
    <row r="34" spans="1:75" s="3427" customFormat="1" ht="6" customHeight="1">
      <c r="A34" s="1706"/>
      <c r="B34" s="2117"/>
      <c r="C34" s="2117"/>
      <c r="D34" s="2117"/>
      <c r="E34" s="2117"/>
      <c r="F34" s="2117"/>
      <c r="G34" s="2117"/>
      <c r="H34" s="2117"/>
      <c r="I34" s="2117"/>
      <c r="J34" s="2117"/>
      <c r="K34" s="2117"/>
      <c r="L34" s="2117"/>
      <c r="M34" s="2117"/>
      <c r="N34" s="2117"/>
      <c r="O34" s="2117"/>
      <c r="P34" s="2117"/>
      <c r="Q34" s="2117"/>
      <c r="R34" s="2117"/>
      <c r="S34" s="2117"/>
      <c r="T34" s="2117"/>
      <c r="U34" s="2117"/>
      <c r="V34" s="2117"/>
      <c r="W34" s="2117"/>
      <c r="X34" s="2117"/>
      <c r="Y34" s="2117"/>
      <c r="Z34" s="2117"/>
      <c r="AA34" s="2117"/>
      <c r="AB34" s="2117"/>
      <c r="AC34" s="2117"/>
      <c r="AD34" s="2117"/>
      <c r="AE34" s="2117"/>
      <c r="AF34" s="2117"/>
      <c r="AG34" s="2117"/>
      <c r="AH34" s="2117"/>
      <c r="AI34" s="2117"/>
      <c r="AJ34" s="2117"/>
      <c r="AK34" s="1706"/>
      <c r="AL34" s="3532"/>
      <c r="AM34" s="3541"/>
      <c r="AN34" s="3532"/>
      <c r="AO34" s="3539"/>
      <c r="AP34" s="3532"/>
      <c r="AQ34" s="3532"/>
      <c r="AR34" s="3532"/>
      <c r="AS34" s="3532"/>
      <c r="AT34" s="3532"/>
      <c r="AU34" s="3532"/>
      <c r="AV34" s="3532"/>
      <c r="AW34" s="3532"/>
      <c r="AX34" s="3532"/>
      <c r="AY34" s="3532"/>
      <c r="AZ34" s="3532"/>
      <c r="BA34" s="3539"/>
      <c r="BB34" s="3532"/>
      <c r="BC34" s="3532"/>
      <c r="BD34" s="3532"/>
      <c r="BE34" s="3532"/>
      <c r="BF34" s="3532"/>
      <c r="BG34" s="3532"/>
      <c r="BH34" s="3532"/>
      <c r="BI34" s="3532"/>
      <c r="BJ34" s="3532"/>
      <c r="BK34" s="3532"/>
      <c r="BL34" s="3532"/>
      <c r="BM34" s="3532"/>
      <c r="BN34" s="3532"/>
      <c r="BO34" s="3532"/>
      <c r="BP34" s="3532"/>
      <c r="BQ34" s="3532"/>
      <c r="BR34" s="3532"/>
      <c r="BS34" s="3532"/>
      <c r="BT34" s="3532"/>
      <c r="BU34" s="3532"/>
      <c r="BV34" s="3532"/>
      <c r="BW34" s="3532"/>
    </row>
    <row r="35" spans="1:75" s="3427" customFormat="1" ht="15.75">
      <c r="A35" s="1706"/>
      <c r="B35" s="3568"/>
      <c r="C35" s="3568"/>
      <c r="D35" s="3569" t="s">
        <v>3198</v>
      </c>
      <c r="E35" s="3568"/>
      <c r="F35" s="3568"/>
      <c r="G35" s="3568"/>
      <c r="H35" s="3568"/>
      <c r="I35" s="3568"/>
      <c r="J35" s="3568"/>
      <c r="K35" s="3568"/>
      <c r="L35" s="3568"/>
      <c r="M35" s="3568"/>
      <c r="N35" s="3568"/>
      <c r="O35" s="3568"/>
      <c r="P35" s="3568"/>
      <c r="Q35" s="3568"/>
      <c r="R35" s="3568"/>
      <c r="S35" s="3568"/>
      <c r="T35" s="3568"/>
      <c r="U35" s="3568"/>
      <c r="V35" s="3568"/>
      <c r="W35" s="3568"/>
      <c r="X35" s="3568"/>
      <c r="Y35" s="3568"/>
      <c r="Z35" s="3568"/>
      <c r="AA35" s="3568"/>
      <c r="AB35" s="3568"/>
      <c r="AC35" s="3568"/>
      <c r="AD35" s="3568"/>
      <c r="AE35" s="3568"/>
      <c r="AF35" s="3568"/>
      <c r="AG35" s="3568"/>
      <c r="AH35" s="3568"/>
      <c r="AI35" s="3568"/>
      <c r="AJ35" s="3568"/>
      <c r="AK35" s="1706"/>
      <c r="AL35" s="3532"/>
      <c r="AM35" s="3540"/>
      <c r="AN35" s="3538"/>
      <c r="AO35" s="3539"/>
      <c r="AP35" s="3532"/>
      <c r="AQ35" s="3532"/>
      <c r="AR35" s="3532"/>
      <c r="AS35" s="3532"/>
      <c r="AT35" s="3532"/>
      <c r="AU35" s="3532"/>
      <c r="AV35" s="3532"/>
      <c r="AW35" s="3532"/>
      <c r="AX35" s="3532"/>
      <c r="AY35" s="3532"/>
      <c r="AZ35" s="3538"/>
      <c r="BA35" s="3539"/>
      <c r="BB35" s="3532"/>
      <c r="BC35" s="3532"/>
      <c r="BD35" s="3532"/>
      <c r="BE35" s="3532"/>
      <c r="BF35" s="3532"/>
      <c r="BG35" s="3532"/>
      <c r="BH35" s="3532"/>
      <c r="BI35" s="3532"/>
      <c r="BJ35" s="3532"/>
      <c r="BK35" s="3532"/>
      <c r="BL35" s="3532"/>
      <c r="BM35" s="3532"/>
      <c r="BN35" s="3532"/>
      <c r="BO35" s="3532"/>
      <c r="BP35" s="3532"/>
      <c r="BQ35" s="3532"/>
      <c r="BR35" s="3532"/>
      <c r="BS35" s="3532"/>
      <c r="BT35" s="3532"/>
      <c r="BU35" s="3532"/>
      <c r="BV35" s="3532"/>
      <c r="BW35" s="3532"/>
    </row>
    <row r="36" spans="1:75" s="3427" customFormat="1" ht="15.75">
      <c r="A36" s="1706"/>
      <c r="B36" s="3568"/>
      <c r="C36" s="3568"/>
      <c r="D36" s="3569" t="s">
        <v>2861</v>
      </c>
      <c r="E36" s="3568"/>
      <c r="F36" s="3568"/>
      <c r="G36" s="3568"/>
      <c r="H36" s="3568"/>
      <c r="I36" s="3568"/>
      <c r="J36" s="3568"/>
      <c r="K36" s="3568"/>
      <c r="L36" s="3568"/>
      <c r="M36" s="3568"/>
      <c r="N36" s="3568"/>
      <c r="O36" s="3568"/>
      <c r="P36" s="3568"/>
      <c r="Q36" s="3568"/>
      <c r="R36" s="3568"/>
      <c r="S36" s="3568"/>
      <c r="T36" s="3568"/>
      <c r="U36" s="3568"/>
      <c r="V36" s="3568"/>
      <c r="W36" s="3568"/>
      <c r="X36" s="3568"/>
      <c r="Y36" s="3568"/>
      <c r="Z36" s="3568"/>
      <c r="AA36" s="3568"/>
      <c r="AB36" s="3568"/>
      <c r="AC36" s="3568"/>
      <c r="AD36" s="3568"/>
      <c r="AE36" s="3568"/>
      <c r="AF36" s="3568"/>
      <c r="AG36" s="3568"/>
      <c r="AH36" s="3568"/>
      <c r="AI36" s="3568"/>
      <c r="AJ36" s="3568"/>
      <c r="AK36" s="1706"/>
      <c r="AL36" s="3532"/>
      <c r="AM36" s="3540"/>
      <c r="AN36" s="3538"/>
      <c r="AO36" s="3539"/>
      <c r="AP36" s="3532"/>
      <c r="AQ36" s="3532"/>
      <c r="AR36" s="3532"/>
      <c r="AS36" s="3532"/>
      <c r="AT36" s="3532"/>
      <c r="AU36" s="3532"/>
      <c r="AV36" s="3532"/>
      <c r="AW36" s="3532"/>
      <c r="AX36" s="3532"/>
      <c r="AY36" s="3532"/>
      <c r="AZ36" s="3538"/>
      <c r="BA36" s="3539"/>
      <c r="BB36" s="3532"/>
      <c r="BC36" s="3532"/>
      <c r="BD36" s="3532"/>
      <c r="BE36" s="3532"/>
      <c r="BF36" s="3532"/>
      <c r="BG36" s="3532"/>
      <c r="BH36" s="3532"/>
      <c r="BI36" s="3532"/>
      <c r="BJ36" s="3532"/>
      <c r="BK36" s="3532"/>
      <c r="BL36" s="3532"/>
      <c r="BM36" s="3532"/>
      <c r="BN36" s="3532"/>
      <c r="BO36" s="3532"/>
      <c r="BP36" s="3532"/>
      <c r="BQ36" s="3532"/>
      <c r="BR36" s="3532"/>
      <c r="BS36" s="3532"/>
      <c r="BT36" s="3532"/>
      <c r="BU36" s="3532"/>
      <c r="BV36" s="3532"/>
      <c r="BW36" s="3532"/>
    </row>
    <row r="37" spans="1:75" s="3427" customFormat="1" ht="6" customHeight="1">
      <c r="A37" s="1706"/>
      <c r="B37" s="2117"/>
      <c r="C37" s="2117"/>
      <c r="D37" s="2117"/>
      <c r="E37" s="2117"/>
      <c r="F37" s="2117"/>
      <c r="G37" s="2117"/>
      <c r="H37" s="2117"/>
      <c r="I37" s="2117"/>
      <c r="J37" s="2117"/>
      <c r="K37" s="2117"/>
      <c r="L37" s="2117"/>
      <c r="M37" s="2117"/>
      <c r="N37" s="2117"/>
      <c r="O37" s="2117"/>
      <c r="P37" s="2117"/>
      <c r="Q37" s="2117"/>
      <c r="R37" s="2117"/>
      <c r="S37" s="2117"/>
      <c r="T37" s="2117"/>
      <c r="U37" s="2117"/>
      <c r="V37" s="2117"/>
      <c r="W37" s="2117"/>
      <c r="X37" s="2117"/>
      <c r="Y37" s="2117"/>
      <c r="Z37" s="2117"/>
      <c r="AA37" s="2117"/>
      <c r="AB37" s="2117"/>
      <c r="AC37" s="2117"/>
      <c r="AD37" s="2117"/>
      <c r="AE37" s="2117"/>
      <c r="AF37" s="2117"/>
      <c r="AG37" s="2117"/>
      <c r="AH37" s="2117"/>
      <c r="AI37" s="2117"/>
      <c r="AJ37" s="2117"/>
      <c r="AK37" s="1706"/>
      <c r="AL37" s="3532"/>
      <c r="AM37" s="3532"/>
      <c r="AN37" s="3532"/>
      <c r="AO37" s="3542"/>
      <c r="AP37" s="3532"/>
      <c r="AQ37" s="3532"/>
      <c r="AR37" s="3532"/>
      <c r="AS37" s="3538"/>
      <c r="AT37" s="3537"/>
      <c r="AU37" s="3532"/>
      <c r="AV37" s="3532"/>
      <c r="AW37" s="3532"/>
      <c r="AX37" s="3532"/>
      <c r="AY37" s="3532"/>
      <c r="AZ37" s="3532"/>
      <c r="BA37" s="3542"/>
      <c r="BB37" s="3532"/>
      <c r="BC37" s="3532"/>
      <c r="BD37" s="3532"/>
      <c r="BE37" s="3538"/>
      <c r="BF37" s="3536"/>
      <c r="BG37" s="3532"/>
      <c r="BH37" s="3532"/>
      <c r="BI37" s="3532"/>
      <c r="BJ37" s="3532"/>
      <c r="BK37" s="3532"/>
      <c r="BL37" s="3532"/>
      <c r="BM37" s="3532"/>
      <c r="BN37" s="3532"/>
      <c r="BO37" s="3532"/>
      <c r="BP37" s="3532"/>
      <c r="BQ37" s="3532"/>
      <c r="BR37" s="3532"/>
      <c r="BS37" s="3532"/>
      <c r="BT37" s="3532"/>
      <c r="BU37" s="3532"/>
      <c r="BV37" s="3532"/>
      <c r="BW37" s="3532"/>
    </row>
    <row r="38" spans="1:75" ht="5.25" customHeight="1">
      <c r="A38" s="1706"/>
      <c r="B38" s="3525"/>
      <c r="C38" s="3525"/>
      <c r="D38" s="3525"/>
      <c r="E38" s="3525"/>
      <c r="F38" s="3525"/>
      <c r="G38" s="3525"/>
      <c r="H38" s="3525"/>
      <c r="I38" s="3525"/>
      <c r="J38" s="3525"/>
      <c r="K38" s="3525"/>
      <c r="L38" s="3525"/>
      <c r="M38" s="3525"/>
      <c r="N38" s="3525"/>
      <c r="O38" s="3525"/>
      <c r="P38" s="3525"/>
      <c r="Q38" s="3525"/>
      <c r="R38" s="3525"/>
      <c r="S38" s="3525"/>
      <c r="T38" s="3525"/>
      <c r="U38" s="3525"/>
      <c r="V38" s="3525"/>
      <c r="W38" s="3525"/>
      <c r="X38" s="3525"/>
      <c r="Y38" s="3525"/>
      <c r="Z38" s="3525"/>
      <c r="AA38" s="3525"/>
      <c r="AB38" s="3525"/>
      <c r="AC38" s="3525"/>
      <c r="AD38" s="3525"/>
      <c r="AE38" s="3525"/>
      <c r="AF38" s="3525"/>
      <c r="AG38" s="3525"/>
      <c r="AH38" s="3525"/>
      <c r="AI38" s="3525"/>
      <c r="AJ38" s="3525"/>
      <c r="AK38" s="1706"/>
    </row>
    <row r="39" spans="1:75" ht="15" customHeight="1">
      <c r="A39" s="1706"/>
      <c r="B39" s="6121" t="s">
        <v>194</v>
      </c>
      <c r="C39" s="5423"/>
      <c r="D39" s="3531" t="s">
        <v>2862</v>
      </c>
      <c r="E39" s="3529"/>
      <c r="F39" s="3529"/>
      <c r="G39" s="3529"/>
      <c r="H39" s="3529"/>
      <c r="I39" s="3529"/>
      <c r="J39" s="3529"/>
      <c r="K39" s="3529"/>
      <c r="L39" s="3529"/>
      <c r="M39" s="3529"/>
      <c r="N39" s="3529"/>
      <c r="O39" s="3529"/>
      <c r="P39" s="3529"/>
      <c r="Q39" s="3529"/>
      <c r="R39" s="3529"/>
      <c r="S39" s="3529"/>
      <c r="T39" s="3529"/>
      <c r="U39" s="3529"/>
      <c r="V39" s="3529"/>
      <c r="W39" s="3529"/>
      <c r="X39" s="3529"/>
      <c r="Y39" s="3529"/>
      <c r="Z39" s="3529"/>
      <c r="AA39" s="3529"/>
      <c r="AB39" s="3529"/>
      <c r="AC39" s="3529"/>
      <c r="AD39" s="3529"/>
      <c r="AE39" s="3529"/>
      <c r="AF39" s="3529"/>
      <c r="AG39" s="3529"/>
      <c r="AH39" s="3529"/>
      <c r="AI39" s="3529"/>
      <c r="AJ39" s="3529"/>
      <c r="AK39" s="1706"/>
    </row>
    <row r="40" spans="1:75" ht="6" customHeight="1">
      <c r="A40" s="1706"/>
      <c r="B40" s="3530"/>
      <c r="C40" s="3530"/>
      <c r="D40" s="3530"/>
      <c r="E40" s="3530"/>
      <c r="F40" s="3530"/>
      <c r="G40" s="3530"/>
      <c r="H40" s="3530"/>
      <c r="I40" s="3530"/>
      <c r="J40" s="3530"/>
      <c r="K40" s="3530"/>
      <c r="L40" s="3530"/>
      <c r="M40" s="3530"/>
      <c r="N40" s="3530"/>
      <c r="O40" s="3530"/>
      <c r="P40" s="3530"/>
      <c r="Q40" s="3530"/>
      <c r="R40" s="3530"/>
      <c r="S40" s="3530"/>
      <c r="T40" s="3530"/>
      <c r="U40" s="3530"/>
      <c r="V40" s="3530"/>
      <c r="W40" s="3530"/>
      <c r="X40" s="3530"/>
      <c r="Y40" s="3530"/>
      <c r="Z40" s="3530"/>
      <c r="AA40" s="3530"/>
      <c r="AB40" s="3530"/>
      <c r="AC40" s="3530"/>
      <c r="AD40" s="3530"/>
      <c r="AE40" s="3530"/>
      <c r="AF40" s="3530"/>
      <c r="AG40" s="3530"/>
      <c r="AH40" s="3530"/>
      <c r="AI40" s="3530"/>
      <c r="AJ40" s="3530"/>
      <c r="AK40" s="1706"/>
    </row>
    <row r="41" spans="1:75" s="3427" customFormat="1" ht="13.5" customHeight="1">
      <c r="A41" s="1706"/>
      <c r="B41" s="3161"/>
      <c r="C41" s="3135" t="s">
        <v>176</v>
      </c>
      <c r="D41" s="2611" t="s">
        <v>2863</v>
      </c>
      <c r="E41" s="3161"/>
      <c r="F41" s="3161"/>
      <c r="G41" s="3161"/>
      <c r="H41" s="3161"/>
      <c r="I41" s="3161"/>
      <c r="J41" s="3161"/>
      <c r="K41" s="3161"/>
      <c r="L41" s="6199"/>
      <c r="M41" s="6200"/>
      <c r="N41" s="6200"/>
      <c r="O41" s="6200"/>
      <c r="P41" s="6200"/>
      <c r="Q41" s="6200"/>
      <c r="R41" s="6200"/>
      <c r="S41" s="6200"/>
      <c r="T41" s="6200"/>
      <c r="U41" s="3410" t="s">
        <v>2864</v>
      </c>
      <c r="V41" s="3161"/>
      <c r="W41" s="3161"/>
      <c r="X41" s="3161"/>
      <c r="Y41" s="6199"/>
      <c r="Z41" s="6200"/>
      <c r="AA41" s="6200"/>
      <c r="AB41" s="6200"/>
      <c r="AC41" s="6200"/>
      <c r="AD41" s="6200"/>
      <c r="AE41" s="6200"/>
      <c r="AF41" s="6200"/>
      <c r="AG41" s="6200"/>
      <c r="AH41" s="6201"/>
      <c r="AI41" s="6201"/>
      <c r="AJ41" s="6201"/>
      <c r="AK41" s="1706"/>
      <c r="AL41" s="3532"/>
      <c r="AM41" s="3532"/>
      <c r="AN41" s="3532"/>
      <c r="AO41" s="3539"/>
      <c r="AP41" s="3532"/>
      <c r="AQ41" s="3532"/>
      <c r="AR41" s="3532"/>
      <c r="AS41" s="3532"/>
      <c r="AT41" s="3532"/>
      <c r="AU41" s="3532"/>
      <c r="AV41" s="3532"/>
      <c r="AW41" s="3532"/>
      <c r="AX41" s="3532"/>
      <c r="AY41" s="3532"/>
      <c r="AZ41" s="3532"/>
      <c r="BA41" s="3539"/>
      <c r="BB41" s="3532"/>
      <c r="BC41" s="3532"/>
      <c r="BD41" s="3532"/>
      <c r="BE41" s="3532"/>
      <c r="BF41" s="3532"/>
      <c r="BG41" s="3532"/>
      <c r="BH41" s="3532"/>
      <c r="BI41" s="3532"/>
      <c r="BJ41" s="3532"/>
      <c r="BK41" s="3532"/>
      <c r="BL41" s="3532"/>
      <c r="BM41" s="3532"/>
      <c r="BN41" s="3532"/>
      <c r="BO41" s="3532"/>
      <c r="BP41" s="3532"/>
      <c r="BQ41" s="3532"/>
      <c r="BR41" s="3532"/>
      <c r="BS41" s="3532"/>
      <c r="BT41" s="3532"/>
      <c r="BU41" s="3532"/>
      <c r="BV41" s="3532"/>
      <c r="BW41" s="3532"/>
    </row>
    <row r="42" spans="1:75" ht="5.25" customHeight="1" thickBot="1">
      <c r="A42" s="1706"/>
      <c r="B42" s="2117"/>
      <c r="C42" s="2117"/>
      <c r="D42" s="2117"/>
      <c r="E42" s="2117"/>
      <c r="F42" s="2117"/>
      <c r="G42" s="2117"/>
      <c r="H42" s="2117"/>
      <c r="I42" s="2117"/>
      <c r="J42" s="2117"/>
      <c r="K42" s="2117"/>
      <c r="L42" s="2117"/>
      <c r="M42" s="2117"/>
      <c r="N42" s="2117"/>
      <c r="O42" s="2117"/>
      <c r="P42" s="2117"/>
      <c r="Q42" s="2117"/>
      <c r="R42" s="2117"/>
      <c r="S42" s="2117"/>
      <c r="T42" s="2117"/>
      <c r="U42" s="2117"/>
      <c r="V42" s="2117"/>
      <c r="W42" s="2117"/>
      <c r="X42" s="2117"/>
      <c r="Y42" s="2117"/>
      <c r="Z42" s="2117"/>
      <c r="AA42" s="2117"/>
      <c r="AB42" s="2117"/>
      <c r="AC42" s="2117"/>
      <c r="AD42" s="2117"/>
      <c r="AE42" s="2117"/>
      <c r="AF42" s="2117"/>
      <c r="AG42" s="2117"/>
      <c r="AH42" s="2117"/>
      <c r="AI42" s="2117"/>
      <c r="AJ42" s="2117"/>
      <c r="AK42" s="1706"/>
      <c r="BL42" s="3546"/>
      <c r="BM42" s="3546"/>
      <c r="BO42" s="3546"/>
      <c r="BP42" s="3546"/>
      <c r="BQ42" s="3546"/>
      <c r="BR42" s="3546"/>
      <c r="BS42" s="3546"/>
      <c r="BT42" s="3546"/>
      <c r="BU42" s="3546"/>
      <c r="BV42" s="3546"/>
    </row>
    <row r="43" spans="1:75" s="3427" customFormat="1" ht="13.5" customHeight="1" thickBot="1">
      <c r="A43" s="1706"/>
      <c r="B43" s="2117"/>
      <c r="C43" s="3135" t="s">
        <v>1233</v>
      </c>
      <c r="D43" s="2611" t="s">
        <v>2865</v>
      </c>
      <c r="E43" s="2117"/>
      <c r="F43" s="2117"/>
      <c r="G43" s="2117"/>
      <c r="H43" s="2117"/>
      <c r="I43" s="2117"/>
      <c r="J43" s="2117"/>
      <c r="K43" s="2117"/>
      <c r="L43" s="2117"/>
      <c r="M43" s="2117"/>
      <c r="N43" s="3570" t="s">
        <v>61</v>
      </c>
      <c r="O43" s="2121"/>
      <c r="P43" s="2611" t="s">
        <v>2866</v>
      </c>
      <c r="Q43" s="2117"/>
      <c r="R43" s="2117"/>
      <c r="S43" s="2117"/>
      <c r="T43" s="2117"/>
      <c r="U43" s="3570" t="s">
        <v>84</v>
      </c>
      <c r="V43" s="2121"/>
      <c r="W43" s="2611" t="s">
        <v>2867</v>
      </c>
      <c r="X43" s="2117"/>
      <c r="Y43" s="2117"/>
      <c r="Z43" s="2117"/>
      <c r="AA43" s="2117"/>
      <c r="AB43" s="2117"/>
      <c r="AC43" s="2117"/>
      <c r="AD43" s="3570" t="s">
        <v>85</v>
      </c>
      <c r="AE43" s="2121"/>
      <c r="AF43" s="2611" t="s">
        <v>2868</v>
      </c>
      <c r="AG43" s="2117"/>
      <c r="AH43" s="2117"/>
      <c r="AI43" s="2117"/>
      <c r="AJ43" s="2117"/>
      <c r="AK43" s="1706"/>
      <c r="AL43" s="3532"/>
      <c r="AM43" s="3532"/>
      <c r="AN43" s="3538"/>
      <c r="AO43" s="3539"/>
      <c r="AP43" s="3532"/>
      <c r="AQ43" s="3532"/>
      <c r="AR43" s="3532"/>
      <c r="AS43" s="3532"/>
      <c r="AT43" s="3538"/>
      <c r="AU43" s="3537"/>
      <c r="AV43" s="3532"/>
      <c r="AW43" s="3532"/>
      <c r="AX43" s="3532"/>
      <c r="AY43" s="3532"/>
      <c r="AZ43" s="3538"/>
      <c r="BA43" s="3539"/>
      <c r="BB43" s="3532"/>
      <c r="BC43" s="3532"/>
      <c r="BD43" s="3532"/>
      <c r="BE43" s="3532"/>
      <c r="BF43" s="3538"/>
      <c r="BG43" s="3537"/>
      <c r="BH43" s="3532"/>
      <c r="BI43" s="3532"/>
      <c r="BJ43" s="3532"/>
      <c r="BK43" s="3532"/>
      <c r="BL43" s="3532"/>
      <c r="BM43" s="3532"/>
      <c r="BN43" s="3532"/>
      <c r="BO43" s="3532"/>
      <c r="BP43" s="3532"/>
      <c r="BQ43" s="3532"/>
      <c r="BR43" s="3532"/>
      <c r="BS43" s="3532"/>
      <c r="BT43" s="3532"/>
      <c r="BU43" s="3532"/>
      <c r="BV43" s="3532"/>
      <c r="BW43" s="3532"/>
    </row>
    <row r="44" spans="1:75" s="3427" customFormat="1" ht="5.25" customHeight="1" thickBot="1">
      <c r="A44" s="1706"/>
      <c r="B44" s="2117"/>
      <c r="C44" s="2117"/>
      <c r="D44" s="2117"/>
      <c r="E44" s="2117"/>
      <c r="F44" s="2117"/>
      <c r="G44" s="2117"/>
      <c r="H44" s="2117"/>
      <c r="I44" s="2117"/>
      <c r="J44" s="2117"/>
      <c r="K44" s="2117"/>
      <c r="L44" s="2117"/>
      <c r="M44" s="2117"/>
      <c r="N44" s="2117"/>
      <c r="O44" s="2117"/>
      <c r="P44" s="2117"/>
      <c r="Q44" s="2117"/>
      <c r="R44" s="2117"/>
      <c r="S44" s="2117"/>
      <c r="T44" s="2117"/>
      <c r="U44" s="2117"/>
      <c r="V44" s="2117"/>
      <c r="W44" s="2117"/>
      <c r="X44" s="2117"/>
      <c r="Y44" s="2117"/>
      <c r="Z44" s="2117"/>
      <c r="AA44" s="2117"/>
      <c r="AB44" s="2117"/>
      <c r="AC44" s="2117"/>
      <c r="AD44" s="2117"/>
      <c r="AE44" s="2117"/>
      <c r="AF44" s="2117"/>
      <c r="AG44" s="2117"/>
      <c r="AH44" s="2117"/>
      <c r="AI44" s="2117"/>
      <c r="AJ44" s="2117"/>
      <c r="AK44" s="1706"/>
      <c r="AL44" s="3532"/>
      <c r="AM44" s="3532"/>
      <c r="AN44" s="3532"/>
      <c r="AO44" s="3539"/>
      <c r="AP44" s="3532"/>
      <c r="AQ44" s="3532"/>
      <c r="AR44" s="3532"/>
      <c r="AS44" s="3532"/>
      <c r="AT44" s="3532"/>
      <c r="AU44" s="3532"/>
      <c r="AV44" s="3532"/>
      <c r="AW44" s="3532"/>
      <c r="AX44" s="3532"/>
      <c r="AY44" s="3532"/>
      <c r="AZ44" s="3532"/>
      <c r="BA44" s="3539"/>
      <c r="BB44" s="3532"/>
      <c r="BC44" s="3532"/>
      <c r="BD44" s="3532"/>
      <c r="BE44" s="3532"/>
      <c r="BF44" s="3532"/>
      <c r="BG44" s="3532"/>
      <c r="BH44" s="3532"/>
      <c r="BI44" s="3532"/>
      <c r="BJ44" s="3532"/>
      <c r="BK44" s="3532"/>
      <c r="BL44" s="3532"/>
      <c r="BM44" s="3532"/>
      <c r="BN44" s="3532"/>
      <c r="BO44" s="3532"/>
      <c r="BP44" s="3532"/>
      <c r="BQ44" s="3532"/>
      <c r="BR44" s="3532"/>
      <c r="BS44" s="3532"/>
      <c r="BT44" s="3532"/>
      <c r="BU44" s="3532"/>
      <c r="BV44" s="3532"/>
      <c r="BW44" s="3532"/>
    </row>
    <row r="45" spans="1:75" s="3427" customFormat="1" ht="13.5" customHeight="1" thickBot="1">
      <c r="A45" s="1706"/>
      <c r="B45" s="2117"/>
      <c r="C45" s="2117"/>
      <c r="D45" s="2117"/>
      <c r="E45" s="2117"/>
      <c r="F45" s="2117"/>
      <c r="G45" s="2117"/>
      <c r="H45" s="2117"/>
      <c r="I45" s="2117"/>
      <c r="J45" s="2117"/>
      <c r="K45" s="2117"/>
      <c r="L45" s="2117"/>
      <c r="M45" s="2117"/>
      <c r="N45" s="3570" t="s">
        <v>151</v>
      </c>
      <c r="O45" s="2121"/>
      <c r="P45" s="2611" t="s">
        <v>2869</v>
      </c>
      <c r="Q45" s="2117"/>
      <c r="R45" s="2117"/>
      <c r="S45" s="2117"/>
      <c r="T45" s="2117"/>
      <c r="U45" s="2117"/>
      <c r="V45" s="2117"/>
      <c r="W45" s="2117"/>
      <c r="X45" s="2117"/>
      <c r="Y45" s="2117"/>
      <c r="Z45" s="2117"/>
      <c r="AA45" s="2117"/>
      <c r="AB45" s="2117"/>
      <c r="AC45" s="2117"/>
      <c r="AD45" s="2117"/>
      <c r="AE45" s="2117"/>
      <c r="AF45" s="2117"/>
      <c r="AG45" s="2117"/>
      <c r="AH45" s="2117"/>
      <c r="AI45" s="2117"/>
      <c r="AJ45" s="2117"/>
      <c r="AK45" s="1706"/>
      <c r="AL45" s="3532"/>
      <c r="AM45" s="3532"/>
      <c r="AN45" s="3538"/>
      <c r="AO45" s="3539"/>
      <c r="AP45" s="3532"/>
      <c r="AQ45" s="3532"/>
      <c r="AR45" s="3532"/>
      <c r="AS45" s="3532"/>
      <c r="AT45" s="3538"/>
      <c r="AU45" s="3537"/>
      <c r="AV45" s="3532"/>
      <c r="AW45" s="3543"/>
      <c r="AX45" s="3543"/>
      <c r="AY45" s="3532"/>
      <c r="AZ45" s="3538"/>
      <c r="BA45" s="3539"/>
      <c r="BB45" s="3532"/>
      <c r="BC45" s="3532"/>
      <c r="BD45" s="3532"/>
      <c r="BE45" s="3532"/>
      <c r="BF45" s="3538"/>
      <c r="BG45" s="3537"/>
      <c r="BH45" s="3532"/>
      <c r="BI45" s="3543"/>
      <c r="BJ45" s="3543"/>
      <c r="BK45" s="3532"/>
      <c r="BL45" s="3532"/>
      <c r="BM45" s="3532"/>
      <c r="BN45" s="3532"/>
      <c r="BO45" s="3532"/>
      <c r="BP45" s="3532"/>
      <c r="BQ45" s="3532"/>
      <c r="BR45" s="3532"/>
      <c r="BS45" s="3532"/>
      <c r="BT45" s="3532"/>
      <c r="BU45" s="3532"/>
      <c r="BV45" s="3532"/>
      <c r="BW45" s="3532"/>
    </row>
    <row r="46" spans="1:75" s="3427" customFormat="1" ht="15.75" thickBot="1">
      <c r="A46" s="1706"/>
      <c r="B46" s="2117"/>
      <c r="C46" s="3566" t="s">
        <v>2871</v>
      </c>
      <c r="D46" s="2117" t="s">
        <v>2870</v>
      </c>
      <c r="E46" s="2117"/>
      <c r="F46" s="2117"/>
      <c r="G46" s="2117"/>
      <c r="H46" s="2117"/>
      <c r="I46" s="2117"/>
      <c r="J46" s="2117"/>
      <c r="K46" s="2117"/>
      <c r="L46" s="2117"/>
      <c r="M46" s="2117"/>
      <c r="N46" s="2117"/>
      <c r="O46" s="2117"/>
      <c r="P46" s="2117"/>
      <c r="Q46" s="2117"/>
      <c r="R46" s="2117"/>
      <c r="S46" s="2117"/>
      <c r="T46" s="2117"/>
      <c r="U46" s="2117"/>
      <c r="V46" s="2117"/>
      <c r="W46" s="2117"/>
      <c r="X46" s="2117"/>
      <c r="Y46" s="2117"/>
      <c r="Z46" s="2117"/>
      <c r="AA46" s="2117"/>
      <c r="AB46" s="2117"/>
      <c r="AC46" s="2117"/>
      <c r="AD46" s="2476" t="s">
        <v>996</v>
      </c>
      <c r="AE46" s="2121"/>
      <c r="AF46" s="2609" t="s">
        <v>436</v>
      </c>
      <c r="AG46" s="2117"/>
      <c r="AH46" s="2121"/>
      <c r="AI46" s="2609" t="s">
        <v>437</v>
      </c>
      <c r="AJ46" s="2117"/>
      <c r="AK46" s="1706"/>
      <c r="AL46" s="3532"/>
      <c r="AM46" s="3532"/>
      <c r="AN46" s="3532"/>
      <c r="AO46" s="3539"/>
      <c r="AP46" s="3532"/>
      <c r="AQ46" s="3532"/>
      <c r="AR46" s="3532"/>
      <c r="AS46" s="3532"/>
      <c r="AT46" s="3532"/>
      <c r="AU46" s="3532"/>
      <c r="AV46" s="3532"/>
      <c r="AW46" s="3532"/>
      <c r="AX46" s="3532"/>
      <c r="AY46" s="3532"/>
      <c r="AZ46" s="3532"/>
      <c r="BA46" s="3539"/>
      <c r="BB46" s="3532"/>
      <c r="BC46" s="3532"/>
      <c r="BD46" s="3532"/>
      <c r="BE46" s="3532"/>
      <c r="BF46" s="3532"/>
      <c r="BG46" s="3532"/>
      <c r="BH46" s="3532"/>
      <c r="BI46" s="3532"/>
      <c r="BJ46" s="3532"/>
      <c r="BK46" s="3532"/>
      <c r="BL46" s="3532"/>
      <c r="BM46" s="3532"/>
      <c r="BN46" s="3532"/>
      <c r="BO46" s="3532"/>
      <c r="BP46" s="3532"/>
      <c r="BQ46" s="3532"/>
      <c r="BR46" s="3532"/>
      <c r="BS46" s="3532"/>
      <c r="BT46" s="3532"/>
      <c r="BU46" s="3532"/>
      <c r="BV46" s="3532"/>
      <c r="BW46" s="3532"/>
    </row>
    <row r="47" spans="1:75" s="3427" customFormat="1" ht="12.75" customHeight="1">
      <c r="A47" s="1706"/>
      <c r="B47" s="2117"/>
      <c r="C47" s="3566" t="s">
        <v>2838</v>
      </c>
      <c r="D47" s="2611" t="s">
        <v>2872</v>
      </c>
      <c r="E47" s="2117"/>
      <c r="F47" s="2117"/>
      <c r="G47" s="2117"/>
      <c r="H47" s="2117"/>
      <c r="I47" s="2117"/>
      <c r="J47" s="2117"/>
      <c r="K47" s="2117"/>
      <c r="L47" s="2117"/>
      <c r="M47" s="6176"/>
      <c r="N47" s="6177"/>
      <c r="O47" s="6177"/>
      <c r="P47" s="6177"/>
      <c r="Q47" s="6177"/>
      <c r="R47" s="6177"/>
      <c r="S47" s="6177"/>
      <c r="T47" s="6177"/>
      <c r="U47" s="6177"/>
      <c r="V47" s="6177"/>
      <c r="W47" s="6177"/>
      <c r="X47" s="6177"/>
      <c r="Y47" s="6177"/>
      <c r="Z47" s="6177"/>
      <c r="AA47" s="6177"/>
      <c r="AB47" s="6177"/>
      <c r="AC47" s="6177"/>
      <c r="AD47" s="6177"/>
      <c r="AE47" s="6177"/>
      <c r="AF47" s="6177"/>
      <c r="AG47" s="6177"/>
      <c r="AH47" s="6177"/>
      <c r="AI47" s="6177"/>
      <c r="AJ47" s="6177"/>
      <c r="AK47" s="1706"/>
      <c r="AL47" s="3532"/>
      <c r="AM47" s="3532"/>
      <c r="AN47" s="3544"/>
      <c r="AO47" s="3535"/>
      <c r="AP47" s="3535"/>
      <c r="AQ47" s="3535"/>
      <c r="AR47" s="3535"/>
      <c r="AS47" s="3535"/>
      <c r="AT47" s="3535"/>
      <c r="AU47" s="3535"/>
      <c r="AV47" s="3535"/>
      <c r="AW47" s="3535"/>
      <c r="AX47" s="3535"/>
      <c r="AY47" s="3532"/>
      <c r="AZ47" s="3544"/>
      <c r="BA47" s="3535"/>
      <c r="BB47" s="3535"/>
      <c r="BC47" s="3535"/>
      <c r="BD47" s="3535"/>
      <c r="BE47" s="3535"/>
      <c r="BF47" s="3535"/>
      <c r="BG47" s="3535"/>
      <c r="BH47" s="3535"/>
      <c r="BI47" s="3535"/>
      <c r="BJ47" s="3535"/>
      <c r="BK47" s="3532"/>
      <c r="BL47" s="3532"/>
      <c r="BM47" s="3532"/>
      <c r="BN47" s="3532"/>
      <c r="BO47" s="3532"/>
      <c r="BP47" s="3532"/>
      <c r="BQ47" s="3532"/>
      <c r="BR47" s="3532"/>
      <c r="BS47" s="3532"/>
      <c r="BT47" s="3532"/>
      <c r="BU47" s="3532"/>
      <c r="BV47" s="3532"/>
      <c r="BW47" s="3532"/>
    </row>
    <row r="48" spans="1:75" s="3427" customFormat="1" ht="5.25" customHeight="1">
      <c r="A48" s="1706"/>
      <c r="B48" s="2117"/>
      <c r="C48" s="2117"/>
      <c r="D48" s="2117"/>
      <c r="E48" s="2117"/>
      <c r="F48" s="2117"/>
      <c r="G48" s="2117"/>
      <c r="H48" s="2117"/>
      <c r="I48" s="2117"/>
      <c r="J48" s="2117"/>
      <c r="K48" s="2117"/>
      <c r="L48" s="2117"/>
      <c r="M48" s="2117"/>
      <c r="N48" s="2117"/>
      <c r="O48" s="2117"/>
      <c r="P48" s="2117"/>
      <c r="Q48" s="2117"/>
      <c r="R48" s="2117"/>
      <c r="S48" s="2117"/>
      <c r="T48" s="2117"/>
      <c r="U48" s="2117"/>
      <c r="V48" s="2117"/>
      <c r="W48" s="2117"/>
      <c r="X48" s="2117"/>
      <c r="Y48" s="2117"/>
      <c r="Z48" s="2117"/>
      <c r="AA48" s="2117"/>
      <c r="AB48" s="2117"/>
      <c r="AC48" s="2117"/>
      <c r="AD48" s="2117"/>
      <c r="AE48" s="2117"/>
      <c r="AF48" s="2117"/>
      <c r="AG48" s="2117"/>
      <c r="AH48" s="2117"/>
      <c r="AI48" s="2117"/>
      <c r="AJ48" s="2117"/>
      <c r="AK48" s="1706"/>
      <c r="AL48" s="3532"/>
      <c r="AM48" s="3532"/>
      <c r="AN48" s="3535"/>
      <c r="AO48" s="3535"/>
      <c r="AP48" s="3535"/>
      <c r="AQ48" s="3535"/>
      <c r="AR48" s="3535"/>
      <c r="AS48" s="3535"/>
      <c r="AT48" s="3535"/>
      <c r="AU48" s="3535"/>
      <c r="AV48" s="3535"/>
      <c r="AW48" s="3535"/>
      <c r="AX48" s="3535"/>
      <c r="AY48" s="3532"/>
      <c r="AZ48" s="3535"/>
      <c r="BA48" s="3535"/>
      <c r="BB48" s="3535"/>
      <c r="BC48" s="3535"/>
      <c r="BD48" s="3535"/>
      <c r="BE48" s="3535"/>
      <c r="BF48" s="3535"/>
      <c r="BG48" s="3535"/>
      <c r="BH48" s="3535"/>
      <c r="BI48" s="3535"/>
      <c r="BJ48" s="3535"/>
      <c r="BK48" s="3532"/>
      <c r="BL48" s="3532"/>
      <c r="BM48" s="3532"/>
      <c r="BN48" s="3532"/>
      <c r="BO48" s="3532"/>
      <c r="BP48" s="3532"/>
      <c r="BQ48" s="3532"/>
      <c r="BR48" s="3532"/>
      <c r="BS48" s="3532"/>
      <c r="BT48" s="3532"/>
      <c r="BU48" s="3532"/>
      <c r="BV48" s="3532"/>
      <c r="BW48" s="3532"/>
    </row>
    <row r="49" spans="1:75" s="3427" customFormat="1" ht="12.75" customHeight="1" thickBot="1">
      <c r="A49" s="1706"/>
      <c r="B49" s="2117"/>
      <c r="C49" s="3566" t="s">
        <v>2874</v>
      </c>
      <c r="D49" s="2611" t="s">
        <v>2873</v>
      </c>
      <c r="E49" s="2117"/>
      <c r="F49" s="2117"/>
      <c r="G49" s="2117"/>
      <c r="H49" s="2117"/>
      <c r="I49" s="2117"/>
      <c r="J49" s="2117"/>
      <c r="K49" s="2117"/>
      <c r="L49" s="2117"/>
      <c r="M49" s="2117"/>
      <c r="N49" s="2117"/>
      <c r="O49" s="2117"/>
      <c r="P49" s="2117"/>
      <c r="Q49" s="2117"/>
      <c r="R49" s="2117"/>
      <c r="S49" s="2117"/>
      <c r="T49" s="2117"/>
      <c r="U49" s="2117"/>
      <c r="V49" s="2117"/>
      <c r="W49" s="2117"/>
      <c r="X49" s="2117"/>
      <c r="Y49" s="2117"/>
      <c r="Z49" s="2117"/>
      <c r="AA49" s="2117"/>
      <c r="AB49" s="2117"/>
      <c r="AC49" s="2117"/>
      <c r="AD49" s="2117"/>
      <c r="AE49" s="2117"/>
      <c r="AF49" s="2117"/>
      <c r="AG49" s="2117"/>
      <c r="AH49" s="2117"/>
      <c r="AI49" s="2117"/>
      <c r="AJ49" s="2117"/>
      <c r="AK49" s="1706"/>
      <c r="AL49" s="3532"/>
      <c r="AM49" s="3545"/>
      <c r="AN49" s="3535"/>
      <c r="AO49" s="3535"/>
      <c r="AP49" s="3535"/>
      <c r="AQ49" s="3535"/>
      <c r="AR49" s="3535"/>
      <c r="AS49" s="3535"/>
      <c r="AT49" s="3535"/>
      <c r="AU49" s="3535"/>
      <c r="AV49" s="3535"/>
      <c r="AW49" s="3535"/>
      <c r="AX49" s="3535"/>
      <c r="AY49" s="3532"/>
      <c r="AZ49" s="3535"/>
      <c r="BA49" s="3535"/>
      <c r="BB49" s="3535"/>
      <c r="BC49" s="3535"/>
      <c r="BD49" s="3535"/>
      <c r="BE49" s="3535"/>
      <c r="BF49" s="3535"/>
      <c r="BG49" s="3535"/>
      <c r="BH49" s="3535"/>
      <c r="BI49" s="3535"/>
      <c r="BJ49" s="3535"/>
      <c r="BK49" s="3532"/>
      <c r="BL49" s="3532"/>
      <c r="BM49" s="3532"/>
      <c r="BN49" s="3532"/>
      <c r="BO49" s="3532"/>
      <c r="BP49" s="3532"/>
      <c r="BQ49" s="3532"/>
      <c r="BR49" s="3532"/>
      <c r="BS49" s="3532"/>
      <c r="BT49" s="3532"/>
      <c r="BU49" s="3532"/>
      <c r="BV49" s="3532"/>
      <c r="BW49" s="3532"/>
    </row>
    <row r="50" spans="1:75" ht="15" customHeight="1" thickBot="1">
      <c r="A50" s="1706"/>
      <c r="B50" s="2117"/>
      <c r="C50" s="2117"/>
      <c r="D50" s="2611" t="s">
        <v>3195</v>
      </c>
      <c r="E50" s="2117"/>
      <c r="F50" s="2117"/>
      <c r="G50" s="2117"/>
      <c r="H50" s="2117"/>
      <c r="I50" s="2117"/>
      <c r="J50" s="2117"/>
      <c r="K50" s="2117"/>
      <c r="L50" s="2117"/>
      <c r="M50" s="2117"/>
      <c r="N50" s="2117"/>
      <c r="O50" s="2117"/>
      <c r="P50" s="2117"/>
      <c r="Q50" s="2117"/>
      <c r="R50" s="2117"/>
      <c r="S50" s="2117"/>
      <c r="T50" s="2117"/>
      <c r="U50" s="2117"/>
      <c r="V50" s="2117"/>
      <c r="W50" s="2117"/>
      <c r="X50" s="2117"/>
      <c r="Y50" s="2117"/>
      <c r="Z50" s="2117"/>
      <c r="AA50" s="2117"/>
      <c r="AB50" s="2117"/>
      <c r="AC50" s="2117"/>
      <c r="AD50" s="2476" t="s">
        <v>596</v>
      </c>
      <c r="AE50" s="2121"/>
      <c r="AF50" s="2609" t="s">
        <v>436</v>
      </c>
      <c r="AG50" s="2117"/>
      <c r="AH50" s="2121"/>
      <c r="AI50" s="2609" t="s">
        <v>437</v>
      </c>
      <c r="AJ50" s="2117"/>
      <c r="AK50" s="1706"/>
      <c r="AM50" s="3545"/>
      <c r="AN50" s="3535"/>
      <c r="AO50" s="3535"/>
      <c r="AP50" s="3535"/>
      <c r="AQ50" s="3535"/>
      <c r="AR50" s="3535"/>
      <c r="AS50" s="3535"/>
      <c r="AT50" s="3535"/>
      <c r="AU50" s="3535"/>
      <c r="AV50" s="3535"/>
      <c r="AW50" s="3535"/>
      <c r="AX50" s="3535"/>
      <c r="AZ50" s="3535"/>
      <c r="BA50" s="3535"/>
      <c r="BB50" s="3535"/>
      <c r="BC50" s="3535"/>
      <c r="BD50" s="3535"/>
      <c r="BE50" s="3535"/>
      <c r="BF50" s="3535"/>
      <c r="BG50" s="3535"/>
      <c r="BH50" s="3535"/>
      <c r="BI50" s="3535"/>
      <c r="BJ50" s="3535"/>
    </row>
    <row r="51" spans="1:75" ht="5.25" customHeight="1" thickBot="1">
      <c r="A51" s="1706"/>
      <c r="B51" s="2117"/>
      <c r="C51" s="2117"/>
      <c r="D51" s="2117"/>
      <c r="E51" s="2117"/>
      <c r="F51" s="2117"/>
      <c r="G51" s="2117"/>
      <c r="H51" s="2117"/>
      <c r="I51" s="2117"/>
      <c r="J51" s="2117"/>
      <c r="K51" s="2117"/>
      <c r="L51" s="2117"/>
      <c r="M51" s="2117"/>
      <c r="N51" s="2117"/>
      <c r="O51" s="2117"/>
      <c r="P51" s="2117"/>
      <c r="Q51" s="2117"/>
      <c r="R51" s="2117"/>
      <c r="S51" s="2117"/>
      <c r="T51" s="2117"/>
      <c r="U51" s="2117"/>
      <c r="V51" s="2117"/>
      <c r="W51" s="2117"/>
      <c r="X51" s="2117"/>
      <c r="Y51" s="2117"/>
      <c r="Z51" s="2117"/>
      <c r="AA51" s="2117"/>
      <c r="AB51" s="2117"/>
      <c r="AC51" s="2117"/>
      <c r="AD51" s="2117"/>
      <c r="AE51" s="2117"/>
      <c r="AF51" s="2117"/>
      <c r="AG51" s="2117"/>
      <c r="AH51" s="2117"/>
      <c r="AI51" s="2117"/>
      <c r="AJ51" s="2117"/>
      <c r="AK51" s="1706"/>
      <c r="BL51" s="3546"/>
      <c r="BM51" s="3546"/>
      <c r="BO51" s="3546"/>
      <c r="BP51" s="3546"/>
      <c r="BQ51" s="3546"/>
      <c r="BR51" s="3546"/>
      <c r="BS51" s="3546"/>
      <c r="BT51" s="3546"/>
      <c r="BU51" s="3546"/>
      <c r="BV51" s="3546"/>
    </row>
    <row r="52" spans="1:75" ht="13.5" customHeight="1" thickBot="1">
      <c r="A52" s="1706"/>
      <c r="B52" s="2117"/>
      <c r="C52" s="3566" t="s">
        <v>2838</v>
      </c>
      <c r="D52" s="2117" t="s">
        <v>2875</v>
      </c>
      <c r="E52" s="2117"/>
      <c r="F52" s="2117"/>
      <c r="G52" s="2117"/>
      <c r="H52" s="2117"/>
      <c r="I52" s="2117"/>
      <c r="J52" s="2117"/>
      <c r="K52" s="2117"/>
      <c r="L52" s="2117"/>
      <c r="M52" s="2117"/>
      <c r="N52" s="2117"/>
      <c r="O52" s="2117"/>
      <c r="P52" s="2117"/>
      <c r="Q52" s="2117"/>
      <c r="R52" s="2117"/>
      <c r="S52" s="2117"/>
      <c r="T52" s="2117"/>
      <c r="U52" s="2117"/>
      <c r="V52" s="2117"/>
      <c r="W52" s="2117"/>
      <c r="X52" s="2117"/>
      <c r="Y52" s="2117"/>
      <c r="Z52" s="2117"/>
      <c r="AA52" s="2117"/>
      <c r="AB52" s="2117"/>
      <c r="AC52" s="2117"/>
      <c r="AD52" s="2476" t="s">
        <v>931</v>
      </c>
      <c r="AE52" s="2121"/>
      <c r="AF52" s="2609" t="s">
        <v>436</v>
      </c>
      <c r="AG52" s="2117"/>
      <c r="AH52" s="2121"/>
      <c r="AI52" s="2609" t="s">
        <v>437</v>
      </c>
      <c r="AJ52" s="2117"/>
      <c r="AK52" s="1706"/>
      <c r="AM52" s="3547"/>
      <c r="BL52" s="3546"/>
      <c r="BM52" s="3546"/>
      <c r="BO52" s="3546"/>
      <c r="BP52" s="3546"/>
      <c r="BQ52" s="3546"/>
      <c r="BR52" s="3546"/>
      <c r="BS52" s="3546"/>
      <c r="BT52" s="3546"/>
      <c r="BU52" s="3546"/>
      <c r="BV52" s="3546"/>
    </row>
    <row r="53" spans="1:75" ht="16.5" customHeight="1">
      <c r="A53" s="1706"/>
      <c r="B53" s="2117"/>
      <c r="C53" s="2117"/>
      <c r="D53" s="2609" t="s">
        <v>3199</v>
      </c>
      <c r="E53" s="2117"/>
      <c r="F53" s="2117"/>
      <c r="G53" s="2117"/>
      <c r="H53" s="2117"/>
      <c r="I53" s="2117"/>
      <c r="J53" s="2117"/>
      <c r="K53" s="2117"/>
      <c r="L53" s="2117"/>
      <c r="M53" s="2117"/>
      <c r="N53" s="2117"/>
      <c r="O53" s="2117"/>
      <c r="P53" s="2117"/>
      <c r="Q53" s="2117"/>
      <c r="R53" s="2117"/>
      <c r="S53" s="2117"/>
      <c r="T53" s="2117"/>
      <c r="U53" s="2117"/>
      <c r="V53" s="2117"/>
      <c r="W53" s="2117"/>
      <c r="X53" s="2117"/>
      <c r="Y53" s="2117"/>
      <c r="Z53" s="2117"/>
      <c r="AA53" s="2117"/>
      <c r="AB53" s="2117"/>
      <c r="AC53" s="2117"/>
      <c r="AD53" s="2117"/>
      <c r="AE53" s="2117"/>
      <c r="AF53" s="2117"/>
      <c r="AG53" s="2117"/>
      <c r="AH53" s="2117"/>
      <c r="AI53" s="2117"/>
      <c r="AJ53" s="2117"/>
      <c r="AK53" s="1706"/>
      <c r="AM53" s="3547"/>
      <c r="BL53" s="3546"/>
      <c r="BM53" s="3546"/>
      <c r="BO53" s="3546"/>
      <c r="BP53" s="3546"/>
      <c r="BQ53" s="3546"/>
      <c r="BR53" s="3546"/>
      <c r="BS53" s="3546"/>
      <c r="BT53" s="3546"/>
      <c r="BU53" s="3546"/>
      <c r="BV53" s="3546"/>
    </row>
    <row r="54" spans="1:75" ht="16.5" customHeight="1">
      <c r="A54" s="1706"/>
      <c r="B54" s="2117"/>
      <c r="C54" s="2117"/>
      <c r="D54" s="3571" t="s">
        <v>2876</v>
      </c>
      <c r="E54" s="2117"/>
      <c r="F54" s="2117"/>
      <c r="G54" s="2117"/>
      <c r="H54" s="2117"/>
      <c r="I54" s="2117"/>
      <c r="J54" s="2117"/>
      <c r="K54" s="2117"/>
      <c r="L54" s="2117"/>
      <c r="M54" s="2117"/>
      <c r="N54" s="2117"/>
      <c r="O54" s="2117"/>
      <c r="P54" s="2117"/>
      <c r="Q54" s="2117"/>
      <c r="R54" s="2117"/>
      <c r="S54" s="2117"/>
      <c r="T54" s="2117"/>
      <c r="U54" s="2117"/>
      <c r="V54" s="2117"/>
      <c r="W54" s="2117"/>
      <c r="X54" s="2117"/>
      <c r="Y54" s="2117"/>
      <c r="Z54" s="2117"/>
      <c r="AA54" s="2117"/>
      <c r="AB54" s="2117"/>
      <c r="AC54" s="2117"/>
      <c r="AD54" s="2117"/>
      <c r="AE54" s="2117"/>
      <c r="AF54" s="2117"/>
      <c r="AG54" s="2117"/>
      <c r="AH54" s="2117"/>
      <c r="AI54" s="2117"/>
      <c r="AJ54" s="2117"/>
      <c r="AK54" s="1706"/>
      <c r="AM54" s="3547"/>
      <c r="AO54" s="3548"/>
      <c r="AP54" s="3545"/>
      <c r="AQ54" s="3545"/>
      <c r="AR54" s="3545"/>
      <c r="BL54" s="3546"/>
      <c r="BM54" s="3546"/>
      <c r="BO54" s="3546"/>
      <c r="BP54" s="3546"/>
      <c r="BQ54" s="3546"/>
      <c r="BR54" s="3546"/>
      <c r="BS54" s="3546"/>
      <c r="BT54" s="3546"/>
      <c r="BU54" s="3546"/>
      <c r="BV54" s="3546"/>
    </row>
    <row r="55" spans="1:75" ht="16.5" customHeight="1">
      <c r="A55" s="1706"/>
      <c r="B55" s="2117"/>
      <c r="C55" s="3135" t="s">
        <v>1258</v>
      </c>
      <c r="D55" s="2611" t="s">
        <v>3197</v>
      </c>
      <c r="E55" s="2117"/>
      <c r="F55" s="2117"/>
      <c r="G55" s="2117"/>
      <c r="H55" s="2117"/>
      <c r="I55" s="2117"/>
      <c r="J55" s="2117"/>
      <c r="K55" s="2117"/>
      <c r="L55" s="2117"/>
      <c r="M55" s="2117"/>
      <c r="N55" s="2117"/>
      <c r="O55" s="2117"/>
      <c r="P55" s="2117"/>
      <c r="Q55" s="2117"/>
      <c r="R55" s="2117"/>
      <c r="S55" s="2117"/>
      <c r="T55" s="2117"/>
      <c r="U55" s="2117"/>
      <c r="V55" s="2117"/>
      <c r="W55" s="2117"/>
      <c r="X55" s="2117"/>
      <c r="Y55" s="2117"/>
      <c r="Z55" s="2117"/>
      <c r="AA55" s="2117"/>
      <c r="AB55" s="2117"/>
      <c r="AC55" s="2117"/>
      <c r="AD55" s="2117"/>
      <c r="AE55" s="2117"/>
      <c r="AF55" s="2117"/>
      <c r="AG55" s="2117"/>
      <c r="AH55" s="2117"/>
      <c r="AI55" s="2117"/>
      <c r="AJ55" s="2117"/>
      <c r="AK55" s="1706"/>
      <c r="AO55" s="3548"/>
      <c r="AP55" s="3545"/>
      <c r="AQ55" s="3545"/>
      <c r="AR55" s="3545"/>
      <c r="BL55" s="3546"/>
      <c r="BM55" s="3546"/>
      <c r="BO55" s="3546"/>
      <c r="BP55" s="3546"/>
      <c r="BQ55" s="3546"/>
      <c r="BR55" s="3546"/>
      <c r="BS55" s="3546"/>
      <c r="BT55" s="3546"/>
      <c r="BU55" s="3546"/>
      <c r="BV55" s="3546"/>
    </row>
    <row r="56" spans="1:75" ht="16.5" customHeight="1">
      <c r="A56" s="1706"/>
      <c r="B56" s="2117"/>
      <c r="C56" s="2117"/>
      <c r="D56" s="3821" t="s">
        <v>3196</v>
      </c>
      <c r="E56" s="2117"/>
      <c r="F56" s="2117"/>
      <c r="G56" s="2117"/>
      <c r="H56" s="2117"/>
      <c r="I56" s="2117"/>
      <c r="J56" s="2117"/>
      <c r="K56" s="2117"/>
      <c r="L56" s="2117"/>
      <c r="M56" s="2117"/>
      <c r="N56" s="2117"/>
      <c r="O56" s="2117"/>
      <c r="P56" s="2117"/>
      <c r="Q56" s="2117"/>
      <c r="R56" s="2117"/>
      <c r="S56" s="2117"/>
      <c r="T56" s="2117"/>
      <c r="U56" s="2117"/>
      <c r="V56" s="2117"/>
      <c r="W56" s="2117"/>
      <c r="X56" s="2117"/>
      <c r="Y56" s="2117"/>
      <c r="Z56" s="2117"/>
      <c r="AA56" s="2117"/>
      <c r="AB56" s="2117"/>
      <c r="AC56" s="2117"/>
      <c r="AD56" s="2117"/>
      <c r="AE56" s="2117"/>
      <c r="AF56" s="2117"/>
      <c r="AG56" s="2117"/>
      <c r="AH56" s="2117"/>
      <c r="AI56" s="2117"/>
      <c r="AJ56" s="2117"/>
      <c r="AK56" s="1706"/>
      <c r="AO56" s="3545"/>
      <c r="AP56" s="3533"/>
      <c r="AQ56" s="3533"/>
      <c r="AR56" s="3533"/>
      <c r="BL56" s="3546"/>
      <c r="BM56" s="3546"/>
      <c r="BO56" s="3546"/>
      <c r="BP56" s="3546"/>
      <c r="BQ56" s="3546"/>
      <c r="BR56" s="3546"/>
      <c r="BS56" s="3546"/>
      <c r="BT56" s="3546"/>
      <c r="BU56" s="3546"/>
      <c r="BV56" s="3546"/>
    </row>
    <row r="57" spans="1:75" ht="35.25" customHeight="1" thickBot="1">
      <c r="A57" s="1706"/>
      <c r="B57" s="6190" t="s">
        <v>2877</v>
      </c>
      <c r="C57" s="6191"/>
      <c r="D57" s="6191"/>
      <c r="E57" s="6192"/>
      <c r="F57" s="6190" t="s">
        <v>2878</v>
      </c>
      <c r="G57" s="6191"/>
      <c r="H57" s="6191"/>
      <c r="I57" s="6192"/>
      <c r="J57" s="6190" t="s">
        <v>2879</v>
      </c>
      <c r="K57" s="6191"/>
      <c r="L57" s="6191"/>
      <c r="M57" s="6192"/>
      <c r="N57" s="6193" t="s">
        <v>2880</v>
      </c>
      <c r="O57" s="6191"/>
      <c r="P57" s="6191"/>
      <c r="Q57" s="6191"/>
      <c r="R57" s="6194"/>
      <c r="S57" s="6195" t="s">
        <v>2881</v>
      </c>
      <c r="T57" s="6196"/>
      <c r="U57" s="6196"/>
      <c r="V57" s="6197"/>
      <c r="W57" s="6190" t="s">
        <v>2878</v>
      </c>
      <c r="X57" s="6191"/>
      <c r="Y57" s="6191"/>
      <c r="Z57" s="6192"/>
      <c r="AA57" s="6190" t="s">
        <v>2879</v>
      </c>
      <c r="AB57" s="6191"/>
      <c r="AC57" s="6191"/>
      <c r="AD57" s="6192"/>
      <c r="AE57" s="6193" t="s">
        <v>2880</v>
      </c>
      <c r="AF57" s="6191"/>
      <c r="AG57" s="6191"/>
      <c r="AH57" s="6191"/>
      <c r="AI57" s="6191"/>
      <c r="AJ57" s="6191"/>
      <c r="AK57" s="1706"/>
      <c r="AM57" s="3707" t="s">
        <v>150</v>
      </c>
      <c r="AO57" s="3707" t="s">
        <v>150</v>
      </c>
      <c r="AP57" s="3549"/>
      <c r="AQ57" s="3549"/>
      <c r="AR57" s="3549"/>
      <c r="BL57" s="3546"/>
      <c r="BM57" s="3546"/>
      <c r="BO57" s="3546"/>
      <c r="BP57" s="3546"/>
      <c r="BQ57" s="3546"/>
      <c r="BR57" s="3546"/>
      <c r="BS57" s="3546"/>
      <c r="BT57" s="3546"/>
      <c r="BU57" s="3546"/>
      <c r="BV57" s="3546"/>
    </row>
    <row r="58" spans="1:75" ht="14.25" customHeight="1" thickBot="1">
      <c r="A58" s="1706"/>
      <c r="B58" s="6178"/>
      <c r="C58" s="6144"/>
      <c r="D58" s="6144"/>
      <c r="E58" s="6144"/>
      <c r="F58" s="6143"/>
      <c r="G58" s="6144"/>
      <c r="H58" s="6144"/>
      <c r="I58" s="6179"/>
      <c r="J58" s="6180" t="str">
        <f>IF(AM58&lt;&gt;"",ROUND(AM58,0),IF(OR(B58="",F58=""),"",F58-B58))</f>
        <v/>
      </c>
      <c r="K58" s="6181"/>
      <c r="L58" s="6181"/>
      <c r="M58" s="6182"/>
      <c r="N58" s="6183"/>
      <c r="O58" s="6184"/>
      <c r="P58" s="6184"/>
      <c r="Q58" s="6184"/>
      <c r="R58" s="6185"/>
      <c r="S58" s="6186"/>
      <c r="T58" s="6187"/>
      <c r="U58" s="6187"/>
      <c r="V58" s="6188"/>
      <c r="W58" s="6143"/>
      <c r="X58" s="6144"/>
      <c r="Y58" s="6144"/>
      <c r="Z58" s="6179"/>
      <c r="AA58" s="6180" t="str">
        <f>IF(AO58&lt;&gt;"",ROUND(AO58,0),IF(OR(S58="",W58=""),"",W58-S58))</f>
        <v/>
      </c>
      <c r="AB58" s="6181"/>
      <c r="AC58" s="6181"/>
      <c r="AD58" s="6182"/>
      <c r="AE58" s="6183"/>
      <c r="AF58" s="6184"/>
      <c r="AG58" s="6184"/>
      <c r="AH58" s="6184"/>
      <c r="AI58" s="6184"/>
      <c r="AJ58" s="6189"/>
      <c r="AK58" s="1706"/>
      <c r="AM58" s="3708"/>
      <c r="AO58" s="3708"/>
      <c r="AP58" s="3549"/>
      <c r="AQ58" s="3549"/>
      <c r="AR58" s="3549"/>
      <c r="BL58" s="3546"/>
      <c r="BM58" s="3546"/>
      <c r="BO58" s="3546"/>
      <c r="BP58" s="3546"/>
      <c r="BQ58" s="3546"/>
      <c r="BR58" s="3546"/>
      <c r="BS58" s="3546"/>
      <c r="BT58" s="3546"/>
      <c r="BU58" s="3546"/>
      <c r="BV58" s="3546"/>
    </row>
    <row r="59" spans="1:75" ht="14.25" customHeight="1" thickBot="1">
      <c r="A59" s="1706"/>
      <c r="B59" s="6178"/>
      <c r="C59" s="6144"/>
      <c r="D59" s="6144"/>
      <c r="E59" s="6144"/>
      <c r="F59" s="6143"/>
      <c r="G59" s="6144"/>
      <c r="H59" s="6144"/>
      <c r="I59" s="6179"/>
      <c r="J59" s="6180" t="str">
        <f t="shared" ref="J59:J61" si="0">IF(AM59&lt;&gt;"",ROUND(AM59,0),IF(OR(B59="",F59=""),"",F59-B59))</f>
        <v/>
      </c>
      <c r="K59" s="6181"/>
      <c r="L59" s="6181"/>
      <c r="M59" s="6182"/>
      <c r="N59" s="6183"/>
      <c r="O59" s="6184"/>
      <c r="P59" s="6184"/>
      <c r="Q59" s="6184"/>
      <c r="R59" s="6185"/>
      <c r="S59" s="6186"/>
      <c r="T59" s="6187"/>
      <c r="U59" s="6187"/>
      <c r="V59" s="6188"/>
      <c r="W59" s="6143"/>
      <c r="X59" s="6144"/>
      <c r="Y59" s="6144"/>
      <c r="Z59" s="6179"/>
      <c r="AA59" s="6180" t="str">
        <f t="shared" ref="AA59:AA61" si="1">IF(AO59&lt;&gt;"",ROUND(AO59,0),IF(OR(S59="",W59=""),"",W59-S59))</f>
        <v/>
      </c>
      <c r="AB59" s="6181"/>
      <c r="AC59" s="6181"/>
      <c r="AD59" s="6182"/>
      <c r="AE59" s="6183"/>
      <c r="AF59" s="6184"/>
      <c r="AG59" s="6184"/>
      <c r="AH59" s="6184"/>
      <c r="AI59" s="6184"/>
      <c r="AJ59" s="6189"/>
      <c r="AK59" s="1706"/>
      <c r="AM59" s="3708"/>
      <c r="AO59" s="3708"/>
      <c r="AP59" s="3549"/>
      <c r="AQ59" s="3549"/>
      <c r="AR59" s="3549"/>
      <c r="BL59" s="3546"/>
      <c r="BM59" s="3546"/>
      <c r="BO59" s="3546"/>
      <c r="BP59" s="3546"/>
      <c r="BQ59" s="3546"/>
      <c r="BR59" s="3546"/>
      <c r="BS59" s="3546"/>
      <c r="BT59" s="3546"/>
      <c r="BU59" s="3546"/>
      <c r="BV59" s="3546"/>
    </row>
    <row r="60" spans="1:75" ht="14.25" customHeight="1" thickBot="1">
      <c r="A60" s="1706"/>
      <c r="B60" s="6178"/>
      <c r="C60" s="6144"/>
      <c r="D60" s="6144"/>
      <c r="E60" s="6144"/>
      <c r="F60" s="6143"/>
      <c r="G60" s="6144"/>
      <c r="H60" s="6144"/>
      <c r="I60" s="6179"/>
      <c r="J60" s="6180" t="str">
        <f t="shared" si="0"/>
        <v/>
      </c>
      <c r="K60" s="6181"/>
      <c r="L60" s="6181"/>
      <c r="M60" s="6182"/>
      <c r="N60" s="6183"/>
      <c r="O60" s="6184"/>
      <c r="P60" s="6184"/>
      <c r="Q60" s="6184"/>
      <c r="R60" s="6185"/>
      <c r="S60" s="6186"/>
      <c r="T60" s="6187"/>
      <c r="U60" s="6187"/>
      <c r="V60" s="6188"/>
      <c r="W60" s="6143"/>
      <c r="X60" s="6144"/>
      <c r="Y60" s="6144"/>
      <c r="Z60" s="6179"/>
      <c r="AA60" s="6180" t="str">
        <f t="shared" si="1"/>
        <v/>
      </c>
      <c r="AB60" s="6181"/>
      <c r="AC60" s="6181"/>
      <c r="AD60" s="6182"/>
      <c r="AE60" s="6183"/>
      <c r="AF60" s="6184"/>
      <c r="AG60" s="6184"/>
      <c r="AH60" s="6184"/>
      <c r="AI60" s="6184"/>
      <c r="AJ60" s="6189"/>
      <c r="AK60" s="1706"/>
      <c r="AM60" s="3708"/>
      <c r="AO60" s="3708"/>
      <c r="AP60" s="3549"/>
      <c r="AQ60" s="3549"/>
      <c r="AR60" s="3549"/>
      <c r="BL60" s="3546"/>
      <c r="BM60" s="3546"/>
      <c r="BO60" s="3546"/>
      <c r="BP60" s="3546"/>
      <c r="BQ60" s="3546"/>
      <c r="BR60" s="3546"/>
      <c r="BS60" s="3546"/>
      <c r="BT60" s="3546"/>
      <c r="BU60" s="3546"/>
      <c r="BV60" s="3546"/>
    </row>
    <row r="61" spans="1:75" ht="14.25" customHeight="1" thickBot="1">
      <c r="A61" s="1706"/>
      <c r="B61" s="6178"/>
      <c r="C61" s="6144"/>
      <c r="D61" s="6144"/>
      <c r="E61" s="6144"/>
      <c r="F61" s="6143"/>
      <c r="G61" s="6144"/>
      <c r="H61" s="6144"/>
      <c r="I61" s="6179"/>
      <c r="J61" s="6180" t="str">
        <f t="shared" si="0"/>
        <v/>
      </c>
      <c r="K61" s="6181"/>
      <c r="L61" s="6181"/>
      <c r="M61" s="6182"/>
      <c r="N61" s="6183"/>
      <c r="O61" s="6184"/>
      <c r="P61" s="6184"/>
      <c r="Q61" s="6184"/>
      <c r="R61" s="6185"/>
      <c r="S61" s="6186"/>
      <c r="T61" s="6187"/>
      <c r="U61" s="6187"/>
      <c r="V61" s="6188"/>
      <c r="W61" s="6143"/>
      <c r="X61" s="6144"/>
      <c r="Y61" s="6144"/>
      <c r="Z61" s="6179"/>
      <c r="AA61" s="6180" t="str">
        <f t="shared" si="1"/>
        <v/>
      </c>
      <c r="AB61" s="6181"/>
      <c r="AC61" s="6181"/>
      <c r="AD61" s="6182"/>
      <c r="AE61" s="6183"/>
      <c r="AF61" s="6184"/>
      <c r="AG61" s="6184"/>
      <c r="AH61" s="6184"/>
      <c r="AI61" s="6184"/>
      <c r="AJ61" s="6189"/>
      <c r="AK61" s="1706"/>
      <c r="AM61" s="3708"/>
      <c r="AO61" s="3708"/>
      <c r="AP61" s="3549"/>
      <c r="AQ61" s="3549"/>
      <c r="AR61" s="3549"/>
      <c r="BL61" s="3546"/>
      <c r="BM61" s="3546"/>
      <c r="BO61" s="3546"/>
      <c r="BP61" s="3546"/>
      <c r="BQ61" s="3546"/>
      <c r="BR61" s="3546"/>
      <c r="BS61" s="3546"/>
      <c r="BT61" s="3546"/>
      <c r="BU61" s="3546"/>
      <c r="BV61" s="3546"/>
    </row>
    <row r="62" spans="1:75" ht="14.25" customHeight="1">
      <c r="A62" s="1706"/>
      <c r="B62" s="2117"/>
      <c r="C62" s="3566" t="s">
        <v>2883</v>
      </c>
      <c r="D62" s="2117" t="s">
        <v>2882</v>
      </c>
      <c r="E62" s="2117"/>
      <c r="F62" s="2117"/>
      <c r="G62" s="2117"/>
      <c r="H62" s="2117"/>
      <c r="I62" s="2117"/>
      <c r="J62" s="2117"/>
      <c r="K62" s="2117"/>
      <c r="L62" s="2117"/>
      <c r="M62" s="2117"/>
      <c r="N62" s="2117"/>
      <c r="O62" s="2117"/>
      <c r="P62" s="2117"/>
      <c r="Q62" s="2117"/>
      <c r="R62" s="2117"/>
      <c r="S62" s="2117"/>
      <c r="T62" s="2117"/>
      <c r="U62" s="2117"/>
      <c r="V62" s="2117"/>
      <c r="W62" s="2117"/>
      <c r="X62" s="2117"/>
      <c r="Y62" s="2117"/>
      <c r="Z62" s="6129"/>
      <c r="AA62" s="6175"/>
      <c r="AB62" s="6175"/>
      <c r="AC62" s="6175"/>
      <c r="AD62" s="6175"/>
      <c r="AE62" s="6175"/>
      <c r="AF62" s="6175"/>
      <c r="AG62" s="6175"/>
      <c r="AH62" s="6175"/>
      <c r="AI62" s="6175"/>
      <c r="AJ62" s="6175"/>
      <c r="AK62" s="1706"/>
      <c r="AO62" s="3545"/>
      <c r="AP62" s="3549"/>
      <c r="AQ62" s="3549"/>
      <c r="AR62" s="3549"/>
      <c r="BL62" s="3546"/>
      <c r="BM62" s="3546"/>
      <c r="BO62" s="3546"/>
      <c r="BP62" s="3546"/>
      <c r="BQ62" s="3546"/>
      <c r="BR62" s="3546"/>
      <c r="BS62" s="3546"/>
      <c r="BT62" s="3546"/>
      <c r="BU62" s="3546"/>
      <c r="BV62" s="3546"/>
    </row>
    <row r="63" spans="1:75" ht="14.25" customHeight="1">
      <c r="A63" s="1706"/>
      <c r="B63" s="2117"/>
      <c r="C63" s="2117"/>
      <c r="D63" s="6176"/>
      <c r="E63" s="6177"/>
      <c r="F63" s="6177"/>
      <c r="G63" s="6177"/>
      <c r="H63" s="6177"/>
      <c r="I63" s="6177"/>
      <c r="J63" s="6177"/>
      <c r="K63" s="6177"/>
      <c r="L63" s="6177"/>
      <c r="M63" s="6177"/>
      <c r="N63" s="6177"/>
      <c r="O63" s="6177"/>
      <c r="P63" s="6177"/>
      <c r="Q63" s="6177"/>
      <c r="R63" s="6177"/>
      <c r="S63" s="6177"/>
      <c r="T63" s="6177"/>
      <c r="U63" s="6177"/>
      <c r="V63" s="6177"/>
      <c r="W63" s="6177"/>
      <c r="X63" s="6177"/>
      <c r="Y63" s="6177"/>
      <c r="Z63" s="6177"/>
      <c r="AA63" s="6177"/>
      <c r="AB63" s="6177"/>
      <c r="AC63" s="6177"/>
      <c r="AD63" s="6177"/>
      <c r="AE63" s="6177"/>
      <c r="AF63" s="6177"/>
      <c r="AG63" s="6177"/>
      <c r="AH63" s="6177"/>
      <c r="AI63" s="6177"/>
      <c r="AJ63" s="6177"/>
      <c r="AK63" s="1706"/>
      <c r="AO63" s="3545"/>
      <c r="AP63" s="3549"/>
      <c r="AQ63" s="3549"/>
      <c r="AR63" s="3549"/>
      <c r="BL63" s="3546"/>
      <c r="BM63" s="3546"/>
      <c r="BO63" s="3546"/>
      <c r="BP63" s="3546"/>
      <c r="BQ63" s="3546"/>
      <c r="BR63" s="3546"/>
      <c r="BS63" s="3546"/>
      <c r="BT63" s="3546"/>
      <c r="BU63" s="3546"/>
      <c r="BV63" s="3546"/>
    </row>
    <row r="64" spans="1:75" ht="14.25" customHeight="1">
      <c r="A64" s="1706"/>
      <c r="B64" s="2117"/>
      <c r="C64" s="3566" t="s">
        <v>2838</v>
      </c>
      <c r="D64" s="2117" t="s">
        <v>2884</v>
      </c>
      <c r="E64" s="2117"/>
      <c r="F64" s="2117"/>
      <c r="G64" s="2117"/>
      <c r="H64" s="2117"/>
      <c r="I64" s="2117"/>
      <c r="J64" s="2117"/>
      <c r="K64" s="2117"/>
      <c r="L64" s="2117"/>
      <c r="M64" s="2117"/>
      <c r="N64" s="2117"/>
      <c r="O64" s="2117"/>
      <c r="P64" s="2117"/>
      <c r="Q64" s="2117"/>
      <c r="R64" s="2117"/>
      <c r="S64" s="2117"/>
      <c r="T64" s="6133"/>
      <c r="U64" s="6148"/>
      <c r="V64" s="6148"/>
      <c r="W64" s="6148"/>
      <c r="X64" s="6148"/>
      <c r="Y64" s="6148"/>
      <c r="Z64" s="6148"/>
      <c r="AA64" s="6148"/>
      <c r="AB64" s="6148"/>
      <c r="AC64" s="6148"/>
      <c r="AD64" s="6148"/>
      <c r="AE64" s="6148"/>
      <c r="AF64" s="6148"/>
      <c r="AG64" s="6148"/>
      <c r="AH64" s="6148"/>
      <c r="AI64" s="6148"/>
      <c r="AJ64" s="6148"/>
      <c r="AK64" s="1706"/>
      <c r="AO64" s="3545"/>
      <c r="AP64" s="3549"/>
      <c r="AQ64" s="3549"/>
      <c r="AR64" s="3549"/>
      <c r="BL64" s="3546"/>
      <c r="BM64" s="3546"/>
      <c r="BO64" s="3546"/>
      <c r="BP64" s="3546"/>
      <c r="BQ64" s="3546"/>
      <c r="BR64" s="3546"/>
      <c r="BS64" s="3546"/>
      <c r="BT64" s="3546"/>
      <c r="BU64" s="3546"/>
      <c r="BV64" s="3546"/>
    </row>
    <row r="65" spans="1:74" ht="5.25" customHeight="1" thickBot="1">
      <c r="A65" s="1706"/>
      <c r="B65" s="2117"/>
      <c r="C65" s="2117"/>
      <c r="D65" s="2117"/>
      <c r="E65" s="2117"/>
      <c r="F65" s="2117"/>
      <c r="G65" s="2117"/>
      <c r="H65" s="2117"/>
      <c r="I65" s="2117"/>
      <c r="J65" s="2117"/>
      <c r="K65" s="2117"/>
      <c r="L65" s="2117"/>
      <c r="M65" s="2117"/>
      <c r="N65" s="2117"/>
      <c r="O65" s="2117"/>
      <c r="P65" s="2117"/>
      <c r="Q65" s="2117"/>
      <c r="R65" s="2117"/>
      <c r="S65" s="2117"/>
      <c r="T65" s="2117"/>
      <c r="U65" s="2117"/>
      <c r="V65" s="2117"/>
      <c r="W65" s="2117"/>
      <c r="X65" s="2117"/>
      <c r="Y65" s="2117"/>
      <c r="Z65" s="2117"/>
      <c r="AA65" s="2117"/>
      <c r="AB65" s="2117"/>
      <c r="AC65" s="2117"/>
      <c r="AD65" s="2117"/>
      <c r="AE65" s="2117"/>
      <c r="AF65" s="2117"/>
      <c r="AG65" s="2117"/>
      <c r="AH65" s="2117"/>
      <c r="AI65" s="2117"/>
      <c r="AJ65" s="2117"/>
      <c r="AK65" s="1706"/>
      <c r="BL65" s="3546"/>
      <c r="BM65" s="3546"/>
      <c r="BO65" s="3546"/>
      <c r="BP65" s="3546"/>
      <c r="BQ65" s="3546"/>
      <c r="BR65" s="3546"/>
      <c r="BS65" s="3546"/>
      <c r="BT65" s="3546"/>
      <c r="BU65" s="3546"/>
      <c r="BV65" s="3546"/>
    </row>
    <row r="66" spans="1:74" ht="13.5" customHeight="1" thickBot="1">
      <c r="A66" s="1706"/>
      <c r="B66" s="2117"/>
      <c r="C66" s="3566" t="s">
        <v>2844</v>
      </c>
      <c r="D66" s="2117" t="s">
        <v>2885</v>
      </c>
      <c r="E66" s="2117"/>
      <c r="F66" s="2117"/>
      <c r="G66" s="2117"/>
      <c r="H66" s="2117"/>
      <c r="I66" s="2117"/>
      <c r="J66" s="2117"/>
      <c r="K66" s="2117"/>
      <c r="L66" s="2117"/>
      <c r="M66" s="2117"/>
      <c r="N66" s="2117"/>
      <c r="O66" s="2117"/>
      <c r="P66" s="2117"/>
      <c r="Q66" s="2117"/>
      <c r="R66" s="2117"/>
      <c r="S66" s="2117"/>
      <c r="T66" s="2117"/>
      <c r="U66" s="2117"/>
      <c r="V66" s="2117"/>
      <c r="W66" s="2117"/>
      <c r="X66" s="2117"/>
      <c r="Y66" s="2117"/>
      <c r="Z66" s="2117"/>
      <c r="AA66" s="2117"/>
      <c r="AB66" s="2117"/>
      <c r="AC66" s="2117"/>
      <c r="AD66" s="2476" t="s">
        <v>931</v>
      </c>
      <c r="AE66" s="2121"/>
      <c r="AF66" s="2611" t="s">
        <v>436</v>
      </c>
      <c r="AG66" s="2117"/>
      <c r="AH66" s="2121"/>
      <c r="AI66" s="2611" t="s">
        <v>437</v>
      </c>
      <c r="AJ66" s="2117"/>
      <c r="AK66" s="1706"/>
      <c r="AO66" s="3545"/>
      <c r="AP66" s="3549"/>
      <c r="AQ66" s="3549"/>
      <c r="AR66" s="3549"/>
      <c r="BL66" s="3546"/>
      <c r="BM66" s="3546"/>
      <c r="BO66" s="3546"/>
      <c r="BP66" s="3546"/>
      <c r="BQ66" s="3546"/>
      <c r="BR66" s="3546"/>
      <c r="BS66" s="3546"/>
      <c r="BT66" s="3546"/>
      <c r="BU66" s="3546"/>
      <c r="BV66" s="3546"/>
    </row>
    <row r="67" spans="1:74" ht="3.75" customHeight="1" thickBot="1">
      <c r="A67" s="1706"/>
      <c r="B67" s="2117"/>
      <c r="C67" s="3566"/>
      <c r="D67" s="2117"/>
      <c r="E67" s="2117"/>
      <c r="F67" s="2117"/>
      <c r="G67" s="2117"/>
      <c r="H67" s="2117"/>
      <c r="I67" s="2117"/>
      <c r="J67" s="2117"/>
      <c r="K67" s="2117"/>
      <c r="L67" s="2117"/>
      <c r="M67" s="2117"/>
      <c r="N67" s="2117"/>
      <c r="O67" s="2117"/>
      <c r="P67" s="2117"/>
      <c r="Q67" s="2117"/>
      <c r="R67" s="2117"/>
      <c r="S67" s="2117"/>
      <c r="T67" s="2117"/>
      <c r="U67" s="2117"/>
      <c r="V67" s="2117"/>
      <c r="W67" s="2117"/>
      <c r="X67" s="2117"/>
      <c r="Y67" s="2117"/>
      <c r="Z67" s="2117"/>
      <c r="AA67" s="2117"/>
      <c r="AB67" s="2117"/>
      <c r="AC67" s="2117"/>
      <c r="AD67" s="2117"/>
      <c r="AE67" s="3572"/>
      <c r="AF67" s="2611"/>
      <c r="AG67" s="2117"/>
      <c r="AH67" s="3572"/>
      <c r="AI67" s="2611"/>
      <c r="AJ67" s="2117"/>
      <c r="AK67" s="1706"/>
      <c r="AO67" s="3545"/>
      <c r="AP67" s="3549"/>
      <c r="AQ67" s="3549"/>
      <c r="AR67" s="3549"/>
      <c r="BL67" s="3546"/>
      <c r="BM67" s="3546"/>
      <c r="BO67" s="3546"/>
      <c r="BP67" s="3546"/>
      <c r="BQ67" s="3546"/>
      <c r="BR67" s="3546"/>
      <c r="BS67" s="3546"/>
      <c r="BT67" s="3546"/>
      <c r="BU67" s="3546"/>
      <c r="BV67" s="3546"/>
    </row>
    <row r="68" spans="1:74" ht="13.5" customHeight="1" thickBot="1">
      <c r="A68" s="1706"/>
      <c r="B68" s="2117"/>
      <c r="C68" s="3566" t="s">
        <v>151</v>
      </c>
      <c r="D68" s="2117" t="s">
        <v>2886</v>
      </c>
      <c r="E68" s="2117"/>
      <c r="F68" s="2117"/>
      <c r="G68" s="2117"/>
      <c r="H68" s="2117"/>
      <c r="I68" s="2117"/>
      <c r="J68" s="2117"/>
      <c r="K68" s="2117"/>
      <c r="L68" s="2117"/>
      <c r="M68" s="2117"/>
      <c r="N68" s="2117"/>
      <c r="O68" s="2117"/>
      <c r="P68" s="2117"/>
      <c r="Q68" s="2117"/>
      <c r="R68" s="2117"/>
      <c r="S68" s="2117"/>
      <c r="T68" s="2117"/>
      <c r="U68" s="2117"/>
      <c r="V68" s="2117"/>
      <c r="W68" s="2117"/>
      <c r="X68" s="2117"/>
      <c r="Y68" s="2117"/>
      <c r="Z68" s="2117"/>
      <c r="AA68" s="2117"/>
      <c r="AB68" s="2117"/>
      <c r="AC68" s="2117"/>
      <c r="AD68" s="2476" t="s">
        <v>995</v>
      </c>
      <c r="AE68" s="2121"/>
      <c r="AF68" s="2611" t="s">
        <v>436</v>
      </c>
      <c r="AG68" s="2117"/>
      <c r="AH68" s="2121"/>
      <c r="AI68" s="2611" t="s">
        <v>437</v>
      </c>
      <c r="AJ68" s="2117"/>
      <c r="AK68" s="1706"/>
      <c r="AO68" s="3546"/>
      <c r="AP68" s="3546"/>
      <c r="BL68" s="3546"/>
      <c r="BM68" s="3546"/>
      <c r="BO68" s="3546"/>
      <c r="BP68" s="3546"/>
      <c r="BQ68" s="3546"/>
      <c r="BR68" s="3546"/>
      <c r="BS68" s="3546"/>
      <c r="BT68" s="3546"/>
      <c r="BU68" s="3546"/>
      <c r="BV68" s="3546"/>
    </row>
    <row r="69" spans="1:74" ht="14.25" customHeight="1">
      <c r="A69" s="1706"/>
      <c r="B69" s="2117"/>
      <c r="C69" s="3566" t="s">
        <v>1933</v>
      </c>
      <c r="D69" s="2117" t="s">
        <v>2887</v>
      </c>
      <c r="E69" s="2117"/>
      <c r="F69" s="2117"/>
      <c r="G69" s="2117"/>
      <c r="H69" s="2117"/>
      <c r="I69" s="2117"/>
      <c r="J69" s="2117"/>
      <c r="K69" s="2117"/>
      <c r="L69" s="2117"/>
      <c r="M69" s="2117"/>
      <c r="N69" s="2117"/>
      <c r="O69" s="2117"/>
      <c r="P69" s="2117"/>
      <c r="Q69" s="2117"/>
      <c r="R69" s="2117"/>
      <c r="S69" s="2117"/>
      <c r="T69" s="2117"/>
      <c r="U69" s="2117"/>
      <c r="V69" s="2117"/>
      <c r="W69" s="2117"/>
      <c r="X69" s="2117"/>
      <c r="Y69" s="2117"/>
      <c r="Z69" s="2117"/>
      <c r="AA69" s="2117"/>
      <c r="AB69" s="2117"/>
      <c r="AC69" s="2117"/>
      <c r="AD69" s="2117"/>
      <c r="AE69" s="2117"/>
      <c r="AF69" s="2117"/>
      <c r="AG69" s="2117"/>
      <c r="AH69" s="2117"/>
      <c r="AI69" s="2117"/>
      <c r="AJ69" s="2117"/>
      <c r="AK69" s="1706"/>
      <c r="AO69" s="3546"/>
      <c r="AP69" s="3546"/>
      <c r="BL69" s="3546"/>
      <c r="BM69" s="3546"/>
      <c r="BO69" s="3546"/>
      <c r="BP69" s="3546"/>
      <c r="BQ69" s="3546"/>
      <c r="BR69" s="3546"/>
      <c r="BS69" s="3546"/>
      <c r="BT69" s="3546"/>
      <c r="BU69" s="3546"/>
      <c r="BV69" s="3546"/>
    </row>
    <row r="70" spans="1:74" ht="14.25" customHeight="1">
      <c r="A70" s="1706"/>
      <c r="B70" s="2117"/>
      <c r="C70" s="3566"/>
      <c r="D70" s="2117" t="s">
        <v>2374</v>
      </c>
      <c r="E70" s="2117"/>
      <c r="F70" s="2117"/>
      <c r="G70" s="6243"/>
      <c r="H70" s="6221"/>
      <c r="I70" s="6221"/>
      <c r="J70" s="6221"/>
      <c r="K70" s="6221"/>
      <c r="L70" s="6221"/>
      <c r="M70" s="6221"/>
      <c r="N70" s="6221"/>
      <c r="O70" s="6221"/>
      <c r="P70" s="6221"/>
      <c r="Q70" s="6221"/>
      <c r="R70" s="6221"/>
      <c r="S70" s="6221"/>
      <c r="T70" s="6221"/>
      <c r="U70" s="6221"/>
      <c r="V70" s="6221"/>
      <c r="W70" s="6221"/>
      <c r="X70" s="6221"/>
      <c r="Y70" s="6221"/>
      <c r="Z70" s="6221"/>
      <c r="AA70" s="6221"/>
      <c r="AB70" s="6221"/>
      <c r="AC70" s="6221"/>
      <c r="AD70" s="6221"/>
      <c r="AE70" s="6221"/>
      <c r="AF70" s="6221"/>
      <c r="AG70" s="6221"/>
      <c r="AH70" s="6221"/>
      <c r="AI70" s="6221"/>
      <c r="AJ70" s="6221"/>
      <c r="AK70" s="1706"/>
      <c r="AO70" s="3550"/>
      <c r="AP70" s="3550"/>
      <c r="AQ70" s="3551"/>
      <c r="AR70" s="3552"/>
      <c r="AS70" s="3545"/>
      <c r="AT70" s="3545"/>
      <c r="BL70" s="3546"/>
      <c r="BM70" s="3546"/>
      <c r="BO70" s="3546"/>
      <c r="BP70" s="3546"/>
      <c r="BQ70" s="3546"/>
      <c r="BR70" s="3546"/>
      <c r="BS70" s="3546"/>
      <c r="BT70" s="3546"/>
      <c r="BU70" s="3546"/>
      <c r="BV70" s="3546"/>
    </row>
    <row r="71" spans="1:74" ht="15">
      <c r="A71" s="1706"/>
      <c r="B71" s="2117"/>
      <c r="C71" s="2117"/>
      <c r="D71" s="6243"/>
      <c r="E71" s="6221"/>
      <c r="F71" s="6221"/>
      <c r="G71" s="6221"/>
      <c r="H71" s="6221"/>
      <c r="I71" s="6221"/>
      <c r="J71" s="6221"/>
      <c r="K71" s="6221"/>
      <c r="L71" s="6221"/>
      <c r="M71" s="6221"/>
      <c r="N71" s="6221"/>
      <c r="O71" s="6221"/>
      <c r="P71" s="6221"/>
      <c r="Q71" s="6221"/>
      <c r="R71" s="6221"/>
      <c r="S71" s="6221"/>
      <c r="T71" s="6221"/>
      <c r="U71" s="6221"/>
      <c r="V71" s="6221"/>
      <c r="W71" s="6221"/>
      <c r="X71" s="6221"/>
      <c r="Y71" s="6221"/>
      <c r="Z71" s="6221"/>
      <c r="AA71" s="6221"/>
      <c r="AB71" s="6221"/>
      <c r="AC71" s="6221"/>
      <c r="AD71" s="6221"/>
      <c r="AE71" s="6221"/>
      <c r="AF71" s="6221"/>
      <c r="AG71" s="6221"/>
      <c r="AH71" s="6221"/>
      <c r="AI71" s="6221"/>
      <c r="AJ71" s="6221"/>
      <c r="AK71" s="1706"/>
      <c r="AM71" s="3536"/>
      <c r="AN71" s="3536"/>
      <c r="AO71" s="3553"/>
      <c r="AP71" s="3554"/>
      <c r="AQ71" s="3546"/>
      <c r="AR71" s="3553"/>
      <c r="AS71" s="3555"/>
      <c r="BL71" s="3546"/>
      <c r="BM71" s="3546"/>
      <c r="BO71" s="3546"/>
      <c r="BP71" s="3546"/>
      <c r="BQ71" s="3546"/>
      <c r="BR71" s="3546"/>
      <c r="BS71" s="3546"/>
      <c r="BT71" s="3546"/>
      <c r="BU71" s="3546"/>
      <c r="BV71" s="3546"/>
    </row>
    <row r="72" spans="1:74" ht="18.75" customHeight="1">
      <c r="A72" s="1706"/>
      <c r="B72" s="102" t="s">
        <v>3157</v>
      </c>
      <c r="C72" s="3523"/>
      <c r="D72" s="3523"/>
      <c r="E72" s="3523"/>
      <c r="F72" s="3523"/>
      <c r="G72" s="3523"/>
      <c r="H72" s="3523"/>
      <c r="I72" s="3523"/>
      <c r="J72" s="3523"/>
      <c r="K72" s="3523"/>
      <c r="L72" s="3523"/>
      <c r="M72" s="3523"/>
      <c r="N72" s="3523"/>
      <c r="O72" s="3523"/>
      <c r="P72" s="3523"/>
      <c r="Q72" s="3522"/>
      <c r="R72" s="3522"/>
      <c r="S72" s="3522"/>
      <c r="T72" s="3522"/>
      <c r="U72" s="858"/>
      <c r="V72" s="3522"/>
      <c r="W72" s="858" t="s">
        <v>2888</v>
      </c>
      <c r="X72" s="3522"/>
      <c r="Y72" s="3522"/>
      <c r="Z72" s="3522"/>
      <c r="AA72" s="3522"/>
      <c r="AB72" s="3522"/>
      <c r="AC72" s="3522"/>
      <c r="AD72" s="3522"/>
      <c r="AE72" s="3522"/>
      <c r="AF72" s="3522"/>
      <c r="AG72" s="3522"/>
      <c r="AH72" s="1569" t="s">
        <v>2889</v>
      </c>
      <c r="AI72" s="3522"/>
      <c r="AJ72" s="1569" t="str">
        <f>"("&amp;TaxYear&amp;")"</f>
        <v>(2016)</v>
      </c>
      <c r="AK72" s="1706"/>
      <c r="AM72" s="3536"/>
      <c r="AN72" s="3536"/>
      <c r="AO72" s="3553"/>
      <c r="AP72" s="3554"/>
      <c r="AQ72" s="3546"/>
      <c r="AR72" s="3555"/>
      <c r="AS72" s="3553"/>
      <c r="BL72" s="3546"/>
      <c r="BM72" s="3546"/>
      <c r="BO72" s="3546"/>
      <c r="BP72" s="3546"/>
      <c r="BQ72" s="3546"/>
      <c r="BR72" s="3546"/>
      <c r="BS72" s="3546"/>
      <c r="BT72" s="3546"/>
      <c r="BU72" s="3546"/>
      <c r="BV72" s="3546"/>
    </row>
    <row r="73" spans="1:74" ht="18.75" thickBot="1">
      <c r="A73" s="1706"/>
      <c r="B73" s="2767" t="str">
        <f>"Form 2555 ("&amp;TaxYear&amp;")"</f>
        <v>Form 2555 (2016)</v>
      </c>
      <c r="C73" s="2767"/>
      <c r="D73" s="2767"/>
      <c r="E73" s="2767"/>
      <c r="F73" s="2767"/>
      <c r="G73" s="2767"/>
      <c r="H73" s="2767"/>
      <c r="I73" s="2767"/>
      <c r="J73" s="2767"/>
      <c r="K73" s="2767"/>
      <c r="L73" s="2767"/>
      <c r="M73" s="2767"/>
      <c r="N73" s="2767"/>
      <c r="O73" s="2767"/>
      <c r="P73" s="2767"/>
      <c r="Q73" s="2767"/>
      <c r="R73" s="2767"/>
      <c r="S73" s="2767"/>
      <c r="T73" s="2767"/>
      <c r="U73" s="2767"/>
      <c r="V73" s="2767"/>
      <c r="W73" s="2767"/>
      <c r="X73" s="2767"/>
      <c r="Y73" s="2767"/>
      <c r="Z73" s="2767"/>
      <c r="AA73" s="2767"/>
      <c r="AB73" s="2767"/>
      <c r="AC73" s="2767"/>
      <c r="AD73" s="2767"/>
      <c r="AE73" s="2767"/>
      <c r="AF73" s="2767"/>
      <c r="AG73" s="2767"/>
      <c r="AH73" s="2767"/>
      <c r="AI73" s="3573" t="s">
        <v>330</v>
      </c>
      <c r="AJ73" s="3574">
        <v>2</v>
      </c>
      <c r="AK73" s="1706"/>
      <c r="AO73" s="3553"/>
      <c r="AP73" s="3554"/>
      <c r="AQ73" s="3546"/>
      <c r="AS73" s="3555"/>
      <c r="BL73" s="3546"/>
      <c r="BM73" s="3546"/>
      <c r="BO73" s="3546"/>
      <c r="BP73" s="3546"/>
      <c r="BQ73" s="3546"/>
      <c r="BR73" s="3546"/>
      <c r="BS73" s="3546"/>
      <c r="BT73" s="3546"/>
      <c r="BU73" s="3546"/>
      <c r="BV73" s="3546"/>
    </row>
    <row r="74" spans="1:74" ht="5.25" customHeight="1" thickTop="1">
      <c r="A74" s="1706"/>
      <c r="B74" s="3525"/>
      <c r="C74" s="3525"/>
      <c r="D74" s="3525"/>
      <c r="E74" s="3525"/>
      <c r="F74" s="3525"/>
      <c r="G74" s="3525"/>
      <c r="H74" s="3525"/>
      <c r="I74" s="3525"/>
      <c r="J74" s="3525"/>
      <c r="K74" s="3525"/>
      <c r="L74" s="3525"/>
      <c r="M74" s="3525"/>
      <c r="N74" s="3525"/>
      <c r="O74" s="3525"/>
      <c r="P74" s="3525"/>
      <c r="Q74" s="3525"/>
      <c r="R74" s="3525"/>
      <c r="S74" s="3525"/>
      <c r="T74" s="3525"/>
      <c r="U74" s="3525"/>
      <c r="V74" s="3525"/>
      <c r="W74" s="3525"/>
      <c r="X74" s="3525"/>
      <c r="Y74" s="3525"/>
      <c r="Z74" s="3525"/>
      <c r="AA74" s="3525"/>
      <c r="AB74" s="3525"/>
      <c r="AC74" s="3525"/>
      <c r="AD74" s="3525"/>
      <c r="AE74" s="3525"/>
      <c r="AF74" s="3525"/>
      <c r="AG74" s="3525"/>
      <c r="AH74" s="3525"/>
      <c r="AI74" s="3525"/>
      <c r="AJ74" s="3525"/>
      <c r="AK74" s="1706"/>
    </row>
    <row r="75" spans="1:74" ht="15" customHeight="1">
      <c r="A75" s="1706"/>
      <c r="B75" s="6121" t="s">
        <v>514</v>
      </c>
      <c r="C75" s="5423"/>
      <c r="D75" s="3531" t="s">
        <v>2890</v>
      </c>
      <c r="E75" s="3529"/>
      <c r="F75" s="3529"/>
      <c r="G75" s="3529"/>
      <c r="H75" s="3529"/>
      <c r="I75" s="3529"/>
      <c r="J75" s="3529"/>
      <c r="K75" s="3529"/>
      <c r="L75" s="3529"/>
      <c r="M75" s="3529"/>
      <c r="N75" s="3529"/>
      <c r="O75" s="3529"/>
      <c r="P75" s="3529"/>
      <c r="Q75" s="3529"/>
      <c r="R75" s="3529"/>
      <c r="S75" s="3529"/>
      <c r="T75" s="3529"/>
      <c r="U75" s="3529"/>
      <c r="V75" s="3529"/>
      <c r="W75" s="3529"/>
      <c r="X75" s="3529"/>
      <c r="Y75" s="3529"/>
      <c r="Z75" s="3529"/>
      <c r="AA75" s="3529"/>
      <c r="AB75" s="3529"/>
      <c r="AC75" s="3529"/>
      <c r="AD75" s="3529"/>
      <c r="AE75" s="3529"/>
      <c r="AF75" s="3529"/>
      <c r="AG75" s="3529"/>
      <c r="AH75" s="3529"/>
      <c r="AI75" s="3529"/>
      <c r="AJ75" s="3529"/>
      <c r="AK75" s="1706"/>
    </row>
    <row r="76" spans="1:74" ht="6" customHeight="1">
      <c r="A76" s="1706"/>
      <c r="B76" s="3530"/>
      <c r="C76" s="3530"/>
      <c r="D76" s="3530"/>
      <c r="E76" s="3530"/>
      <c r="F76" s="3530"/>
      <c r="G76" s="3530"/>
      <c r="H76" s="3530"/>
      <c r="I76" s="3530"/>
      <c r="J76" s="3530"/>
      <c r="K76" s="3530"/>
      <c r="L76" s="3530"/>
      <c r="M76" s="3530"/>
      <c r="N76" s="3530"/>
      <c r="O76" s="3530"/>
      <c r="P76" s="3530"/>
      <c r="Q76" s="3530"/>
      <c r="R76" s="3530"/>
      <c r="S76" s="3530"/>
      <c r="T76" s="3530"/>
      <c r="U76" s="3530"/>
      <c r="V76" s="3530"/>
      <c r="W76" s="3530"/>
      <c r="X76" s="3530"/>
      <c r="Y76" s="3530"/>
      <c r="Z76" s="3530"/>
      <c r="AA76" s="3530"/>
      <c r="AB76" s="3530"/>
      <c r="AC76" s="3530"/>
      <c r="AD76" s="3530"/>
      <c r="AE76" s="3530"/>
      <c r="AF76" s="3530"/>
      <c r="AG76" s="3530"/>
      <c r="AH76" s="3530"/>
      <c r="AI76" s="3530"/>
      <c r="AJ76" s="3530"/>
      <c r="AK76" s="1706"/>
    </row>
    <row r="77" spans="1:74" ht="15">
      <c r="A77" s="1706"/>
      <c r="B77" s="2117"/>
      <c r="C77" s="3566" t="s">
        <v>2244</v>
      </c>
      <c r="D77" s="2117" t="s">
        <v>2891</v>
      </c>
      <c r="E77" s="2117"/>
      <c r="F77" s="2117"/>
      <c r="G77" s="2117"/>
      <c r="H77" s="2117"/>
      <c r="I77" s="2117"/>
      <c r="J77" s="2117"/>
      <c r="K77" s="2117"/>
      <c r="L77" s="2117"/>
      <c r="M77" s="2117"/>
      <c r="N77" s="2117"/>
      <c r="O77" s="2117"/>
      <c r="P77" s="2117"/>
      <c r="Q77" s="2117"/>
      <c r="R77" s="2117"/>
      <c r="S77" s="2117"/>
      <c r="T77" s="6145"/>
      <c r="U77" s="6146"/>
      <c r="V77" s="6146"/>
      <c r="W77" s="6146"/>
      <c r="X77" s="6147"/>
      <c r="Y77" s="6147"/>
      <c r="Z77" s="6147"/>
      <c r="AA77" s="2117"/>
      <c r="AB77" s="3822" t="s">
        <v>2892</v>
      </c>
      <c r="AC77" s="2117"/>
      <c r="AD77" s="6145"/>
      <c r="AE77" s="6146"/>
      <c r="AF77" s="6146"/>
      <c r="AG77" s="6146"/>
      <c r="AH77" s="6147"/>
      <c r="AI77" s="6147"/>
      <c r="AJ77" s="6147"/>
      <c r="AK77" s="1706"/>
      <c r="AO77" s="3553"/>
      <c r="AP77" s="3554"/>
      <c r="AQ77" s="3546"/>
      <c r="BL77" s="3546"/>
      <c r="BM77" s="3546"/>
      <c r="BO77" s="3546"/>
      <c r="BP77" s="3546"/>
      <c r="BQ77" s="3546"/>
      <c r="BR77" s="3546"/>
      <c r="BS77" s="3546"/>
      <c r="BT77" s="3546"/>
      <c r="BU77" s="3546"/>
      <c r="BV77" s="3546"/>
    </row>
    <row r="78" spans="1:74" ht="15" customHeight="1">
      <c r="A78" s="1706"/>
      <c r="B78" s="2117"/>
      <c r="C78" s="3566" t="s">
        <v>2246</v>
      </c>
      <c r="D78" s="2117" t="s">
        <v>2893</v>
      </c>
      <c r="E78" s="2117"/>
      <c r="F78" s="2117"/>
      <c r="G78" s="2117"/>
      <c r="H78" s="2117"/>
      <c r="I78" s="2117"/>
      <c r="J78" s="2117"/>
      <c r="K78" s="2117"/>
      <c r="L78" s="2117"/>
      <c r="M78" s="2117"/>
      <c r="N78" s="2117"/>
      <c r="O78" s="2117"/>
      <c r="P78" s="2117"/>
      <c r="Q78" s="2117"/>
      <c r="R78" s="2117"/>
      <c r="S78" s="6176"/>
      <c r="T78" s="6213"/>
      <c r="U78" s="6213"/>
      <c r="V78" s="6213"/>
      <c r="W78" s="6213"/>
      <c r="X78" s="6213"/>
      <c r="Y78" s="6213"/>
      <c r="Z78" s="6213"/>
      <c r="AA78" s="6213"/>
      <c r="AB78" s="6213"/>
      <c r="AC78" s="6213"/>
      <c r="AD78" s="6213"/>
      <c r="AE78" s="6213"/>
      <c r="AF78" s="6213"/>
      <c r="AG78" s="6213"/>
      <c r="AH78" s="6213"/>
      <c r="AI78" s="6213"/>
      <c r="AJ78" s="6213"/>
      <c r="AK78" s="1706"/>
      <c r="AM78" s="3536"/>
      <c r="AN78" s="3536"/>
      <c r="AO78" s="3553"/>
      <c r="AP78" s="3554"/>
      <c r="AQ78" s="3546"/>
      <c r="AR78" s="3556"/>
      <c r="AS78" s="3555"/>
      <c r="BL78" s="3546"/>
      <c r="BM78" s="3546"/>
      <c r="BO78" s="3546"/>
      <c r="BP78" s="3546"/>
      <c r="BQ78" s="3546"/>
      <c r="BR78" s="3546"/>
      <c r="BS78" s="3546"/>
      <c r="BT78" s="3546"/>
      <c r="BU78" s="3546"/>
      <c r="BV78" s="3546"/>
    </row>
    <row r="79" spans="1:74" ht="18" customHeight="1">
      <c r="A79" s="1706"/>
      <c r="B79" s="2117"/>
      <c r="C79" s="3566" t="s">
        <v>2248</v>
      </c>
      <c r="D79" s="2611" t="s">
        <v>3213</v>
      </c>
      <c r="E79" s="2117"/>
      <c r="F79" s="2117"/>
      <c r="G79" s="2117"/>
      <c r="H79" s="2117"/>
      <c r="I79" s="2117"/>
      <c r="J79" s="2117"/>
      <c r="K79" s="2117"/>
      <c r="L79" s="2117"/>
      <c r="M79" s="2117"/>
      <c r="N79" s="2117"/>
      <c r="O79" s="2117"/>
      <c r="P79" s="2117"/>
      <c r="Q79" s="2117"/>
      <c r="R79" s="2117"/>
      <c r="S79" s="2117"/>
      <c r="T79" s="2117"/>
      <c r="U79" s="2117"/>
      <c r="V79" s="2117"/>
      <c r="W79" s="2117"/>
      <c r="X79" s="2117"/>
      <c r="Y79" s="2117"/>
      <c r="Z79" s="2117"/>
      <c r="AA79" s="2117"/>
      <c r="AB79" s="2117"/>
      <c r="AC79" s="2117"/>
      <c r="AD79" s="2117"/>
      <c r="AE79" s="2117"/>
      <c r="AF79" s="2117"/>
      <c r="AG79" s="2117"/>
      <c r="AH79" s="2117"/>
      <c r="AI79" s="2117"/>
      <c r="AJ79" s="2117"/>
      <c r="AK79" s="1706"/>
      <c r="AO79" s="3553"/>
      <c r="AP79" s="3557"/>
      <c r="AQ79" s="3557"/>
      <c r="BL79" s="3546"/>
      <c r="BM79" s="3546"/>
      <c r="BO79" s="3546"/>
      <c r="BP79" s="3546"/>
      <c r="BQ79" s="3546"/>
      <c r="BR79" s="3546"/>
      <c r="BS79" s="3546"/>
      <c r="BT79" s="3546"/>
      <c r="BU79" s="3546"/>
      <c r="BV79" s="3546"/>
    </row>
    <row r="80" spans="1:74" ht="15.75" customHeight="1">
      <c r="A80" s="1706"/>
      <c r="B80" s="2117"/>
      <c r="C80" s="2117"/>
      <c r="D80" s="2611" t="s">
        <v>3200</v>
      </c>
      <c r="E80" s="2117"/>
      <c r="F80" s="2117"/>
      <c r="G80" s="2117"/>
      <c r="H80" s="2117"/>
      <c r="I80" s="2117"/>
      <c r="J80" s="2117"/>
      <c r="K80" s="2117"/>
      <c r="L80" s="2117"/>
      <c r="M80" s="2117"/>
      <c r="N80" s="2117"/>
      <c r="O80" s="2117"/>
      <c r="P80" s="2117"/>
      <c r="Q80" s="2117"/>
      <c r="R80" s="2117"/>
      <c r="S80" s="2117"/>
      <c r="T80" s="2117"/>
      <c r="U80" s="2117"/>
      <c r="V80" s="2117"/>
      <c r="W80" s="2117"/>
      <c r="X80" s="2117"/>
      <c r="Y80" s="2117"/>
      <c r="Z80" s="2117"/>
      <c r="AA80" s="2117"/>
      <c r="AB80" s="2117"/>
      <c r="AC80" s="2117"/>
      <c r="AD80" s="2117"/>
      <c r="AE80" s="2117"/>
      <c r="AF80" s="2117"/>
      <c r="AG80" s="2117"/>
      <c r="AH80" s="2117"/>
      <c r="AI80" s="2117"/>
      <c r="AJ80" s="2117"/>
      <c r="AK80" s="1706"/>
      <c r="AM80" s="3536"/>
      <c r="AN80" s="3536"/>
      <c r="AO80" s="3558"/>
      <c r="AP80" s="3559"/>
      <c r="AQ80" s="3559"/>
      <c r="AR80" s="3559"/>
      <c r="AS80" s="3559"/>
      <c r="AT80" s="3559"/>
      <c r="BL80" s="3546"/>
      <c r="BM80" s="3546"/>
      <c r="BO80" s="3546"/>
      <c r="BP80" s="3546"/>
      <c r="BQ80" s="3546"/>
      <c r="BR80" s="3546"/>
      <c r="BS80" s="3546"/>
      <c r="BT80" s="3546"/>
      <c r="BU80" s="3546"/>
      <c r="BV80" s="3546"/>
    </row>
    <row r="81" spans="1:74">
      <c r="A81" s="1706"/>
      <c r="B81" s="2117"/>
      <c r="C81" s="2117"/>
      <c r="D81" s="2611" t="s">
        <v>3201</v>
      </c>
      <c r="E81" s="2117"/>
      <c r="F81" s="2117"/>
      <c r="G81" s="2117"/>
      <c r="H81" s="2117"/>
      <c r="I81" s="2117"/>
      <c r="J81" s="2117"/>
      <c r="K81" s="2117"/>
      <c r="L81" s="2117"/>
      <c r="M81" s="2117"/>
      <c r="N81" s="2117"/>
      <c r="O81" s="2117"/>
      <c r="P81" s="2117"/>
      <c r="Q81" s="2117"/>
      <c r="R81" s="2117"/>
      <c r="S81" s="2117"/>
      <c r="T81" s="2117"/>
      <c r="U81" s="2117"/>
      <c r="V81" s="2117"/>
      <c r="W81" s="2117"/>
      <c r="X81" s="2117"/>
      <c r="Y81" s="2117"/>
      <c r="Z81" s="2117"/>
      <c r="AA81" s="2117"/>
      <c r="AB81" s="2117"/>
      <c r="AC81" s="2117"/>
      <c r="AD81" s="2117"/>
      <c r="AE81" s="2117"/>
      <c r="AF81" s="2117"/>
      <c r="AG81" s="2117"/>
      <c r="AH81" s="2117"/>
      <c r="AI81" s="2117"/>
      <c r="AJ81" s="2117"/>
      <c r="AK81" s="1706"/>
      <c r="AM81" s="3536"/>
      <c r="AN81" s="3536"/>
      <c r="AO81" s="3560"/>
      <c r="AP81" s="3561"/>
      <c r="AQ81" s="3561"/>
      <c r="AR81" s="3561"/>
      <c r="AS81" s="3561"/>
      <c r="AT81" s="3561"/>
      <c r="BL81" s="3546"/>
      <c r="BM81" s="3546"/>
      <c r="BO81" s="3546"/>
      <c r="BP81" s="3546"/>
      <c r="BQ81" s="3546"/>
      <c r="BR81" s="3546"/>
      <c r="BS81" s="3546"/>
      <c r="BT81" s="3546"/>
      <c r="BU81" s="3546"/>
      <c r="BV81" s="3546"/>
    </row>
    <row r="82" spans="1:74">
      <c r="A82" s="1706"/>
      <c r="B82" s="2117"/>
      <c r="C82" s="2117"/>
      <c r="D82" s="2611" t="s">
        <v>3202</v>
      </c>
      <c r="E82" s="2117"/>
      <c r="F82" s="2117"/>
      <c r="G82" s="2117"/>
      <c r="H82" s="2117"/>
      <c r="I82" s="2117"/>
      <c r="J82" s="2117"/>
      <c r="K82" s="2117"/>
      <c r="L82" s="2117"/>
      <c r="M82" s="2117"/>
      <c r="N82" s="2117"/>
      <c r="O82" s="2117"/>
      <c r="P82" s="2117"/>
      <c r="Q82" s="2117"/>
      <c r="R82" s="2117"/>
      <c r="S82" s="2117"/>
      <c r="T82" s="2117"/>
      <c r="U82" s="2117"/>
      <c r="V82" s="2117"/>
      <c r="W82" s="2117"/>
      <c r="X82" s="2117"/>
      <c r="Y82" s="2117"/>
      <c r="Z82" s="2117"/>
      <c r="AA82" s="2117"/>
      <c r="AB82" s="2117"/>
      <c r="AC82" s="2117"/>
      <c r="AD82" s="2117"/>
      <c r="AE82" s="2117"/>
      <c r="AF82" s="2117"/>
      <c r="AG82" s="2117"/>
      <c r="AH82" s="2117"/>
      <c r="AI82" s="2117"/>
      <c r="AJ82" s="2117"/>
      <c r="AK82" s="1706"/>
      <c r="AL82" s="3545"/>
      <c r="AM82" s="3545"/>
      <c r="AN82" s="3545"/>
      <c r="AO82" s="3553"/>
      <c r="AP82" s="3546"/>
      <c r="AQ82" s="3546"/>
      <c r="BL82" s="3546"/>
      <c r="BM82" s="3546"/>
      <c r="BO82" s="3546"/>
      <c r="BP82" s="3546"/>
      <c r="BQ82" s="3546"/>
      <c r="BR82" s="3546"/>
      <c r="BS82" s="3546"/>
      <c r="BT82" s="3546"/>
      <c r="BU82" s="3546"/>
      <c r="BV82" s="3546"/>
    </row>
    <row r="83" spans="1:74" ht="35.25" customHeight="1" thickBot="1">
      <c r="A83" s="1706"/>
      <c r="B83" s="6195" t="s">
        <v>2894</v>
      </c>
      <c r="C83" s="5441"/>
      <c r="D83" s="5441"/>
      <c r="E83" s="5441"/>
      <c r="F83" s="5441"/>
      <c r="G83" s="5441"/>
      <c r="H83" s="5441"/>
      <c r="I83" s="5441"/>
      <c r="J83" s="5441"/>
      <c r="K83" s="5441"/>
      <c r="L83" s="5441"/>
      <c r="M83" s="6208"/>
      <c r="N83" s="6207" t="s">
        <v>2895</v>
      </c>
      <c r="O83" s="5441"/>
      <c r="P83" s="5441"/>
      <c r="Q83" s="5441"/>
      <c r="R83" s="6208"/>
      <c r="S83" s="6207" t="s">
        <v>2896</v>
      </c>
      <c r="T83" s="5441"/>
      <c r="U83" s="5441"/>
      <c r="V83" s="5441"/>
      <c r="W83" s="6208"/>
      <c r="X83" s="6207" t="s">
        <v>2897</v>
      </c>
      <c r="Y83" s="5441"/>
      <c r="Z83" s="5441"/>
      <c r="AA83" s="6208"/>
      <c r="AB83" s="6207" t="s">
        <v>2898</v>
      </c>
      <c r="AC83" s="5441"/>
      <c r="AD83" s="5441"/>
      <c r="AE83" s="6208"/>
      <c r="AF83" s="6207" t="s">
        <v>2899</v>
      </c>
      <c r="AG83" s="5441"/>
      <c r="AH83" s="5441"/>
      <c r="AI83" s="5441"/>
      <c r="AJ83" s="5441"/>
      <c r="AK83" s="1706"/>
      <c r="AM83" s="3707" t="s">
        <v>150</v>
      </c>
      <c r="AO83" s="3545"/>
      <c r="AP83" s="3549"/>
      <c r="AQ83" s="3549"/>
      <c r="AR83" s="3549"/>
      <c r="BL83" s="3546"/>
      <c r="BM83" s="3546"/>
      <c r="BO83" s="3546"/>
      <c r="BP83" s="3546"/>
      <c r="BQ83" s="3546"/>
      <c r="BR83" s="3546"/>
      <c r="BS83" s="3546"/>
      <c r="BT83" s="3546"/>
      <c r="BU83" s="3546"/>
      <c r="BV83" s="3546"/>
    </row>
    <row r="84" spans="1:74" ht="14.25" customHeight="1" thickBot="1">
      <c r="A84" s="1706"/>
      <c r="B84" s="6140"/>
      <c r="C84" s="6141"/>
      <c r="D84" s="6141"/>
      <c r="E84" s="6141"/>
      <c r="F84" s="6141"/>
      <c r="G84" s="6141"/>
      <c r="H84" s="6141"/>
      <c r="I84" s="6141"/>
      <c r="J84" s="6141"/>
      <c r="K84" s="6141"/>
      <c r="L84" s="6141"/>
      <c r="M84" s="6142"/>
      <c r="N84" s="6143"/>
      <c r="O84" s="6144"/>
      <c r="P84" s="6144"/>
      <c r="Q84" s="6144"/>
      <c r="R84" s="5700"/>
      <c r="S84" s="6143"/>
      <c r="T84" s="6144"/>
      <c r="U84" s="6144"/>
      <c r="V84" s="6144"/>
      <c r="W84" s="5700"/>
      <c r="X84" s="6180" t="str">
        <f>IF(AM84&lt;&gt;"",ROUND(AM84,0),IF(OR(N84="",S84=""),"",S84-N84-2))</f>
        <v/>
      </c>
      <c r="Y84" s="6181"/>
      <c r="Z84" s="6181"/>
      <c r="AA84" s="6182"/>
      <c r="AB84" s="6204"/>
      <c r="AC84" s="6205"/>
      <c r="AD84" s="6205"/>
      <c r="AE84" s="6206"/>
      <c r="AF84" s="6183"/>
      <c r="AG84" s="6189"/>
      <c r="AH84" s="6189"/>
      <c r="AI84" s="6189"/>
      <c r="AJ84" s="6189"/>
      <c r="AK84" s="1706"/>
      <c r="AM84" s="3708"/>
      <c r="AO84" s="3545"/>
      <c r="AP84" s="3549"/>
      <c r="AQ84" s="3549"/>
      <c r="AR84" s="3549"/>
      <c r="BL84" s="3546"/>
      <c r="BM84" s="3546"/>
      <c r="BO84" s="3546"/>
      <c r="BP84" s="3546"/>
      <c r="BQ84" s="3546"/>
      <c r="BR84" s="3546"/>
      <c r="BS84" s="3546"/>
      <c r="BT84" s="3546"/>
      <c r="BU84" s="3546"/>
      <c r="BV84" s="3546"/>
    </row>
    <row r="85" spans="1:74" ht="14.25" customHeight="1" thickBot="1">
      <c r="A85" s="1706"/>
      <c r="B85" s="6140"/>
      <c r="C85" s="6141"/>
      <c r="D85" s="6141"/>
      <c r="E85" s="6141"/>
      <c r="F85" s="6141"/>
      <c r="G85" s="6141"/>
      <c r="H85" s="6141"/>
      <c r="I85" s="6141"/>
      <c r="J85" s="6141"/>
      <c r="K85" s="6141"/>
      <c r="L85" s="6141"/>
      <c r="M85" s="6142"/>
      <c r="N85" s="6143"/>
      <c r="O85" s="6144"/>
      <c r="P85" s="6144"/>
      <c r="Q85" s="6144"/>
      <c r="R85" s="5700"/>
      <c r="S85" s="6143"/>
      <c r="T85" s="6144"/>
      <c r="U85" s="6144"/>
      <c r="V85" s="6144"/>
      <c r="W85" s="5700"/>
      <c r="X85" s="6180" t="str">
        <f t="shared" ref="X85:X87" si="2">IF(AM85&lt;&gt;"",ROUND(AM85,0),IF(OR(N85="",S85=""),"",S85-N85-2))</f>
        <v/>
      </c>
      <c r="Y85" s="6181"/>
      <c r="Z85" s="6181"/>
      <c r="AA85" s="6182"/>
      <c r="AB85" s="6204"/>
      <c r="AC85" s="6205"/>
      <c r="AD85" s="6205"/>
      <c r="AE85" s="6206"/>
      <c r="AF85" s="6183"/>
      <c r="AG85" s="6189"/>
      <c r="AH85" s="6189"/>
      <c r="AI85" s="6189"/>
      <c r="AJ85" s="6189"/>
      <c r="AK85" s="1706"/>
      <c r="AM85" s="3708"/>
      <c r="AO85" s="3545"/>
      <c r="AP85" s="3549"/>
      <c r="AQ85" s="3549"/>
      <c r="AR85" s="3549"/>
      <c r="BL85" s="3546"/>
      <c r="BM85" s="3546"/>
      <c r="BO85" s="3546"/>
      <c r="BP85" s="3546"/>
      <c r="BQ85" s="3546"/>
      <c r="BR85" s="3546"/>
      <c r="BS85" s="3546"/>
      <c r="BT85" s="3546"/>
      <c r="BU85" s="3546"/>
      <c r="BV85" s="3546"/>
    </row>
    <row r="86" spans="1:74" ht="14.25" customHeight="1" thickBot="1">
      <c r="A86" s="1706"/>
      <c r="B86" s="6140"/>
      <c r="C86" s="6141"/>
      <c r="D86" s="6141"/>
      <c r="E86" s="6141"/>
      <c r="F86" s="6141"/>
      <c r="G86" s="6141"/>
      <c r="H86" s="6141"/>
      <c r="I86" s="6141"/>
      <c r="J86" s="6141"/>
      <c r="K86" s="6141"/>
      <c r="L86" s="6141"/>
      <c r="M86" s="6142"/>
      <c r="N86" s="6143"/>
      <c r="O86" s="6144"/>
      <c r="P86" s="6144"/>
      <c r="Q86" s="6144"/>
      <c r="R86" s="5700"/>
      <c r="S86" s="6143"/>
      <c r="T86" s="6144"/>
      <c r="U86" s="6144"/>
      <c r="V86" s="6144"/>
      <c r="W86" s="5700"/>
      <c r="X86" s="6180" t="str">
        <f t="shared" si="2"/>
        <v/>
      </c>
      <c r="Y86" s="6181"/>
      <c r="Z86" s="6181"/>
      <c r="AA86" s="6182"/>
      <c r="AB86" s="6204"/>
      <c r="AC86" s="6205"/>
      <c r="AD86" s="6205"/>
      <c r="AE86" s="6206"/>
      <c r="AF86" s="6183"/>
      <c r="AG86" s="6189"/>
      <c r="AH86" s="6189"/>
      <c r="AI86" s="6189"/>
      <c r="AJ86" s="6189"/>
      <c r="AK86" s="1706"/>
      <c r="AM86" s="3708"/>
      <c r="AO86" s="3545"/>
      <c r="AP86" s="3549"/>
      <c r="AQ86" s="3549"/>
      <c r="AR86" s="3549"/>
      <c r="BL86" s="3546"/>
      <c r="BM86" s="3546"/>
      <c r="BO86" s="3546"/>
      <c r="BP86" s="3546"/>
      <c r="BQ86" s="3546"/>
      <c r="BR86" s="3546"/>
      <c r="BS86" s="3546"/>
      <c r="BT86" s="3546"/>
      <c r="BU86" s="3546"/>
      <c r="BV86" s="3546"/>
    </row>
    <row r="87" spans="1:74" ht="14.25" customHeight="1" thickBot="1">
      <c r="A87" s="1706"/>
      <c r="B87" s="6140"/>
      <c r="C87" s="6141"/>
      <c r="D87" s="6141"/>
      <c r="E87" s="6141"/>
      <c r="F87" s="6141"/>
      <c r="G87" s="6141"/>
      <c r="H87" s="6141"/>
      <c r="I87" s="6141"/>
      <c r="J87" s="6141"/>
      <c r="K87" s="6141"/>
      <c r="L87" s="6141"/>
      <c r="M87" s="6142"/>
      <c r="N87" s="6143"/>
      <c r="O87" s="6144"/>
      <c r="P87" s="6144"/>
      <c r="Q87" s="6144"/>
      <c r="R87" s="5700"/>
      <c r="S87" s="6143"/>
      <c r="T87" s="6144"/>
      <c r="U87" s="6144"/>
      <c r="V87" s="6144"/>
      <c r="W87" s="5700"/>
      <c r="X87" s="6180" t="str">
        <f t="shared" si="2"/>
        <v/>
      </c>
      <c r="Y87" s="6181"/>
      <c r="Z87" s="6181"/>
      <c r="AA87" s="6182"/>
      <c r="AB87" s="6204"/>
      <c r="AC87" s="6205"/>
      <c r="AD87" s="6205"/>
      <c r="AE87" s="6206"/>
      <c r="AF87" s="6183"/>
      <c r="AG87" s="6189"/>
      <c r="AH87" s="6189"/>
      <c r="AI87" s="6189"/>
      <c r="AJ87" s="6189"/>
      <c r="AK87" s="1706"/>
      <c r="AM87" s="3708"/>
      <c r="AO87" s="3545"/>
      <c r="AP87" s="3549"/>
      <c r="AQ87" s="3549"/>
      <c r="AR87" s="3549"/>
      <c r="BL87" s="3546"/>
      <c r="BM87" s="3546"/>
      <c r="BO87" s="3546"/>
      <c r="BP87" s="3546"/>
      <c r="BQ87" s="3546"/>
      <c r="BR87" s="3546"/>
      <c r="BS87" s="3546"/>
      <c r="BT87" s="3546"/>
      <c r="BU87" s="3546"/>
      <c r="BV87" s="3546"/>
    </row>
    <row r="88" spans="1:74" ht="5.25" customHeight="1">
      <c r="A88" s="1706"/>
      <c r="B88" s="3525"/>
      <c r="C88" s="3525"/>
      <c r="D88" s="3525"/>
      <c r="E88" s="3525"/>
      <c r="F88" s="3525"/>
      <c r="G88" s="3525"/>
      <c r="H88" s="3525"/>
      <c r="I88" s="3525"/>
      <c r="J88" s="3525"/>
      <c r="K88" s="3525"/>
      <c r="L88" s="3525"/>
      <c r="M88" s="3525"/>
      <c r="N88" s="3525"/>
      <c r="O88" s="3525"/>
      <c r="P88" s="3525"/>
      <c r="Q88" s="3525"/>
      <c r="R88" s="3525"/>
      <c r="S88" s="3525"/>
      <c r="T88" s="3525"/>
      <c r="U88" s="3525"/>
      <c r="V88" s="3525"/>
      <c r="W88" s="3525"/>
      <c r="X88" s="3525"/>
      <c r="Y88" s="3525"/>
      <c r="Z88" s="3525"/>
      <c r="AA88" s="3525"/>
      <c r="AB88" s="3525"/>
      <c r="AC88" s="3525"/>
      <c r="AD88" s="3525"/>
      <c r="AE88" s="3525"/>
      <c r="AF88" s="3525"/>
      <c r="AG88" s="3525"/>
      <c r="AH88" s="3525"/>
      <c r="AI88" s="3525"/>
      <c r="AJ88" s="3525"/>
      <c r="AK88" s="1706"/>
    </row>
    <row r="89" spans="1:74" ht="15" customHeight="1">
      <c r="A89" s="1706"/>
      <c r="B89" s="6121" t="s">
        <v>756</v>
      </c>
      <c r="C89" s="5423"/>
      <c r="D89" s="3531" t="s">
        <v>2900</v>
      </c>
      <c r="E89" s="3529"/>
      <c r="F89" s="3529"/>
      <c r="G89" s="3529"/>
      <c r="H89" s="3529"/>
      <c r="I89" s="3529"/>
      <c r="J89" s="3529"/>
      <c r="K89" s="3529"/>
      <c r="L89" s="3529"/>
      <c r="M89" s="3529"/>
      <c r="N89" s="3529"/>
      <c r="O89" s="3529"/>
      <c r="P89" s="3529"/>
      <c r="Q89" s="3529"/>
      <c r="R89" s="3529"/>
      <c r="S89" s="3529"/>
      <c r="T89" s="3529"/>
      <c r="U89" s="3529"/>
      <c r="V89" s="3529"/>
      <c r="W89" s="3529"/>
      <c r="X89" s="3529"/>
      <c r="Y89" s="3529"/>
      <c r="Z89" s="3529"/>
      <c r="AA89" s="3529"/>
      <c r="AB89" s="3529"/>
      <c r="AC89" s="3529"/>
      <c r="AD89" s="3529"/>
      <c r="AE89" s="3529"/>
      <c r="AF89" s="3529"/>
      <c r="AG89" s="3529"/>
      <c r="AH89" s="3529"/>
      <c r="AI89" s="3529"/>
      <c r="AJ89" s="3529"/>
      <c r="AK89" s="1706"/>
    </row>
    <row r="90" spans="1:74" ht="6" customHeight="1">
      <c r="A90" s="1706"/>
      <c r="B90" s="3530"/>
      <c r="C90" s="3530"/>
      <c r="D90" s="3530"/>
      <c r="E90" s="3530"/>
      <c r="F90" s="3530"/>
      <c r="G90" s="3530"/>
      <c r="H90" s="3530"/>
      <c r="I90" s="3530"/>
      <c r="J90" s="3530"/>
      <c r="K90" s="3530"/>
      <c r="L90" s="3530"/>
      <c r="M90" s="3530"/>
      <c r="N90" s="3530"/>
      <c r="O90" s="3530"/>
      <c r="P90" s="3530"/>
      <c r="Q90" s="3530"/>
      <c r="R90" s="3530"/>
      <c r="S90" s="3530"/>
      <c r="T90" s="3530"/>
      <c r="U90" s="3530"/>
      <c r="V90" s="3530"/>
      <c r="W90" s="3530"/>
      <c r="X90" s="3530"/>
      <c r="Y90" s="3530"/>
      <c r="Z90" s="3530"/>
      <c r="AA90" s="3530"/>
      <c r="AB90" s="3530"/>
      <c r="AC90" s="3530"/>
      <c r="AD90" s="3530"/>
      <c r="AE90" s="3530"/>
      <c r="AF90" s="3530"/>
      <c r="AG90" s="3530"/>
      <c r="AH90" s="3530"/>
      <c r="AI90" s="3530"/>
      <c r="AJ90" s="3530"/>
      <c r="AK90" s="1706"/>
    </row>
    <row r="91" spans="1:74" ht="16.5" customHeight="1">
      <c r="A91" s="1706"/>
      <c r="B91" s="3575" t="s">
        <v>3212</v>
      </c>
      <c r="C91" s="2117"/>
      <c r="D91" s="2117"/>
      <c r="E91" s="2117"/>
      <c r="F91" s="2117"/>
      <c r="G91" s="2117"/>
      <c r="H91" s="2117"/>
      <c r="I91" s="2117"/>
      <c r="J91" s="2117"/>
      <c r="K91" s="2117"/>
      <c r="L91" s="2117"/>
      <c r="M91" s="2117"/>
      <c r="N91" s="2117"/>
      <c r="O91" s="2117"/>
      <c r="P91" s="2117"/>
      <c r="Q91" s="2117"/>
      <c r="R91" s="2117"/>
      <c r="S91" s="2117"/>
      <c r="T91" s="2117"/>
      <c r="U91" s="2117"/>
      <c r="V91" s="2117"/>
      <c r="W91" s="2117"/>
      <c r="X91" s="2117"/>
      <c r="Y91" s="2117"/>
      <c r="Z91" s="2117"/>
      <c r="AA91" s="2117"/>
      <c r="AB91" s="2117"/>
      <c r="AC91" s="2117"/>
      <c r="AD91" s="2117"/>
      <c r="AE91" s="2117"/>
      <c r="AF91" s="2117"/>
      <c r="AG91" s="2117"/>
      <c r="AH91" s="2117"/>
      <c r="AI91" s="2117"/>
      <c r="AJ91" s="2117"/>
      <c r="AK91" s="1706"/>
      <c r="AO91" s="3562"/>
      <c r="AP91" s="3564"/>
      <c r="AQ91" s="3563"/>
      <c r="AR91" s="3563"/>
      <c r="BL91" s="3546"/>
      <c r="BM91" s="3546"/>
      <c r="BO91" s="3546"/>
      <c r="BP91" s="3546"/>
      <c r="BQ91" s="3546"/>
      <c r="BR91" s="3546"/>
      <c r="BS91" s="3546"/>
      <c r="BT91" s="3546"/>
      <c r="BU91" s="3546"/>
      <c r="BV91" s="3546"/>
    </row>
    <row r="92" spans="1:74">
      <c r="A92" s="1706"/>
      <c r="B92" s="3576" t="str">
        <f>"your "&amp;TaxYear&amp;" tax year for services you performed in a foreign country. If any of the foreign earned income received this tax year was"</f>
        <v>your 2016 tax year for services you performed in a foreign country. If any of the foreign earned income received this tax year was</v>
      </c>
      <c r="C92" s="2117"/>
      <c r="D92" s="2117"/>
      <c r="E92" s="2117"/>
      <c r="F92" s="2117"/>
      <c r="G92" s="2117"/>
      <c r="H92" s="2117"/>
      <c r="I92" s="2117"/>
      <c r="J92" s="2117"/>
      <c r="K92" s="2117"/>
      <c r="L92" s="2117"/>
      <c r="M92" s="2117"/>
      <c r="N92" s="2117"/>
      <c r="O92" s="2117"/>
      <c r="P92" s="2117"/>
      <c r="Q92" s="2117"/>
      <c r="R92" s="2117"/>
      <c r="S92" s="2117"/>
      <c r="T92" s="2117"/>
      <c r="U92" s="2117"/>
      <c r="V92" s="2117"/>
      <c r="W92" s="2117"/>
      <c r="X92" s="2117"/>
      <c r="Y92" s="2117"/>
      <c r="Z92" s="2117"/>
      <c r="AA92" s="2117"/>
      <c r="AB92" s="2117"/>
      <c r="AC92" s="2117"/>
      <c r="AD92" s="2117"/>
      <c r="AE92" s="2117"/>
      <c r="AF92" s="2117"/>
      <c r="AG92" s="2117"/>
      <c r="AH92" s="2117"/>
      <c r="AI92" s="2117"/>
      <c r="AJ92" s="2117"/>
      <c r="AK92" s="1706"/>
      <c r="AO92" s="3546"/>
      <c r="AP92" s="3563"/>
      <c r="AQ92" s="3563"/>
      <c r="AR92" s="3563"/>
      <c r="BL92" s="3546"/>
      <c r="BM92" s="3546"/>
      <c r="BO92" s="3546"/>
      <c r="BP92" s="3546"/>
      <c r="BQ92" s="3546"/>
      <c r="BR92" s="3546"/>
      <c r="BS92" s="3546"/>
      <c r="BT92" s="3546"/>
      <c r="BU92" s="3546"/>
      <c r="BV92" s="3546"/>
    </row>
    <row r="93" spans="1:74">
      <c r="A93" s="1706"/>
      <c r="B93" s="3575" t="s">
        <v>3203</v>
      </c>
      <c r="C93" s="2117"/>
      <c r="D93" s="2117"/>
      <c r="E93" s="2117"/>
      <c r="F93" s="2117"/>
      <c r="G93" s="2117"/>
      <c r="H93" s="2117"/>
      <c r="I93" s="2117"/>
      <c r="J93" s="2117"/>
      <c r="K93" s="2117"/>
      <c r="L93" s="2117"/>
      <c r="M93" s="2117"/>
      <c r="N93" s="2117"/>
      <c r="O93" s="2117"/>
      <c r="P93" s="2117"/>
      <c r="Q93" s="2117"/>
      <c r="R93" s="2117"/>
      <c r="S93" s="2117"/>
      <c r="T93" s="2117"/>
      <c r="U93" s="2117"/>
      <c r="V93" s="2117"/>
      <c r="W93" s="2117"/>
      <c r="X93" s="2117"/>
      <c r="Y93" s="2117"/>
      <c r="Z93" s="2117"/>
      <c r="AA93" s="2117"/>
      <c r="AB93" s="2117"/>
      <c r="AC93" s="2117"/>
      <c r="AD93" s="2117"/>
      <c r="AE93" s="2117"/>
      <c r="AF93" s="2117"/>
      <c r="AG93" s="2117"/>
      <c r="AH93" s="2117"/>
      <c r="AI93" s="2117"/>
      <c r="AJ93" s="2117"/>
      <c r="AK93" s="1706"/>
      <c r="AO93" s="3546"/>
      <c r="AP93" s="3546"/>
      <c r="BL93" s="3546"/>
      <c r="BM93" s="3546"/>
      <c r="BO93" s="3546"/>
      <c r="BP93" s="3546"/>
      <c r="BQ93" s="3546"/>
      <c r="BR93" s="3546"/>
      <c r="BS93" s="3546"/>
      <c r="BT93" s="3546"/>
      <c r="BU93" s="3546"/>
      <c r="BV93" s="3546"/>
    </row>
    <row r="94" spans="1:74" ht="12.75" customHeight="1">
      <c r="A94" s="1706"/>
      <c r="B94" s="3575" t="s">
        <v>3204</v>
      </c>
      <c r="C94" s="2117"/>
      <c r="D94" s="2117"/>
      <c r="E94" s="2117"/>
      <c r="F94" s="2117"/>
      <c r="G94" s="2117"/>
      <c r="H94" s="2117"/>
      <c r="I94" s="2117"/>
      <c r="J94" s="2117"/>
      <c r="K94" s="2117"/>
      <c r="L94" s="2117"/>
      <c r="M94" s="2117"/>
      <c r="N94" s="2117"/>
      <c r="O94" s="2117"/>
      <c r="P94" s="2117"/>
      <c r="Q94" s="2117"/>
      <c r="R94" s="2117"/>
      <c r="S94" s="2117"/>
      <c r="T94" s="2117"/>
      <c r="U94" s="2117"/>
      <c r="V94" s="2117"/>
      <c r="W94" s="2117"/>
      <c r="X94" s="2117"/>
      <c r="Y94" s="2117"/>
      <c r="Z94" s="2117"/>
      <c r="AA94" s="2117"/>
      <c r="AB94" s="2117"/>
      <c r="AC94" s="2117"/>
      <c r="AD94" s="2117"/>
      <c r="AE94" s="2117"/>
      <c r="AF94" s="2117"/>
      <c r="AG94" s="2117"/>
      <c r="AH94" s="2117"/>
      <c r="AI94" s="2117"/>
      <c r="AJ94" s="2117"/>
      <c r="AK94" s="1706"/>
      <c r="AO94" s="3546"/>
      <c r="AP94" s="3546"/>
      <c r="BL94" s="3546"/>
      <c r="BM94" s="3546"/>
      <c r="BO94" s="3546"/>
      <c r="BP94" s="3546"/>
      <c r="BQ94" s="3546"/>
      <c r="BR94" s="3546"/>
      <c r="BS94" s="3546"/>
      <c r="BT94" s="3546"/>
      <c r="BU94" s="3546"/>
      <c r="BV94" s="3546"/>
    </row>
    <row r="95" spans="1:74">
      <c r="A95" s="1706"/>
      <c r="B95" s="3576" t="s">
        <v>2901</v>
      </c>
      <c r="C95" s="2117"/>
      <c r="D95" s="2117"/>
      <c r="E95" s="2117"/>
      <c r="F95" s="2117"/>
      <c r="G95" s="2117"/>
      <c r="H95" s="2117"/>
      <c r="I95" s="2117"/>
      <c r="J95" s="2117"/>
      <c r="K95" s="2117"/>
      <c r="L95" s="2117"/>
      <c r="M95" s="2117"/>
      <c r="N95" s="2117"/>
      <c r="O95" s="2117"/>
      <c r="P95" s="2117"/>
      <c r="Q95" s="2117"/>
      <c r="R95" s="2117"/>
      <c r="S95" s="2117"/>
      <c r="T95" s="2117"/>
      <c r="U95" s="2117"/>
      <c r="V95" s="2117"/>
      <c r="W95" s="2117"/>
      <c r="X95" s="2117"/>
      <c r="Y95" s="2117"/>
      <c r="Z95" s="2117"/>
      <c r="AA95" s="2117"/>
      <c r="AB95" s="2117"/>
      <c r="AC95" s="2117"/>
      <c r="AD95" s="2117"/>
      <c r="AE95" s="2117"/>
      <c r="AF95" s="2117"/>
      <c r="AG95" s="2117"/>
      <c r="AH95" s="2117"/>
      <c r="AI95" s="2117"/>
      <c r="AJ95" s="2117"/>
      <c r="AK95" s="1706"/>
      <c r="AO95" s="3546"/>
      <c r="AP95" s="3546"/>
      <c r="BL95" s="3546"/>
      <c r="BM95" s="3546"/>
      <c r="BO95" s="3546"/>
      <c r="BP95" s="3546"/>
      <c r="BQ95" s="3546"/>
      <c r="BR95" s="3546"/>
      <c r="BS95" s="3546"/>
      <c r="BT95" s="3546"/>
      <c r="BU95" s="3546"/>
      <c r="BV95" s="3546"/>
    </row>
    <row r="96" spans="1:74" ht="18" customHeight="1">
      <c r="A96" s="1706"/>
      <c r="B96" s="2117"/>
      <c r="C96" s="2609"/>
      <c r="D96" s="2609" t="str">
        <f>"If you are a cash basis taxpayer, report on Form 1040 all income you received in "&amp;TaxYear&amp;", no matter when you performed"</f>
        <v>If you are a cash basis taxpayer, report on Form 1040 all income you received in 2016, no matter when you performed</v>
      </c>
      <c r="E96" s="2609"/>
      <c r="F96" s="2117"/>
      <c r="G96" s="2117"/>
      <c r="H96" s="2117"/>
      <c r="I96" s="2117"/>
      <c r="J96" s="2117"/>
      <c r="K96" s="2117"/>
      <c r="L96" s="2117"/>
      <c r="M96" s="2117"/>
      <c r="N96" s="2117"/>
      <c r="O96" s="2117"/>
      <c r="P96" s="2117"/>
      <c r="Q96" s="2117"/>
      <c r="R96" s="2117"/>
      <c r="S96" s="2117"/>
      <c r="T96" s="2117"/>
      <c r="U96" s="2117"/>
      <c r="V96" s="2117"/>
      <c r="W96" s="2117"/>
      <c r="X96" s="2117"/>
      <c r="Y96" s="2117"/>
      <c r="Z96" s="2117"/>
      <c r="AA96" s="2117"/>
      <c r="AB96" s="2117"/>
      <c r="AC96" s="2117"/>
      <c r="AD96" s="2117"/>
      <c r="AE96" s="2117"/>
      <c r="AF96" s="2117"/>
      <c r="AG96" s="2117"/>
      <c r="AH96" s="2117"/>
      <c r="AI96" s="2117"/>
      <c r="AJ96" s="2117"/>
      <c r="AK96" s="1706"/>
      <c r="AO96" s="3546"/>
      <c r="AP96" s="3546"/>
      <c r="BL96" s="3546"/>
      <c r="BM96" s="3546"/>
      <c r="BO96" s="3546"/>
      <c r="BP96" s="3546"/>
      <c r="BQ96" s="3546"/>
      <c r="BR96" s="3546"/>
      <c r="BS96" s="3546"/>
      <c r="BT96" s="3546"/>
      <c r="BU96" s="3546"/>
      <c r="BV96" s="3546"/>
    </row>
    <row r="97" spans="1:75" s="1389" customFormat="1" ht="18" customHeight="1">
      <c r="A97" s="3577"/>
      <c r="B97" s="3578"/>
      <c r="C97" s="3581"/>
      <c r="D97" s="3581" t="s">
        <v>2902</v>
      </c>
      <c r="E97" s="3581"/>
      <c r="F97" s="3578"/>
      <c r="G97" s="3578"/>
      <c r="H97" s="3578"/>
      <c r="I97" s="3578"/>
      <c r="J97" s="3578"/>
      <c r="K97" s="3578"/>
      <c r="L97" s="3578"/>
      <c r="M97" s="3578"/>
      <c r="N97" s="3578"/>
      <c r="O97" s="3578"/>
      <c r="P97" s="3578"/>
      <c r="Q97" s="3578"/>
      <c r="R97" s="3578"/>
      <c r="S97" s="3578"/>
      <c r="T97" s="3578"/>
      <c r="U97" s="3578"/>
      <c r="V97" s="3578"/>
      <c r="W97" s="3578"/>
      <c r="X97" s="3578"/>
      <c r="Y97" s="3578"/>
      <c r="Z97" s="3578"/>
      <c r="AA97" s="3578"/>
      <c r="AB97" s="3578"/>
      <c r="AC97" s="3578"/>
      <c r="AD97" s="3578"/>
      <c r="AE97" s="3578"/>
      <c r="AF97" s="3578"/>
      <c r="AG97" s="3578"/>
      <c r="AH97" s="3578"/>
      <c r="AI97" s="3578"/>
      <c r="AJ97" s="3578"/>
      <c r="AK97" s="3577"/>
      <c r="AL97" s="3579"/>
      <c r="AM97" s="3579"/>
      <c r="AN97" s="3579"/>
      <c r="AO97" s="3580"/>
      <c r="AP97" s="3580"/>
      <c r="AQ97" s="3579"/>
      <c r="AR97" s="3579"/>
      <c r="AS97" s="3579"/>
      <c r="AT97" s="3579"/>
      <c r="AU97" s="3579"/>
      <c r="AV97" s="3579"/>
      <c r="AW97" s="3579"/>
      <c r="AX97" s="3579"/>
      <c r="AY97" s="3579"/>
      <c r="AZ97" s="3579"/>
      <c r="BA97" s="3579"/>
      <c r="BB97" s="3579"/>
      <c r="BC97" s="3579"/>
      <c r="BD97" s="3579"/>
      <c r="BE97" s="3579"/>
      <c r="BF97" s="3579"/>
      <c r="BG97" s="3579"/>
      <c r="BH97" s="3579"/>
      <c r="BI97" s="3579"/>
      <c r="BJ97" s="3579"/>
      <c r="BK97" s="3579"/>
      <c r="BL97" s="3580"/>
      <c r="BM97" s="3580"/>
      <c r="BN97" s="3579"/>
      <c r="BO97" s="3580"/>
      <c r="BP97" s="3580"/>
      <c r="BQ97" s="3580"/>
      <c r="BR97" s="3580"/>
      <c r="BS97" s="3580"/>
      <c r="BT97" s="3580"/>
      <c r="BU97" s="3580"/>
      <c r="BV97" s="3580"/>
      <c r="BW97" s="3579"/>
    </row>
    <row r="98" spans="1:75" ht="28.5" customHeight="1">
      <c r="A98" s="1706"/>
      <c r="B98" s="6209" t="str">
        <f>TaxYear&amp;" Foreign Earned Income"</f>
        <v>2016 Foreign Earned Income</v>
      </c>
      <c r="C98" s="6210"/>
      <c r="D98" s="6210"/>
      <c r="E98" s="6210"/>
      <c r="F98" s="6210"/>
      <c r="G98" s="6210"/>
      <c r="H98" s="6210"/>
      <c r="I98" s="6210"/>
      <c r="J98" s="6210"/>
      <c r="K98" s="6210"/>
      <c r="L98" s="6210"/>
      <c r="M98" s="6210"/>
      <c r="N98" s="6210"/>
      <c r="O98" s="6210"/>
      <c r="P98" s="6210"/>
      <c r="Q98" s="6210"/>
      <c r="R98" s="6210"/>
      <c r="S98" s="6210"/>
      <c r="T98" s="6210"/>
      <c r="U98" s="6210"/>
      <c r="V98" s="6210"/>
      <c r="W98" s="6210"/>
      <c r="X98" s="6210"/>
      <c r="Y98" s="6210"/>
      <c r="Z98" s="6210"/>
      <c r="AA98" s="5441"/>
      <c r="AB98" s="6208"/>
      <c r="AC98" s="6211" t="s">
        <v>2903</v>
      </c>
      <c r="AD98" s="5441"/>
      <c r="AE98" s="5441"/>
      <c r="AF98" s="5441"/>
      <c r="AG98" s="5441"/>
      <c r="AH98" s="5441"/>
      <c r="AI98" s="5441"/>
      <c r="AJ98" s="5441"/>
      <c r="AK98" s="1706"/>
      <c r="AO98" s="3546"/>
      <c r="AP98" s="3546"/>
      <c r="BL98" s="3546"/>
      <c r="BM98" s="3546"/>
      <c r="BO98" s="3546"/>
      <c r="BP98" s="3546"/>
      <c r="BQ98" s="3546"/>
      <c r="BR98" s="3546"/>
      <c r="BS98" s="3546"/>
      <c r="BT98" s="3546"/>
      <c r="BU98" s="3546"/>
      <c r="BV98" s="3546"/>
    </row>
    <row r="99" spans="1:75" ht="13.5" customHeight="1">
      <c r="A99" s="1706"/>
      <c r="B99" s="2117"/>
      <c r="C99" s="3566" t="s">
        <v>2909</v>
      </c>
      <c r="D99" s="2117" t="s">
        <v>2904</v>
      </c>
      <c r="E99" s="2117"/>
      <c r="F99" s="2117"/>
      <c r="G99" s="2117"/>
      <c r="H99" s="2117"/>
      <c r="I99" s="2117"/>
      <c r="J99" s="2117"/>
      <c r="K99" s="2117"/>
      <c r="L99" s="2117"/>
      <c r="M99" s="2117"/>
      <c r="N99" s="2117"/>
      <c r="O99" s="2117"/>
      <c r="P99" s="2117"/>
      <c r="Q99" s="2117"/>
      <c r="R99" s="2117"/>
      <c r="S99" s="2117"/>
      <c r="T99" s="2117"/>
      <c r="U99" s="2117"/>
      <c r="V99" s="2117"/>
      <c r="W99" s="2117"/>
      <c r="X99" s="2117"/>
      <c r="Y99" s="2117"/>
      <c r="Z99" s="2117"/>
      <c r="AA99" s="2117"/>
      <c r="AB99" s="2476" t="s">
        <v>1875</v>
      </c>
      <c r="AC99" s="6137" t="s">
        <v>2250</v>
      </c>
      <c r="AD99" s="6212"/>
      <c r="AE99" s="6214"/>
      <c r="AF99" s="6214"/>
      <c r="AG99" s="6214"/>
      <c r="AH99" s="6214"/>
      <c r="AI99" s="6214"/>
      <c r="AJ99" s="6214"/>
      <c r="AK99" s="1706"/>
      <c r="AO99" s="3546"/>
      <c r="AP99" s="3546"/>
      <c r="BL99" s="3546"/>
      <c r="BM99" s="3546"/>
      <c r="BO99" s="3546"/>
      <c r="BP99" s="3546"/>
      <c r="BQ99" s="3546"/>
      <c r="BR99" s="3546"/>
      <c r="BS99" s="3546"/>
      <c r="BT99" s="3546"/>
      <c r="BU99" s="3546"/>
      <c r="BV99" s="3546"/>
    </row>
    <row r="100" spans="1:75" ht="13.5" customHeight="1">
      <c r="A100" s="1706"/>
      <c r="B100" s="2117"/>
      <c r="C100" s="3566" t="s">
        <v>2908</v>
      </c>
      <c r="D100" s="2611" t="s">
        <v>2905</v>
      </c>
      <c r="E100" s="2117"/>
      <c r="F100" s="2117"/>
      <c r="G100" s="2117"/>
      <c r="H100" s="2117"/>
      <c r="I100" s="2117"/>
      <c r="J100" s="2117"/>
      <c r="K100" s="2117"/>
      <c r="L100" s="2117"/>
      <c r="M100" s="2117"/>
      <c r="N100" s="2117"/>
      <c r="O100" s="2117"/>
      <c r="P100" s="2117"/>
      <c r="Q100" s="2117"/>
      <c r="R100" s="2117"/>
      <c r="S100" s="2117"/>
      <c r="T100" s="2117"/>
      <c r="U100" s="2117"/>
      <c r="V100" s="2117"/>
      <c r="W100" s="2117"/>
      <c r="X100" s="2117"/>
      <c r="Y100" s="2117"/>
      <c r="Z100" s="2117"/>
      <c r="AA100" s="2117"/>
      <c r="AB100" s="2117"/>
      <c r="AC100" s="6137"/>
      <c r="AD100" s="6212"/>
      <c r="AE100" s="6139"/>
      <c r="AF100" s="5407"/>
      <c r="AG100" s="6139"/>
      <c r="AH100" s="5407"/>
      <c r="AI100" s="6139"/>
      <c r="AJ100" s="5407"/>
      <c r="AK100" s="1706"/>
      <c r="AO100" s="3546"/>
      <c r="AP100" s="3546"/>
      <c r="BL100" s="3546"/>
      <c r="BM100" s="3546"/>
    </row>
    <row r="101" spans="1:75" ht="13.5" customHeight="1">
      <c r="A101" s="1706"/>
      <c r="B101" s="2117"/>
      <c r="C101" s="3566" t="s">
        <v>2843</v>
      </c>
      <c r="D101" s="2117" t="s">
        <v>2906</v>
      </c>
      <c r="E101" s="2117"/>
      <c r="F101" s="2117"/>
      <c r="G101" s="2117"/>
      <c r="H101" s="2117"/>
      <c r="I101" s="2117"/>
      <c r="J101" s="2117"/>
      <c r="K101" s="2117"/>
      <c r="L101" s="2117"/>
      <c r="M101" s="2117"/>
      <c r="N101" s="2117"/>
      <c r="O101" s="2117"/>
      <c r="P101" s="2117"/>
      <c r="Q101" s="2117"/>
      <c r="R101" s="2117"/>
      <c r="S101" s="2117"/>
      <c r="T101" s="2117"/>
      <c r="U101" s="2117"/>
      <c r="V101" s="2117"/>
      <c r="W101" s="2117"/>
      <c r="X101" s="2117"/>
      <c r="Y101" s="2117"/>
      <c r="Z101" s="2117"/>
      <c r="AA101" s="2117"/>
      <c r="AB101" s="2476" t="s">
        <v>688</v>
      </c>
      <c r="AC101" s="6135" t="s">
        <v>353</v>
      </c>
      <c r="AD101" s="4722"/>
      <c r="AE101" s="6136"/>
      <c r="AF101" s="6136"/>
      <c r="AG101" s="6136"/>
      <c r="AH101" s="6136"/>
      <c r="AI101" s="6136"/>
      <c r="AJ101" s="6136"/>
      <c r="AK101" s="1706"/>
      <c r="AO101" s="3546"/>
      <c r="AP101" s="3546"/>
      <c r="BL101" s="3546"/>
      <c r="BM101" s="3546"/>
    </row>
    <row r="102" spans="1:75" ht="13.5" customHeight="1">
      <c r="A102" s="1706"/>
      <c r="B102" s="2117"/>
      <c r="C102" s="3566" t="s">
        <v>2838</v>
      </c>
      <c r="D102" s="2117" t="s">
        <v>2907</v>
      </c>
      <c r="E102" s="2117"/>
      <c r="F102" s="2117"/>
      <c r="G102" s="2117"/>
      <c r="H102" s="2117"/>
      <c r="I102" s="2117"/>
      <c r="J102" s="2117"/>
      <c r="K102" s="2117"/>
      <c r="L102" s="2117"/>
      <c r="M102" s="2117"/>
      <c r="N102" s="2117"/>
      <c r="O102" s="2117"/>
      <c r="P102" s="2117"/>
      <c r="Q102" s="2117"/>
      <c r="R102" s="2117"/>
      <c r="S102" s="2117"/>
      <c r="T102" s="2117"/>
      <c r="U102" s="2117"/>
      <c r="V102" s="6176"/>
      <c r="W102" s="6221"/>
      <c r="X102" s="6221"/>
      <c r="Y102" s="6221"/>
      <c r="Z102" s="6221"/>
      <c r="AA102" s="6221"/>
      <c r="AB102" s="2117"/>
      <c r="AC102" s="6137"/>
      <c r="AD102" s="6138"/>
      <c r="AE102" s="6137"/>
      <c r="AF102" s="6139"/>
      <c r="AG102" s="6139"/>
      <c r="AH102" s="6139"/>
      <c r="AI102" s="6139"/>
      <c r="AJ102" s="6139"/>
      <c r="AK102" s="1706"/>
      <c r="AO102" s="3546"/>
      <c r="AP102" s="3546"/>
      <c r="BL102" s="3546"/>
      <c r="BM102" s="3546"/>
    </row>
    <row r="103" spans="1:75" ht="13.5" customHeight="1">
      <c r="A103" s="1706"/>
      <c r="B103" s="2117"/>
      <c r="C103" s="3566"/>
      <c r="D103" s="6176"/>
      <c r="E103" s="6221"/>
      <c r="F103" s="6221"/>
      <c r="G103" s="6221"/>
      <c r="H103" s="6221"/>
      <c r="I103" s="6221"/>
      <c r="J103" s="6221"/>
      <c r="K103" s="6221"/>
      <c r="L103" s="6221"/>
      <c r="M103" s="6221"/>
      <c r="N103" s="6221"/>
      <c r="O103" s="6221"/>
      <c r="P103" s="6221"/>
      <c r="Q103" s="6221"/>
      <c r="R103" s="6221"/>
      <c r="S103" s="6221"/>
      <c r="T103" s="6221"/>
      <c r="U103" s="6221"/>
      <c r="V103" s="6221"/>
      <c r="W103" s="6221"/>
      <c r="X103" s="6221"/>
      <c r="Y103" s="6221"/>
      <c r="Z103" s="6221"/>
      <c r="AA103" s="6221"/>
      <c r="AB103" s="2117"/>
      <c r="AC103" s="6135" t="s">
        <v>354</v>
      </c>
      <c r="AD103" s="4722"/>
      <c r="AE103" s="6136"/>
      <c r="AF103" s="6136"/>
      <c r="AG103" s="6136"/>
      <c r="AH103" s="6136"/>
      <c r="AI103" s="6136"/>
      <c r="AJ103" s="6136"/>
      <c r="AK103" s="1706"/>
      <c r="AO103" s="3546"/>
      <c r="AP103" s="3546"/>
      <c r="BL103" s="3546"/>
      <c r="BM103" s="3546"/>
    </row>
    <row r="104" spans="1:75" ht="13.5" customHeight="1">
      <c r="A104" s="1706"/>
      <c r="B104" s="2117"/>
      <c r="C104" s="3566" t="s">
        <v>2910</v>
      </c>
      <c r="D104" s="2117" t="s">
        <v>2911</v>
      </c>
      <c r="E104" s="2117"/>
      <c r="F104" s="2117"/>
      <c r="G104" s="2117"/>
      <c r="H104" s="2117"/>
      <c r="I104" s="2117"/>
      <c r="J104" s="2117"/>
      <c r="K104" s="2117"/>
      <c r="L104" s="2117"/>
      <c r="M104" s="2117"/>
      <c r="N104" s="2117"/>
      <c r="O104" s="2117"/>
      <c r="P104" s="2117"/>
      <c r="Q104" s="2117"/>
      <c r="R104" s="2117"/>
      <c r="S104" s="2117"/>
      <c r="T104" s="2117"/>
      <c r="U104" s="2117"/>
      <c r="V104" s="2117"/>
      <c r="W104" s="2117"/>
      <c r="X104" s="2117"/>
      <c r="Y104" s="2117"/>
      <c r="Z104" s="2117"/>
      <c r="AA104" s="2117"/>
      <c r="AB104" s="2117"/>
      <c r="AC104" s="6215"/>
      <c r="AD104" s="6216"/>
      <c r="AE104" s="6139"/>
      <c r="AF104" s="5407"/>
      <c r="AG104" s="6139"/>
      <c r="AH104" s="5407"/>
      <c r="AI104" s="6139"/>
      <c r="AJ104" s="5407"/>
      <c r="AK104" s="1706"/>
      <c r="AO104" s="3546"/>
      <c r="AP104" s="3546"/>
      <c r="BL104" s="3546"/>
      <c r="BM104" s="3546"/>
    </row>
    <row r="105" spans="1:75" ht="13.5" customHeight="1">
      <c r="A105" s="1706"/>
      <c r="B105" s="2117"/>
      <c r="C105" s="2117"/>
      <c r="D105" s="2117" t="s">
        <v>2912</v>
      </c>
      <c r="E105" s="2117"/>
      <c r="F105" s="2117"/>
      <c r="G105" s="2117"/>
      <c r="H105" s="2117"/>
      <c r="I105" s="2117"/>
      <c r="J105" s="2117"/>
      <c r="K105" s="2117"/>
      <c r="L105" s="2117"/>
      <c r="M105" s="2117"/>
      <c r="N105" s="2117"/>
      <c r="O105" s="2117"/>
      <c r="P105" s="2117"/>
      <c r="Q105" s="2117"/>
      <c r="R105" s="2117"/>
      <c r="S105" s="2117"/>
      <c r="T105" s="2117"/>
      <c r="U105" s="2117"/>
      <c r="V105" s="2117"/>
      <c r="W105" s="2117"/>
      <c r="X105" s="2117"/>
      <c r="Y105" s="2117"/>
      <c r="Z105" s="2117"/>
      <c r="AA105" s="2117"/>
      <c r="AB105" s="2117"/>
      <c r="AC105" s="6217"/>
      <c r="AD105" s="6218"/>
      <c r="AE105" s="6219"/>
      <c r="AF105" s="6220"/>
      <c r="AG105" s="6220"/>
      <c r="AH105" s="6220"/>
      <c r="AI105" s="6220"/>
      <c r="AJ105" s="6220"/>
      <c r="AK105" s="1706"/>
      <c r="AO105" s="3546"/>
      <c r="AP105" s="3546"/>
      <c r="BL105" s="3546"/>
      <c r="BM105" s="3546"/>
    </row>
    <row r="106" spans="1:75" ht="13.5" customHeight="1">
      <c r="A106" s="1706"/>
      <c r="B106" s="2117"/>
      <c r="C106" s="3566" t="s">
        <v>2843</v>
      </c>
      <c r="D106" s="2117" t="s">
        <v>2913</v>
      </c>
      <c r="E106" s="2117"/>
      <c r="F106" s="2117"/>
      <c r="G106" s="2117"/>
      <c r="H106" s="2117"/>
      <c r="I106" s="2117"/>
      <c r="J106" s="2117"/>
      <c r="K106" s="2117"/>
      <c r="L106" s="2117"/>
      <c r="M106" s="2117"/>
      <c r="N106" s="2117"/>
      <c r="O106" s="2117"/>
      <c r="P106" s="2117"/>
      <c r="Q106" s="2117"/>
      <c r="R106" s="2117"/>
      <c r="S106" s="2117"/>
      <c r="T106" s="2117"/>
      <c r="U106" s="2117"/>
      <c r="V106" s="2117"/>
      <c r="W106" s="2117"/>
      <c r="X106" s="2117"/>
      <c r="Y106" s="2117"/>
      <c r="Z106" s="2117"/>
      <c r="AA106" s="2117"/>
      <c r="AB106" s="2476" t="s">
        <v>3004</v>
      </c>
      <c r="AC106" s="6135" t="s">
        <v>1923</v>
      </c>
      <c r="AD106" s="4722"/>
      <c r="AE106" s="6136"/>
      <c r="AF106" s="6136"/>
      <c r="AG106" s="6136"/>
      <c r="AH106" s="6136"/>
      <c r="AI106" s="6136"/>
      <c r="AJ106" s="6136"/>
      <c r="AK106" s="1706"/>
      <c r="AO106" s="3546"/>
      <c r="AP106" s="3546"/>
      <c r="BL106" s="3546"/>
      <c r="BM106" s="3546"/>
    </row>
    <row r="107" spans="1:75" ht="13.5" customHeight="1">
      <c r="A107" s="1706"/>
      <c r="B107" s="2117"/>
      <c r="C107" s="2117"/>
      <c r="D107" s="2117"/>
      <c r="E107" s="2117"/>
      <c r="F107" s="2117"/>
      <c r="G107" s="2117"/>
      <c r="H107" s="2117"/>
      <c r="I107" s="2117"/>
      <c r="J107" s="2117"/>
      <c r="K107" s="2117"/>
      <c r="L107" s="2117"/>
      <c r="M107" s="2117"/>
      <c r="N107" s="2117"/>
      <c r="O107" s="2117"/>
      <c r="P107" s="2117"/>
      <c r="Q107" s="2117"/>
      <c r="R107" s="2117"/>
      <c r="S107" s="2117"/>
      <c r="T107" s="2117"/>
      <c r="U107" s="2117"/>
      <c r="V107" s="2117"/>
      <c r="W107" s="2117"/>
      <c r="X107" s="2117"/>
      <c r="Y107" s="2117"/>
      <c r="Z107" s="2117"/>
      <c r="AA107" s="2117"/>
      <c r="AB107" s="2117"/>
      <c r="AC107" s="6137"/>
      <c r="AD107" s="6138"/>
      <c r="AE107" s="6137"/>
      <c r="AF107" s="6139"/>
      <c r="AG107" s="6139"/>
      <c r="AH107" s="6139"/>
      <c r="AI107" s="6139"/>
      <c r="AJ107" s="6139"/>
      <c r="AK107" s="1706"/>
      <c r="AO107" s="3546"/>
      <c r="AP107" s="3546"/>
      <c r="BL107" s="3546"/>
      <c r="BM107" s="3546"/>
    </row>
    <row r="108" spans="1:75" ht="13.5" customHeight="1">
      <c r="A108" s="1706"/>
      <c r="B108" s="2117"/>
      <c r="C108" s="3566" t="s">
        <v>2838</v>
      </c>
      <c r="D108" s="2117" t="s">
        <v>2914</v>
      </c>
      <c r="E108" s="2117"/>
      <c r="F108" s="2117"/>
      <c r="G108" s="2117"/>
      <c r="H108" s="2117"/>
      <c r="I108" s="2117"/>
      <c r="J108" s="2117"/>
      <c r="K108" s="2117"/>
      <c r="L108" s="2117"/>
      <c r="M108" s="2117"/>
      <c r="N108" s="2117"/>
      <c r="O108" s="2117"/>
      <c r="P108" s="2117"/>
      <c r="Q108" s="2117"/>
      <c r="R108" s="2117"/>
      <c r="S108" s="2117"/>
      <c r="T108" s="2117"/>
      <c r="U108" s="2117"/>
      <c r="V108" s="2117"/>
      <c r="W108" s="2117"/>
      <c r="X108" s="2117"/>
      <c r="Y108" s="2117"/>
      <c r="Z108" s="2117"/>
      <c r="AA108" s="2117"/>
      <c r="AB108" s="2476" t="s">
        <v>3005</v>
      </c>
      <c r="AC108" s="6135" t="s">
        <v>1924</v>
      </c>
      <c r="AD108" s="4722"/>
      <c r="AE108" s="6136"/>
      <c r="AF108" s="6136"/>
      <c r="AG108" s="6136"/>
      <c r="AH108" s="6136"/>
      <c r="AI108" s="6136"/>
      <c r="AJ108" s="6136"/>
      <c r="AK108" s="1706"/>
      <c r="AO108" s="3546"/>
      <c r="AP108" s="3546"/>
      <c r="BL108" s="3546"/>
      <c r="BM108" s="3546"/>
    </row>
    <row r="109" spans="1:75" ht="13.5" customHeight="1">
      <c r="A109" s="1706"/>
      <c r="B109" s="2117"/>
      <c r="C109" s="2117"/>
      <c r="D109" s="2117"/>
      <c r="E109" s="2117"/>
      <c r="F109" s="2117"/>
      <c r="G109" s="2117"/>
      <c r="H109" s="2117"/>
      <c r="I109" s="2117"/>
      <c r="J109" s="2117"/>
      <c r="K109" s="2117"/>
      <c r="L109" s="2117"/>
      <c r="M109" s="2117"/>
      <c r="N109" s="2117"/>
      <c r="O109" s="2117"/>
      <c r="P109" s="2117"/>
      <c r="Q109" s="2117"/>
      <c r="R109" s="2117"/>
      <c r="S109" s="2117"/>
      <c r="T109" s="2117"/>
      <c r="U109" s="2117"/>
      <c r="V109" s="2117"/>
      <c r="W109" s="2117"/>
      <c r="X109" s="2117"/>
      <c r="Y109" s="2117"/>
      <c r="Z109" s="2117"/>
      <c r="AA109" s="2117"/>
      <c r="AB109" s="2117"/>
      <c r="AC109" s="6137"/>
      <c r="AD109" s="6138"/>
      <c r="AE109" s="6137"/>
      <c r="AF109" s="6139"/>
      <c r="AG109" s="6139"/>
      <c r="AH109" s="6139"/>
      <c r="AI109" s="6139"/>
      <c r="AJ109" s="6139"/>
      <c r="AK109" s="1706"/>
      <c r="AO109" s="3546"/>
      <c r="AP109" s="3546"/>
      <c r="BL109" s="3546"/>
      <c r="BM109" s="3546"/>
    </row>
    <row r="110" spans="1:75" ht="13.5" customHeight="1">
      <c r="A110" s="1706"/>
      <c r="B110" s="2117"/>
      <c r="C110" s="3566" t="s">
        <v>2844</v>
      </c>
      <c r="D110" s="2611" t="s">
        <v>2915</v>
      </c>
      <c r="E110" s="2117"/>
      <c r="F110" s="2117"/>
      <c r="G110" s="2117"/>
      <c r="H110" s="2117"/>
      <c r="I110" s="2117"/>
      <c r="J110" s="2117"/>
      <c r="K110" s="2117"/>
      <c r="L110" s="2117"/>
      <c r="M110" s="2117"/>
      <c r="N110" s="2117"/>
      <c r="O110" s="2117"/>
      <c r="P110" s="2117"/>
      <c r="Q110" s="2117"/>
      <c r="R110" s="2117"/>
      <c r="S110" s="2117"/>
      <c r="T110" s="2117"/>
      <c r="U110" s="2117"/>
      <c r="V110" s="2117"/>
      <c r="W110" s="2117"/>
      <c r="X110" s="2117"/>
      <c r="Y110" s="2117"/>
      <c r="Z110" s="2117"/>
      <c r="AA110" s="2117"/>
      <c r="AB110" s="2476" t="s">
        <v>3006</v>
      </c>
      <c r="AC110" s="6135" t="s">
        <v>2916</v>
      </c>
      <c r="AD110" s="4722"/>
      <c r="AE110" s="6136"/>
      <c r="AF110" s="6136"/>
      <c r="AG110" s="6136"/>
      <c r="AH110" s="6136"/>
      <c r="AI110" s="6136"/>
      <c r="AJ110" s="6136"/>
      <c r="AK110" s="1706"/>
      <c r="AO110" s="3546"/>
      <c r="AP110" s="3546"/>
      <c r="BL110" s="3546"/>
      <c r="BM110" s="3546"/>
    </row>
    <row r="111" spans="1:75" ht="13.5" customHeight="1">
      <c r="A111" s="1706"/>
      <c r="B111" s="2117"/>
      <c r="C111" s="3566" t="s">
        <v>2845</v>
      </c>
      <c r="D111" s="2611" t="s">
        <v>2917</v>
      </c>
      <c r="E111" s="2117"/>
      <c r="F111" s="2117"/>
      <c r="G111" s="2117"/>
      <c r="H111" s="2117"/>
      <c r="I111" s="2117"/>
      <c r="J111" s="2117"/>
      <c r="K111" s="2117"/>
      <c r="L111" s="2117"/>
      <c r="M111" s="2117"/>
      <c r="N111" s="2117"/>
      <c r="O111" s="2117"/>
      <c r="P111" s="6176"/>
      <c r="Q111" s="6221"/>
      <c r="R111" s="6221"/>
      <c r="S111" s="6221"/>
      <c r="T111" s="6221"/>
      <c r="U111" s="6221"/>
      <c r="V111" s="6221"/>
      <c r="W111" s="6221"/>
      <c r="X111" s="6221"/>
      <c r="Y111" s="6221"/>
      <c r="Z111" s="6221"/>
      <c r="AA111" s="6221"/>
      <c r="AB111" s="2117"/>
      <c r="AC111" s="6137"/>
      <c r="AD111" s="6138"/>
      <c r="AE111" s="6137"/>
      <c r="AF111" s="6139"/>
      <c r="AG111" s="6139"/>
      <c r="AH111" s="6139"/>
      <c r="AI111" s="6139"/>
      <c r="AJ111" s="6139"/>
      <c r="AK111" s="1706"/>
      <c r="AO111" s="3546"/>
      <c r="AP111" s="3546"/>
      <c r="BL111" s="3546"/>
      <c r="BM111" s="3546"/>
    </row>
    <row r="112" spans="1:75" ht="13.5" customHeight="1">
      <c r="A112" s="1706"/>
      <c r="B112" s="2117"/>
      <c r="C112" s="2117"/>
      <c r="D112" s="6176"/>
      <c r="E112" s="6177"/>
      <c r="F112" s="6177"/>
      <c r="G112" s="6177"/>
      <c r="H112" s="6177"/>
      <c r="I112" s="6177"/>
      <c r="J112" s="6177"/>
      <c r="K112" s="6177"/>
      <c r="L112" s="6177"/>
      <c r="M112" s="6177"/>
      <c r="N112" s="6177"/>
      <c r="O112" s="6177"/>
      <c r="P112" s="6177"/>
      <c r="Q112" s="6177"/>
      <c r="R112" s="6177"/>
      <c r="S112" s="6177"/>
      <c r="T112" s="6177"/>
      <c r="U112" s="6177"/>
      <c r="V112" s="6177"/>
      <c r="W112" s="6177"/>
      <c r="X112" s="6177"/>
      <c r="Y112" s="6177"/>
      <c r="Z112" s="6177"/>
      <c r="AA112" s="6177"/>
      <c r="AB112" s="2117"/>
      <c r="AC112" s="6135" t="s">
        <v>2918</v>
      </c>
      <c r="AD112" s="4722"/>
      <c r="AE112" s="6136"/>
      <c r="AF112" s="6136"/>
      <c r="AG112" s="6136"/>
      <c r="AH112" s="6136"/>
      <c r="AI112" s="6136"/>
      <c r="AJ112" s="6136"/>
      <c r="AK112" s="1706"/>
      <c r="AO112" s="3546"/>
      <c r="AP112" s="3546"/>
      <c r="BL112" s="3546"/>
      <c r="BM112" s="3546"/>
    </row>
    <row r="113" spans="1:65" ht="13.5" customHeight="1">
      <c r="A113" s="1706"/>
      <c r="B113" s="2117"/>
      <c r="C113" s="3566" t="s">
        <v>2925</v>
      </c>
      <c r="D113" s="2117" t="s">
        <v>2924</v>
      </c>
      <c r="E113" s="2117"/>
      <c r="F113" s="2117"/>
      <c r="G113" s="2117"/>
      <c r="H113" s="2117"/>
      <c r="I113" s="2117"/>
      <c r="J113" s="2117"/>
      <c r="K113" s="2117"/>
      <c r="L113" s="2117"/>
      <c r="M113" s="2117"/>
      <c r="N113" s="2117"/>
      <c r="O113" s="2117"/>
      <c r="P113" s="2117"/>
      <c r="Q113" s="2117"/>
      <c r="R113" s="2117"/>
      <c r="S113" s="2117"/>
      <c r="T113" s="2117"/>
      <c r="U113" s="2117"/>
      <c r="V113" s="2117"/>
      <c r="W113" s="2117"/>
      <c r="X113" s="2117"/>
      <c r="Y113" s="2117"/>
      <c r="Z113" s="2117"/>
      <c r="AA113" s="2117"/>
      <c r="AB113" s="2117"/>
      <c r="AC113" s="3585"/>
      <c r="AD113" s="3586"/>
      <c r="AE113" s="2117"/>
      <c r="AF113" s="2117"/>
      <c r="AG113" s="2117"/>
      <c r="AH113" s="2117"/>
      <c r="AI113" s="2117"/>
      <c r="AJ113" s="2117"/>
      <c r="AK113" s="1706"/>
      <c r="AO113" s="3546"/>
      <c r="AP113" s="3546"/>
      <c r="BL113" s="3546"/>
      <c r="BM113" s="3546"/>
    </row>
    <row r="114" spans="1:65" ht="13.5" customHeight="1">
      <c r="A114" s="1706"/>
      <c r="B114" s="2117"/>
      <c r="C114" s="3566" t="s">
        <v>2843</v>
      </c>
      <c r="D114" s="2117" t="s">
        <v>2923</v>
      </c>
      <c r="E114" s="2117"/>
      <c r="F114" s="2117"/>
      <c r="G114" s="2117"/>
      <c r="H114" s="2117"/>
      <c r="I114" s="2117"/>
      <c r="J114" s="2117"/>
      <c r="K114" s="2117"/>
      <c r="L114" s="2117"/>
      <c r="M114" s="2117"/>
      <c r="N114" s="2117"/>
      <c r="O114" s="2117"/>
      <c r="P114" s="2117"/>
      <c r="Q114" s="2117"/>
      <c r="R114" s="2117"/>
      <c r="S114" s="2117"/>
      <c r="T114" s="2117"/>
      <c r="U114" s="6135" t="s">
        <v>2919</v>
      </c>
      <c r="V114" s="4722"/>
      <c r="W114" s="6136"/>
      <c r="X114" s="6136"/>
      <c r="Y114" s="6136"/>
      <c r="Z114" s="6136"/>
      <c r="AA114" s="6136"/>
      <c r="AB114" s="6136"/>
      <c r="AC114" s="3585"/>
      <c r="AD114" s="3586"/>
      <c r="AE114" s="2117"/>
      <c r="AF114" s="2117"/>
      <c r="AG114" s="2117"/>
      <c r="AH114" s="2117"/>
      <c r="AI114" s="2117"/>
      <c r="AJ114" s="2117"/>
      <c r="AK114" s="1706"/>
      <c r="AO114" s="3546"/>
      <c r="AP114" s="3546"/>
      <c r="BL114" s="3546"/>
      <c r="BM114" s="3546"/>
    </row>
    <row r="115" spans="1:65" ht="13.5" customHeight="1">
      <c r="A115" s="1706"/>
      <c r="B115" s="2117"/>
      <c r="C115" s="3566" t="s">
        <v>2838</v>
      </c>
      <c r="D115" s="2117" t="s">
        <v>2927</v>
      </c>
      <c r="E115" s="2117"/>
      <c r="F115" s="2117"/>
      <c r="G115" s="2117"/>
      <c r="H115" s="2117"/>
      <c r="I115" s="2117"/>
      <c r="J115" s="2117"/>
      <c r="K115" s="2117"/>
      <c r="L115" s="2117"/>
      <c r="M115" s="2117"/>
      <c r="N115" s="2117"/>
      <c r="O115" s="2117"/>
      <c r="P115" s="2117"/>
      <c r="Q115" s="2117"/>
      <c r="R115" s="2117"/>
      <c r="S115" s="2117"/>
      <c r="T115" s="2476" t="s">
        <v>2087</v>
      </c>
      <c r="U115" s="6135" t="s">
        <v>2920</v>
      </c>
      <c r="V115" s="4722"/>
      <c r="W115" s="6136"/>
      <c r="X115" s="6136"/>
      <c r="Y115" s="6136"/>
      <c r="Z115" s="6136"/>
      <c r="AA115" s="6136"/>
      <c r="AB115" s="6136"/>
      <c r="AC115" s="3585"/>
      <c r="AD115" s="3586"/>
      <c r="AE115" s="2117"/>
      <c r="AF115" s="2117"/>
      <c r="AG115" s="2117"/>
      <c r="AH115" s="2117"/>
      <c r="AI115" s="2117"/>
      <c r="AJ115" s="2117"/>
      <c r="AK115" s="1706"/>
      <c r="BL115" s="3546"/>
      <c r="BM115" s="3546"/>
    </row>
    <row r="116" spans="1:65" ht="13.5" customHeight="1">
      <c r="A116" s="1706"/>
      <c r="B116" s="2117"/>
      <c r="C116" s="3566" t="s">
        <v>2844</v>
      </c>
      <c r="D116" s="2117" t="s">
        <v>2928</v>
      </c>
      <c r="E116" s="2117"/>
      <c r="F116" s="2117"/>
      <c r="G116" s="2117"/>
      <c r="H116" s="2117"/>
      <c r="I116" s="2117"/>
      <c r="J116" s="2117"/>
      <c r="K116" s="2117"/>
      <c r="L116" s="2117"/>
      <c r="M116" s="2117"/>
      <c r="N116" s="2117"/>
      <c r="O116" s="2117"/>
      <c r="P116" s="2117"/>
      <c r="Q116" s="2117"/>
      <c r="R116" s="2117"/>
      <c r="S116" s="2117"/>
      <c r="T116" s="2476" t="s">
        <v>688</v>
      </c>
      <c r="U116" s="6135" t="s">
        <v>2921</v>
      </c>
      <c r="V116" s="4722"/>
      <c r="W116" s="6136"/>
      <c r="X116" s="6136"/>
      <c r="Y116" s="6136"/>
      <c r="Z116" s="6136"/>
      <c r="AA116" s="6136"/>
      <c r="AB116" s="6136"/>
      <c r="AC116" s="3585"/>
      <c r="AD116" s="3586"/>
      <c r="AE116" s="2117"/>
      <c r="AF116" s="2117"/>
      <c r="AG116" s="2117"/>
      <c r="AH116" s="2117"/>
      <c r="AI116" s="2117"/>
      <c r="AJ116" s="2117"/>
      <c r="AK116" s="1706"/>
      <c r="BL116" s="3546"/>
      <c r="BM116" s="3546"/>
    </row>
    <row r="117" spans="1:65" ht="13.5" customHeight="1">
      <c r="A117" s="1706"/>
      <c r="B117" s="2117"/>
      <c r="C117" s="3566" t="s">
        <v>2845</v>
      </c>
      <c r="D117" s="2117" t="s">
        <v>2929</v>
      </c>
      <c r="E117" s="2117"/>
      <c r="F117" s="2117"/>
      <c r="G117" s="2117"/>
      <c r="H117" s="2117"/>
      <c r="I117" s="2117"/>
      <c r="J117" s="2117"/>
      <c r="K117" s="2117"/>
      <c r="L117" s="2117"/>
      <c r="M117" s="2117"/>
      <c r="N117" s="2117"/>
      <c r="O117" s="2117"/>
      <c r="P117" s="2117"/>
      <c r="Q117" s="2117"/>
      <c r="R117" s="2117"/>
      <c r="S117" s="2117"/>
      <c r="T117" s="2476" t="s">
        <v>154</v>
      </c>
      <c r="U117" s="6135" t="s">
        <v>2922</v>
      </c>
      <c r="V117" s="4722"/>
      <c r="W117" s="6136"/>
      <c r="X117" s="6136"/>
      <c r="Y117" s="6136"/>
      <c r="Z117" s="6136"/>
      <c r="AA117" s="6136"/>
      <c r="AB117" s="6136"/>
      <c r="AC117" s="3585"/>
      <c r="AD117" s="3586"/>
      <c r="AE117" s="2117"/>
      <c r="AF117" s="2117"/>
      <c r="AG117" s="2117"/>
      <c r="AH117" s="2117"/>
      <c r="AI117" s="2117"/>
      <c r="AJ117" s="2117"/>
      <c r="AK117" s="1706"/>
      <c r="BL117" s="3546"/>
      <c r="BM117" s="3546"/>
    </row>
    <row r="118" spans="1:65" ht="13.5" customHeight="1">
      <c r="A118" s="1706"/>
      <c r="B118" s="2117"/>
      <c r="C118" s="3566" t="s">
        <v>2846</v>
      </c>
      <c r="D118" s="2117" t="s">
        <v>2930</v>
      </c>
      <c r="E118" s="2117"/>
      <c r="F118" s="2117"/>
      <c r="G118" s="2117"/>
      <c r="H118" s="2117"/>
      <c r="I118" s="2117"/>
      <c r="J118" s="2117"/>
      <c r="K118" s="2117"/>
      <c r="L118" s="2117"/>
      <c r="M118" s="2117"/>
      <c r="N118" s="2117"/>
      <c r="O118" s="2117"/>
      <c r="P118" s="2117"/>
      <c r="Q118" s="2117"/>
      <c r="R118" s="2117"/>
      <c r="S118" s="2117"/>
      <c r="T118" s="2476" t="s">
        <v>688</v>
      </c>
      <c r="U118" s="6135" t="s">
        <v>2926</v>
      </c>
      <c r="V118" s="4722"/>
      <c r="W118" s="6136"/>
      <c r="X118" s="6136"/>
      <c r="Y118" s="6136"/>
      <c r="Z118" s="6136"/>
      <c r="AA118" s="6136"/>
      <c r="AB118" s="6136"/>
      <c r="AC118" s="3585"/>
      <c r="AD118" s="3586"/>
      <c r="AE118" s="2117"/>
      <c r="AF118" s="2117"/>
      <c r="AG118" s="2117"/>
      <c r="AH118" s="2117"/>
      <c r="AI118" s="2117"/>
      <c r="AJ118" s="2117"/>
      <c r="AK118" s="1706"/>
      <c r="BL118" s="3546"/>
      <c r="BM118" s="3546"/>
    </row>
    <row r="119" spans="1:65" ht="13.5" customHeight="1">
      <c r="A119" s="1706"/>
      <c r="B119" s="2117"/>
      <c r="C119" s="3566" t="s">
        <v>2932</v>
      </c>
      <c r="D119" s="2117" t="s">
        <v>2931</v>
      </c>
      <c r="E119" s="2117"/>
      <c r="F119" s="2117"/>
      <c r="G119" s="2117"/>
      <c r="H119" s="2117"/>
      <c r="I119" s="2117"/>
      <c r="J119" s="2117"/>
      <c r="K119" s="2117"/>
      <c r="L119" s="2117"/>
      <c r="M119" s="2117"/>
      <c r="N119" s="2117"/>
      <c r="O119" s="6176"/>
      <c r="P119" s="6177"/>
      <c r="Q119" s="6177"/>
      <c r="R119" s="6177"/>
      <c r="S119" s="6177"/>
      <c r="T119" s="2117"/>
      <c r="U119" s="6137"/>
      <c r="V119" s="6138"/>
      <c r="W119" s="6137"/>
      <c r="X119" s="6139"/>
      <c r="Y119" s="6139"/>
      <c r="Z119" s="6139"/>
      <c r="AA119" s="6139"/>
      <c r="AB119" s="6138"/>
      <c r="AC119" s="3585"/>
      <c r="AD119" s="3586"/>
      <c r="AE119" s="2117"/>
      <c r="AF119" s="2117"/>
      <c r="AG119" s="2117"/>
      <c r="AH119" s="2117"/>
      <c r="AI119" s="2117"/>
      <c r="AJ119" s="2117"/>
      <c r="AK119" s="1706"/>
      <c r="BL119" s="3546"/>
      <c r="BM119" s="3546"/>
    </row>
    <row r="120" spans="1:65" ht="13.5" customHeight="1">
      <c r="A120" s="1706"/>
      <c r="B120" s="2117"/>
      <c r="C120" s="2117"/>
      <c r="D120" s="6176"/>
      <c r="E120" s="6177"/>
      <c r="F120" s="6177"/>
      <c r="G120" s="6177"/>
      <c r="H120" s="6177"/>
      <c r="I120" s="6177"/>
      <c r="J120" s="6177"/>
      <c r="K120" s="6177"/>
      <c r="L120" s="6177"/>
      <c r="M120" s="6177"/>
      <c r="N120" s="6177"/>
      <c r="O120" s="6177"/>
      <c r="P120" s="6177"/>
      <c r="Q120" s="6177"/>
      <c r="R120" s="6177"/>
      <c r="S120" s="6177"/>
      <c r="T120" s="2117"/>
      <c r="U120" s="6135" t="s">
        <v>2933</v>
      </c>
      <c r="V120" s="4722"/>
      <c r="W120" s="6222"/>
      <c r="X120" s="6136"/>
      <c r="Y120" s="6136"/>
      <c r="Z120" s="6136"/>
      <c r="AA120" s="6136"/>
      <c r="AB120" s="6223"/>
      <c r="AC120" s="3585"/>
      <c r="AD120" s="3586"/>
      <c r="AE120" s="2117"/>
      <c r="AF120" s="2117"/>
      <c r="AG120" s="2117"/>
      <c r="AH120" s="2117"/>
      <c r="AI120" s="2117"/>
      <c r="AJ120" s="2117"/>
      <c r="AK120" s="1706"/>
      <c r="BL120" s="3546"/>
      <c r="BM120" s="3546"/>
    </row>
    <row r="121" spans="1:65" ht="13.5" customHeight="1">
      <c r="A121" s="1706"/>
      <c r="B121" s="2117"/>
      <c r="C121" s="2117"/>
      <c r="D121" s="2117"/>
      <c r="E121" s="2117"/>
      <c r="F121" s="2117"/>
      <c r="G121" s="2117"/>
      <c r="H121" s="2117"/>
      <c r="I121" s="2117"/>
      <c r="J121" s="2117"/>
      <c r="K121" s="2117"/>
      <c r="L121" s="2117"/>
      <c r="M121" s="2117"/>
      <c r="N121" s="2117"/>
      <c r="O121" s="2117"/>
      <c r="P121" s="2117"/>
      <c r="Q121" s="2117"/>
      <c r="R121" s="2117"/>
      <c r="S121" s="2117"/>
      <c r="T121" s="2117"/>
      <c r="U121" s="2117"/>
      <c r="V121" s="2117"/>
      <c r="W121" s="2117"/>
      <c r="X121" s="2117"/>
      <c r="Y121" s="2117"/>
      <c r="Z121" s="2117"/>
      <c r="AA121" s="2117"/>
      <c r="AB121" s="2117"/>
      <c r="AC121" s="6137"/>
      <c r="AD121" s="6138"/>
      <c r="AE121" s="6137"/>
      <c r="AF121" s="6139"/>
      <c r="AG121" s="6139"/>
      <c r="AH121" s="6139"/>
      <c r="AI121" s="6139"/>
      <c r="AJ121" s="6139"/>
      <c r="AK121" s="1706"/>
      <c r="BL121" s="3546"/>
      <c r="BM121" s="3546"/>
    </row>
    <row r="122" spans="1:65" ht="15" customHeight="1">
      <c r="A122" s="1706"/>
      <c r="B122" s="2117"/>
      <c r="C122" s="3566" t="s">
        <v>2935</v>
      </c>
      <c r="D122" s="2117" t="s">
        <v>2934</v>
      </c>
      <c r="E122" s="2117"/>
      <c r="F122" s="2117"/>
      <c r="G122" s="2117"/>
      <c r="H122" s="2117"/>
      <c r="I122" s="2117"/>
      <c r="J122" s="2117"/>
      <c r="K122" s="2117"/>
      <c r="L122" s="2117"/>
      <c r="M122" s="2117"/>
      <c r="N122" s="2117"/>
      <c r="O122" s="2117"/>
      <c r="P122" s="2117"/>
      <c r="Q122" s="2117"/>
      <c r="R122" s="2117"/>
      <c r="S122" s="2117"/>
      <c r="T122" s="2117"/>
      <c r="U122" s="2117"/>
      <c r="V122" s="2117"/>
      <c r="W122" s="2117"/>
      <c r="X122" s="2117"/>
      <c r="Y122" s="2117"/>
      <c r="Z122" s="2117"/>
      <c r="AA122" s="2117"/>
      <c r="AB122" s="2476" t="s">
        <v>936</v>
      </c>
      <c r="AC122" s="6135" t="s">
        <v>2936</v>
      </c>
      <c r="AD122" s="4722"/>
      <c r="AE122" s="6224">
        <f>IF(ISERROR(SUM(W114:W120)),"",SUM(W114:W120))</f>
        <v>0</v>
      </c>
      <c r="AF122" s="6224"/>
      <c r="AG122" s="6224"/>
      <c r="AH122" s="6224"/>
      <c r="AI122" s="6224"/>
      <c r="AJ122" s="6224"/>
      <c r="AK122" s="1706"/>
      <c r="BL122" s="3546"/>
      <c r="BM122" s="3546"/>
    </row>
    <row r="123" spans="1:65" ht="15" customHeight="1">
      <c r="A123" s="1706"/>
      <c r="B123" s="2117"/>
      <c r="C123" s="3566" t="s">
        <v>2937</v>
      </c>
      <c r="D123" s="2117" t="s">
        <v>2938</v>
      </c>
      <c r="E123" s="2117"/>
      <c r="F123" s="2117"/>
      <c r="G123" s="2117"/>
      <c r="H123" s="2117"/>
      <c r="I123" s="2117"/>
      <c r="J123" s="2117"/>
      <c r="K123" s="2117"/>
      <c r="L123" s="2117"/>
      <c r="M123" s="2117"/>
      <c r="N123" s="2117"/>
      <c r="O123" s="2117"/>
      <c r="P123" s="2117"/>
      <c r="Q123" s="6176"/>
      <c r="R123" s="6221"/>
      <c r="S123" s="6221"/>
      <c r="T123" s="6221"/>
      <c r="U123" s="6221"/>
      <c r="V123" s="6221"/>
      <c r="W123" s="6221"/>
      <c r="X123" s="6221"/>
      <c r="Y123" s="6221"/>
      <c r="Z123" s="6221"/>
      <c r="AA123" s="6221"/>
      <c r="AB123" s="2117"/>
      <c r="AC123" s="6137"/>
      <c r="AD123" s="6138"/>
      <c r="AE123" s="6137"/>
      <c r="AF123" s="6139"/>
      <c r="AG123" s="6139"/>
      <c r="AH123" s="6139"/>
      <c r="AI123" s="6139"/>
      <c r="AJ123" s="6139"/>
      <c r="AK123" s="1706"/>
      <c r="BL123" s="3546"/>
      <c r="BM123" s="3546"/>
    </row>
    <row r="124" spans="1:65" ht="15" customHeight="1">
      <c r="A124" s="1706"/>
      <c r="B124" s="2117"/>
      <c r="C124" s="2117"/>
      <c r="D124" s="6176"/>
      <c r="E124" s="6221"/>
      <c r="F124" s="6221"/>
      <c r="G124" s="6221"/>
      <c r="H124" s="6221"/>
      <c r="I124" s="6221"/>
      <c r="J124" s="6221"/>
      <c r="K124" s="6221"/>
      <c r="L124" s="6221"/>
      <c r="M124" s="6221"/>
      <c r="N124" s="6221"/>
      <c r="O124" s="6221"/>
      <c r="P124" s="6221"/>
      <c r="Q124" s="6221"/>
      <c r="R124" s="6221"/>
      <c r="S124" s="6221"/>
      <c r="T124" s="6221"/>
      <c r="U124" s="6221"/>
      <c r="V124" s="6221"/>
      <c r="W124" s="6221"/>
      <c r="X124" s="6221"/>
      <c r="Y124" s="6221"/>
      <c r="Z124" s="6221"/>
      <c r="AA124" s="6221"/>
      <c r="AB124" s="2117"/>
      <c r="AC124" s="6135">
        <v>23</v>
      </c>
      <c r="AD124" s="4722"/>
      <c r="AE124" s="6136"/>
      <c r="AF124" s="6136"/>
      <c r="AG124" s="6136"/>
      <c r="AH124" s="6136"/>
      <c r="AI124" s="6136"/>
      <c r="AJ124" s="6136"/>
      <c r="AK124" s="1706"/>
      <c r="BL124" s="3546"/>
      <c r="BM124" s="3546"/>
    </row>
    <row r="125" spans="1:65" ht="15" customHeight="1">
      <c r="A125" s="1706"/>
      <c r="B125" s="2117"/>
      <c r="C125" s="2117"/>
      <c r="D125" s="2117"/>
      <c r="E125" s="2117"/>
      <c r="F125" s="2117"/>
      <c r="G125" s="2117"/>
      <c r="H125" s="2117"/>
      <c r="I125" s="2117"/>
      <c r="J125" s="2117"/>
      <c r="K125" s="2117"/>
      <c r="L125" s="2117"/>
      <c r="M125" s="2117"/>
      <c r="N125" s="2117"/>
      <c r="O125" s="2117"/>
      <c r="P125" s="2117"/>
      <c r="Q125" s="2117"/>
      <c r="R125" s="2117"/>
      <c r="S125" s="2117"/>
      <c r="T125" s="2117"/>
      <c r="U125" s="2117"/>
      <c r="V125" s="2117"/>
      <c r="W125" s="2117"/>
      <c r="X125" s="2117"/>
      <c r="Y125" s="2117"/>
      <c r="Z125" s="2117"/>
      <c r="AA125" s="2117"/>
      <c r="AB125" s="2117"/>
      <c r="AC125" s="6137"/>
      <c r="AD125" s="6138"/>
      <c r="AE125" s="6137"/>
      <c r="AF125" s="6139"/>
      <c r="AG125" s="6139"/>
      <c r="AH125" s="6139"/>
      <c r="AI125" s="6139"/>
      <c r="AJ125" s="6139"/>
      <c r="AK125" s="1706"/>
      <c r="BL125" s="3546"/>
      <c r="BM125" s="3546"/>
    </row>
    <row r="126" spans="1:65" ht="15" customHeight="1">
      <c r="A126" s="1706"/>
      <c r="B126" s="2117"/>
      <c r="C126" s="3566" t="s">
        <v>2940</v>
      </c>
      <c r="D126" s="2117" t="s">
        <v>2939</v>
      </c>
      <c r="E126" s="2117"/>
      <c r="F126" s="2117"/>
      <c r="G126" s="2117"/>
      <c r="H126" s="2117"/>
      <c r="I126" s="2117"/>
      <c r="J126" s="2117"/>
      <c r="K126" s="2117"/>
      <c r="L126" s="2117"/>
      <c r="M126" s="2117"/>
      <c r="N126" s="2117"/>
      <c r="O126" s="2117"/>
      <c r="P126" s="2117"/>
      <c r="Q126" s="2117"/>
      <c r="R126" s="2117"/>
      <c r="S126" s="2117"/>
      <c r="T126" s="2117"/>
      <c r="U126" s="2117"/>
      <c r="V126" s="2117"/>
      <c r="W126" s="2117"/>
      <c r="X126" s="2117"/>
      <c r="Y126" s="2117"/>
      <c r="Z126" s="2117"/>
      <c r="AA126" s="2117"/>
      <c r="AB126" s="2476" t="s">
        <v>688</v>
      </c>
      <c r="AC126" s="6135">
        <v>24</v>
      </c>
      <c r="AD126" s="4722"/>
      <c r="AE126" s="6224">
        <f>IF(ISERROR(SUM(AE99,AE101,AE103,AE106,AE108,AE110,AE112,AE122,AE124)),"",SUM(AE99,AE101,AE103,AE106,AE108,AE110,AE112,AE122,AE124))</f>
        <v>0</v>
      </c>
      <c r="AF126" s="6224"/>
      <c r="AG126" s="6224"/>
      <c r="AH126" s="6224"/>
      <c r="AI126" s="6224"/>
      <c r="AJ126" s="6224"/>
      <c r="AK126" s="1706"/>
      <c r="BL126" s="3546"/>
      <c r="BM126" s="3546"/>
    </row>
    <row r="127" spans="1:65" ht="15" customHeight="1">
      <c r="A127" s="1706"/>
      <c r="B127" s="2117"/>
      <c r="C127" s="2117"/>
      <c r="D127" s="2117"/>
      <c r="E127" s="2117"/>
      <c r="F127" s="2117"/>
      <c r="G127" s="2117"/>
      <c r="H127" s="2117"/>
      <c r="I127" s="2117"/>
      <c r="J127" s="2117"/>
      <c r="K127" s="2117"/>
      <c r="L127" s="2117"/>
      <c r="M127" s="2117"/>
      <c r="N127" s="2117"/>
      <c r="O127" s="2117"/>
      <c r="P127" s="2117"/>
      <c r="Q127" s="2117"/>
      <c r="R127" s="2117"/>
      <c r="S127" s="2117"/>
      <c r="T127" s="2117"/>
      <c r="U127" s="2117"/>
      <c r="V127" s="2117"/>
      <c r="W127" s="2117"/>
      <c r="X127" s="2117"/>
      <c r="Y127" s="2117"/>
      <c r="Z127" s="2117"/>
      <c r="AA127" s="2117"/>
      <c r="AB127" s="2117"/>
      <c r="AC127" s="6137"/>
      <c r="AD127" s="6138"/>
      <c r="AE127" s="6137"/>
      <c r="AF127" s="6139"/>
      <c r="AG127" s="6139"/>
      <c r="AH127" s="6139"/>
      <c r="AI127" s="6139"/>
      <c r="AJ127" s="6139"/>
      <c r="AK127" s="1706"/>
      <c r="BL127" s="3546"/>
      <c r="BM127" s="3546"/>
    </row>
    <row r="128" spans="1:65" ht="15" customHeight="1">
      <c r="A128" s="1706"/>
      <c r="B128" s="2117"/>
      <c r="C128" s="3566" t="s">
        <v>2942</v>
      </c>
      <c r="D128" s="2117" t="s">
        <v>2941</v>
      </c>
      <c r="E128" s="2117"/>
      <c r="F128" s="2117"/>
      <c r="G128" s="2117"/>
      <c r="H128" s="2117"/>
      <c r="I128" s="2117"/>
      <c r="J128" s="2117"/>
      <c r="K128" s="2117"/>
      <c r="L128" s="2117"/>
      <c r="M128" s="2117"/>
      <c r="N128" s="2117"/>
      <c r="O128" s="2117"/>
      <c r="P128" s="2117"/>
      <c r="Q128" s="2117"/>
      <c r="R128" s="2117"/>
      <c r="S128" s="2117"/>
      <c r="T128" s="2117"/>
      <c r="U128" s="2117"/>
      <c r="V128" s="2117"/>
      <c r="W128" s="2117"/>
      <c r="X128" s="2117"/>
      <c r="Y128" s="2117"/>
      <c r="Z128" s="2117"/>
      <c r="AA128" s="2117"/>
      <c r="AB128" s="2117"/>
      <c r="AC128" s="6135">
        <v>25</v>
      </c>
      <c r="AD128" s="4722"/>
      <c r="AE128" s="6136"/>
      <c r="AF128" s="6136"/>
      <c r="AG128" s="6136"/>
      <c r="AH128" s="6136"/>
      <c r="AI128" s="6136"/>
      <c r="AJ128" s="6136"/>
      <c r="AK128" s="1706"/>
      <c r="BL128" s="3546"/>
      <c r="BM128" s="3546"/>
    </row>
    <row r="129" spans="1:74" ht="15" customHeight="1" thickBot="1">
      <c r="A129" s="1706"/>
      <c r="B129" s="2117"/>
      <c r="C129" s="3566" t="s">
        <v>2943</v>
      </c>
      <c r="D129" s="2611" t="s">
        <v>2944</v>
      </c>
      <c r="E129" s="2117"/>
      <c r="F129" s="2117"/>
      <c r="G129" s="2117"/>
      <c r="H129" s="2117"/>
      <c r="I129" s="2117"/>
      <c r="J129" s="2117"/>
      <c r="K129" s="2117"/>
      <c r="L129" s="2117"/>
      <c r="M129" s="2117"/>
      <c r="N129" s="2117"/>
      <c r="O129" s="2117"/>
      <c r="P129" s="2117"/>
      <c r="Q129" s="2117"/>
      <c r="R129" s="2117"/>
      <c r="S129" s="2117"/>
      <c r="T129" s="2117"/>
      <c r="U129" s="2609" t="str">
        <f>"This is your "&amp;TaxYear</f>
        <v>This is your 2016</v>
      </c>
      <c r="V129" s="2117"/>
      <c r="W129" s="2117"/>
      <c r="X129" s="2117"/>
      <c r="Y129" s="2117"/>
      <c r="Z129" s="2117"/>
      <c r="AA129" s="2117"/>
      <c r="AB129" s="2117"/>
      <c r="AC129" s="6137"/>
      <c r="AD129" s="6138"/>
      <c r="AE129" s="6137"/>
      <c r="AF129" s="6139"/>
      <c r="AG129" s="6139"/>
      <c r="AH129" s="6139"/>
      <c r="AI129" s="6139"/>
      <c r="AJ129" s="6139"/>
      <c r="AK129" s="1706"/>
      <c r="AM129" s="3582" t="s">
        <v>150</v>
      </c>
      <c r="BL129" s="3546"/>
      <c r="BM129" s="3546"/>
    </row>
    <row r="130" spans="1:74" ht="15" customHeight="1" thickBot="1">
      <c r="A130" s="1706"/>
      <c r="B130" s="2117"/>
      <c r="C130" s="3566"/>
      <c r="D130" s="2609" t="s">
        <v>2945</v>
      </c>
      <c r="E130" s="2117"/>
      <c r="F130" s="2117"/>
      <c r="G130" s="2117"/>
      <c r="H130" s="2117"/>
      <c r="I130" s="2117"/>
      <c r="J130" s="2117"/>
      <c r="K130" s="2117"/>
      <c r="L130" s="2117"/>
      <c r="M130" s="2117"/>
      <c r="N130" s="2117"/>
      <c r="O130" s="2117"/>
      <c r="P130" s="2117"/>
      <c r="Q130" s="2117"/>
      <c r="R130" s="2117"/>
      <c r="S130" s="2117"/>
      <c r="T130" s="2117"/>
      <c r="U130" s="2117"/>
      <c r="V130" s="2117"/>
      <c r="W130" s="2117"/>
      <c r="X130" s="2117"/>
      <c r="Y130" s="2117"/>
      <c r="Z130" s="2117"/>
      <c r="AA130" s="2735" t="s">
        <v>1158</v>
      </c>
      <c r="AB130" s="3593"/>
      <c r="AC130" s="6219">
        <v>26</v>
      </c>
      <c r="AD130" s="4725"/>
      <c r="AE130" s="6224">
        <f>IF(AM130&lt;&gt;"",ROUND(AM130,0),ROUND(SUM(AE126,-AE128),0))</f>
        <v>0</v>
      </c>
      <c r="AF130" s="6224"/>
      <c r="AG130" s="6224"/>
      <c r="AH130" s="6224"/>
      <c r="AI130" s="6224"/>
      <c r="AJ130" s="6224"/>
      <c r="AK130" s="1706"/>
      <c r="AM130" s="3636"/>
      <c r="BL130" s="3546"/>
      <c r="BM130" s="3546"/>
    </row>
    <row r="131" spans="1:74" ht="13.5" thickTop="1">
      <c r="A131" s="1706"/>
      <c r="B131" s="2760"/>
      <c r="C131" s="2760"/>
      <c r="D131" s="2760"/>
      <c r="E131" s="2760"/>
      <c r="F131" s="2760"/>
      <c r="G131" s="2760"/>
      <c r="H131" s="2760"/>
      <c r="I131" s="2760"/>
      <c r="J131" s="2760"/>
      <c r="K131" s="2760"/>
      <c r="L131" s="2760"/>
      <c r="M131" s="2760"/>
      <c r="N131" s="2760"/>
      <c r="O131" s="2760"/>
      <c r="P131" s="2760"/>
      <c r="Q131" s="2760"/>
      <c r="R131" s="2760"/>
      <c r="S131" s="2760"/>
      <c r="T131" s="2760"/>
      <c r="U131" s="2760"/>
      <c r="V131" s="2760"/>
      <c r="W131" s="2760"/>
      <c r="X131" s="2760"/>
      <c r="Y131" s="2760"/>
      <c r="Z131" s="2760"/>
      <c r="AA131" s="2760"/>
      <c r="AB131" s="2760"/>
      <c r="AC131" s="2760"/>
      <c r="AD131" s="2760"/>
      <c r="AE131" s="2760"/>
      <c r="AF131" s="2760"/>
      <c r="AG131" s="2760"/>
      <c r="AH131" s="2760"/>
      <c r="AI131" s="3587"/>
      <c r="AJ131" s="3587" t="str">
        <f>"Form 2555 ("&amp;TaxYear&amp;")"</f>
        <v>Form 2555 (2016)</v>
      </c>
      <c r="AK131" s="1706"/>
      <c r="AO131" s="3553"/>
      <c r="AP131" s="3554"/>
      <c r="AQ131" s="3546"/>
      <c r="AS131" s="3555"/>
      <c r="BL131" s="3546"/>
      <c r="BM131" s="3546"/>
      <c r="BO131" s="3546"/>
      <c r="BP131" s="3546"/>
      <c r="BQ131" s="3546"/>
      <c r="BR131" s="3546"/>
      <c r="BS131" s="3546"/>
      <c r="BT131" s="3546"/>
      <c r="BU131" s="3546"/>
      <c r="BV131" s="3546"/>
    </row>
    <row r="132" spans="1:74" ht="18.75" thickBot="1">
      <c r="A132" s="1706"/>
      <c r="B132" s="2767" t="str">
        <f>"Form 2555 ("&amp;TaxYear&amp;")"</f>
        <v>Form 2555 (2016)</v>
      </c>
      <c r="C132" s="2767"/>
      <c r="D132" s="2767"/>
      <c r="E132" s="2767"/>
      <c r="F132" s="2767"/>
      <c r="G132" s="2767"/>
      <c r="H132" s="2767"/>
      <c r="I132" s="2767"/>
      <c r="J132" s="2767"/>
      <c r="K132" s="2767"/>
      <c r="L132" s="2767"/>
      <c r="M132" s="2767"/>
      <c r="N132" s="2767"/>
      <c r="O132" s="2767"/>
      <c r="P132" s="2767"/>
      <c r="Q132" s="2767"/>
      <c r="R132" s="2767"/>
      <c r="S132" s="2767"/>
      <c r="T132" s="2767"/>
      <c r="U132" s="2767"/>
      <c r="V132" s="2767"/>
      <c r="W132" s="2767"/>
      <c r="X132" s="2767"/>
      <c r="Y132" s="2767"/>
      <c r="Z132" s="2767"/>
      <c r="AA132" s="2767"/>
      <c r="AB132" s="2767"/>
      <c r="AC132" s="2767"/>
      <c r="AD132" s="2767"/>
      <c r="AE132" s="2767"/>
      <c r="AF132" s="2767"/>
      <c r="AG132" s="2767"/>
      <c r="AH132" s="2767"/>
      <c r="AI132" s="3573" t="s">
        <v>330</v>
      </c>
      <c r="AJ132" s="3574">
        <v>3</v>
      </c>
      <c r="AK132" s="1706"/>
      <c r="AO132" s="3553"/>
      <c r="AP132" s="3554"/>
      <c r="AQ132" s="3546"/>
      <c r="AS132" s="3555"/>
      <c r="BL132" s="3546"/>
      <c r="BM132" s="3546"/>
      <c r="BO132" s="3546"/>
      <c r="BP132" s="3546"/>
      <c r="BQ132" s="3546"/>
      <c r="BR132" s="3546"/>
      <c r="BS132" s="3546"/>
      <c r="BT132" s="3546"/>
      <c r="BU132" s="3546"/>
      <c r="BV132" s="3546"/>
    </row>
    <row r="133" spans="1:74" ht="5.25" customHeight="1" thickTop="1">
      <c r="A133" s="1706"/>
      <c r="B133" s="3525"/>
      <c r="C133" s="3525"/>
      <c r="D133" s="3525"/>
      <c r="E133" s="3525"/>
      <c r="F133" s="3525"/>
      <c r="G133" s="3525"/>
      <c r="H133" s="3525"/>
      <c r="I133" s="3525"/>
      <c r="J133" s="3525"/>
      <c r="K133" s="3525"/>
      <c r="L133" s="3525"/>
      <c r="M133" s="3525"/>
      <c r="N133" s="3525"/>
      <c r="O133" s="3525"/>
      <c r="P133" s="3525"/>
      <c r="Q133" s="3525"/>
      <c r="R133" s="3525"/>
      <c r="S133" s="3525"/>
      <c r="T133" s="3525"/>
      <c r="U133" s="3525"/>
      <c r="V133" s="3525"/>
      <c r="W133" s="3525"/>
      <c r="X133" s="3525"/>
      <c r="Y133" s="3525"/>
      <c r="Z133" s="3525"/>
      <c r="AA133" s="3525"/>
      <c r="AB133" s="3525"/>
      <c r="AC133" s="3525"/>
      <c r="AD133" s="3525"/>
      <c r="AE133" s="3525"/>
      <c r="AF133" s="3525"/>
      <c r="AG133" s="3525"/>
      <c r="AH133" s="3525"/>
      <c r="AI133" s="3525"/>
      <c r="AJ133" s="3525"/>
      <c r="AK133" s="1706"/>
    </row>
    <row r="134" spans="1:74" ht="15" customHeight="1">
      <c r="A134" s="1706"/>
      <c r="B134" s="6121" t="s">
        <v>202</v>
      </c>
      <c r="C134" s="5423"/>
      <c r="D134" s="3531" t="s">
        <v>2900</v>
      </c>
      <c r="E134" s="3529"/>
      <c r="F134" s="3529"/>
      <c r="G134" s="3529"/>
      <c r="H134" s="3529"/>
      <c r="I134" s="3529"/>
      <c r="J134" s="3529"/>
      <c r="K134" s="3529"/>
      <c r="L134" s="3529"/>
      <c r="M134" s="3529"/>
      <c r="N134" s="3529"/>
      <c r="O134" s="3529"/>
      <c r="P134" s="3529"/>
      <c r="Q134" s="3529"/>
      <c r="R134" s="3529"/>
      <c r="S134" s="3529"/>
      <c r="T134" s="3529"/>
      <c r="U134" s="3529"/>
      <c r="V134" s="3529"/>
      <c r="W134" s="3529"/>
      <c r="X134" s="3529"/>
      <c r="Y134" s="3529"/>
      <c r="Z134" s="3529"/>
      <c r="AA134" s="3529"/>
      <c r="AB134" s="3529"/>
      <c r="AC134" s="3529"/>
      <c r="AD134" s="3529"/>
      <c r="AE134" s="3529"/>
      <c r="AF134" s="3529"/>
      <c r="AG134" s="3529"/>
      <c r="AH134" s="3529"/>
      <c r="AI134" s="3529"/>
      <c r="AJ134" s="3529"/>
      <c r="AK134" s="1706"/>
    </row>
    <row r="135" spans="1:74" ht="6" customHeight="1">
      <c r="A135" s="1706"/>
      <c r="B135" s="3530"/>
      <c r="C135" s="3530"/>
      <c r="D135" s="3530"/>
      <c r="E135" s="3530"/>
      <c r="F135" s="3530"/>
      <c r="G135" s="3530"/>
      <c r="H135" s="3530"/>
      <c r="I135" s="3530"/>
      <c r="J135" s="3530"/>
      <c r="K135" s="3530"/>
      <c r="L135" s="3530"/>
      <c r="M135" s="3530"/>
      <c r="N135" s="3530"/>
      <c r="O135" s="3530"/>
      <c r="P135" s="3530"/>
      <c r="Q135" s="3530"/>
      <c r="R135" s="3530"/>
      <c r="S135" s="3530"/>
      <c r="T135" s="3530"/>
      <c r="U135" s="3530"/>
      <c r="V135" s="3530"/>
      <c r="W135" s="3530"/>
      <c r="X135" s="3530"/>
      <c r="Y135" s="3530"/>
      <c r="Z135" s="3530"/>
      <c r="AA135" s="3530"/>
      <c r="AB135" s="3530"/>
      <c r="AC135" s="3530"/>
      <c r="AD135" s="3530"/>
      <c r="AE135" s="3530"/>
      <c r="AF135" s="3530"/>
      <c r="AG135" s="3530"/>
      <c r="AH135" s="3530"/>
      <c r="AI135" s="3530"/>
      <c r="AJ135" s="3530"/>
      <c r="AK135" s="1706"/>
    </row>
    <row r="136" spans="1:74" ht="15" customHeight="1">
      <c r="A136" s="1706"/>
      <c r="B136" s="2117"/>
      <c r="C136" s="2117"/>
      <c r="D136" s="2117"/>
      <c r="E136" s="2117"/>
      <c r="F136" s="2117"/>
      <c r="G136" s="2117"/>
      <c r="H136" s="2117"/>
      <c r="I136" s="2117"/>
      <c r="J136" s="2117"/>
      <c r="K136" s="2117"/>
      <c r="L136" s="2117"/>
      <c r="M136" s="2117"/>
      <c r="N136" s="2117"/>
      <c r="O136" s="2117"/>
      <c r="P136" s="2117"/>
      <c r="Q136" s="2117"/>
      <c r="R136" s="2117"/>
      <c r="S136" s="2117"/>
      <c r="T136" s="2117"/>
      <c r="U136" s="2117"/>
      <c r="V136" s="2117"/>
      <c r="W136" s="2117"/>
      <c r="X136" s="2117"/>
      <c r="Y136" s="2117"/>
      <c r="Z136" s="2117"/>
      <c r="AA136" s="2117"/>
      <c r="AB136" s="2117"/>
      <c r="AC136" s="6137"/>
      <c r="AD136" s="6138"/>
      <c r="AE136" s="6137"/>
      <c r="AF136" s="6139"/>
      <c r="AG136" s="6139"/>
      <c r="AH136" s="6139"/>
      <c r="AI136" s="6139"/>
      <c r="AJ136" s="6139"/>
      <c r="AK136" s="1706"/>
      <c r="BL136" s="3546"/>
      <c r="BM136" s="3546"/>
    </row>
    <row r="137" spans="1:74" ht="15" customHeight="1">
      <c r="A137" s="1706"/>
      <c r="B137" s="2117"/>
      <c r="C137" s="3566" t="s">
        <v>2946</v>
      </c>
      <c r="D137" s="2611" t="s">
        <v>2947</v>
      </c>
      <c r="E137" s="2117"/>
      <c r="F137" s="2117"/>
      <c r="G137" s="2117"/>
      <c r="H137" s="2117"/>
      <c r="I137" s="2117"/>
      <c r="J137" s="2117"/>
      <c r="K137" s="2117"/>
      <c r="L137" s="2117"/>
      <c r="M137" s="2117"/>
      <c r="N137" s="2117"/>
      <c r="O137" s="2117"/>
      <c r="P137" s="2117"/>
      <c r="Q137" s="2117"/>
      <c r="R137" s="2117"/>
      <c r="S137" s="2117"/>
      <c r="T137" s="2117"/>
      <c r="U137" s="2117"/>
      <c r="V137" s="2117"/>
      <c r="W137" s="2117"/>
      <c r="X137" s="2117"/>
      <c r="Y137" s="2117"/>
      <c r="Z137" s="2117"/>
      <c r="AA137" s="2117"/>
      <c r="AB137" s="2476" t="s">
        <v>1158</v>
      </c>
      <c r="AC137" s="6135">
        <v>27</v>
      </c>
      <c r="AD137" s="4722"/>
      <c r="AE137" s="6224">
        <f>ForeignEarnedIncome</f>
        <v>0</v>
      </c>
      <c r="AF137" s="6224"/>
      <c r="AG137" s="6224"/>
      <c r="AH137" s="6224"/>
      <c r="AI137" s="6224"/>
      <c r="AJ137" s="6224"/>
      <c r="AK137" s="1706"/>
      <c r="BL137" s="3546"/>
      <c r="BM137" s="3546"/>
    </row>
    <row r="138" spans="1:74" ht="16.5" customHeight="1" thickBot="1">
      <c r="A138" s="1706"/>
      <c r="B138" s="2117"/>
      <c r="C138" s="2117"/>
      <c r="D138" s="3588" t="s">
        <v>2948</v>
      </c>
      <c r="E138" s="2117"/>
      <c r="F138" s="2117"/>
      <c r="G138" s="2117"/>
      <c r="H138" s="2117"/>
      <c r="I138" s="2117"/>
      <c r="J138" s="2117"/>
      <c r="K138" s="2117"/>
      <c r="L138" s="2117"/>
      <c r="M138" s="2117"/>
      <c r="N138" s="2117"/>
      <c r="O138" s="2117"/>
      <c r="P138" s="2117"/>
      <c r="Q138" s="2117"/>
      <c r="R138" s="2117"/>
      <c r="S138" s="2117"/>
      <c r="T138" s="2117"/>
      <c r="U138" s="2117"/>
      <c r="V138" s="2117"/>
      <c r="W138" s="2117"/>
      <c r="X138" s="2117"/>
      <c r="Y138" s="2117"/>
      <c r="Z138" s="2117"/>
      <c r="AA138" s="2117"/>
      <c r="AB138" s="2117"/>
      <c r="AC138" s="2117"/>
      <c r="AD138" s="2117"/>
      <c r="AE138" s="2117"/>
      <c r="AF138" s="2117"/>
      <c r="AG138" s="2117"/>
      <c r="AH138" s="2117"/>
      <c r="AI138" s="2117"/>
      <c r="AJ138" s="2117"/>
      <c r="AK138" s="1706"/>
      <c r="BL138" s="3546"/>
      <c r="BM138" s="3546"/>
    </row>
    <row r="139" spans="1:74" ht="15" customHeight="1" thickBot="1">
      <c r="A139" s="1706"/>
      <c r="B139" s="2610"/>
      <c r="C139" s="2117"/>
      <c r="D139" s="2121"/>
      <c r="E139" s="2611" t="s">
        <v>2949</v>
      </c>
      <c r="F139" s="2117"/>
      <c r="G139" s="2117"/>
      <c r="H139" s="2117"/>
      <c r="I139" s="2117"/>
      <c r="J139" s="2117"/>
      <c r="K139" s="2612"/>
      <c r="L139" s="2117"/>
      <c r="M139" s="2117"/>
      <c r="N139" s="2117"/>
      <c r="O139" s="2117"/>
      <c r="P139" s="2117"/>
      <c r="Q139" s="2117"/>
      <c r="R139" s="2117"/>
      <c r="S139" s="2117"/>
      <c r="T139" s="2117"/>
      <c r="U139" s="2117"/>
      <c r="V139" s="2117"/>
      <c r="W139" s="2117"/>
      <c r="X139" s="2117"/>
      <c r="Y139" s="2117"/>
      <c r="Z139" s="2117"/>
      <c r="AA139" s="2117"/>
      <c r="AB139" s="2117"/>
      <c r="AC139" s="2117"/>
      <c r="AD139" s="2117"/>
      <c r="AE139" s="2117"/>
      <c r="AF139" s="2117"/>
      <c r="AG139" s="2117"/>
      <c r="AH139" s="2117"/>
      <c r="AI139" s="2117"/>
      <c r="AJ139" s="2117"/>
      <c r="AK139" s="1706"/>
      <c r="BL139" s="3546"/>
      <c r="BM139" s="3546"/>
    </row>
    <row r="140" spans="1:74" ht="4.5" customHeight="1" thickBot="1">
      <c r="A140" s="1706"/>
      <c r="B140" s="2117"/>
      <c r="C140" s="2117"/>
      <c r="D140" s="2117"/>
      <c r="E140" s="2117"/>
      <c r="F140" s="2117"/>
      <c r="G140" s="2117"/>
      <c r="H140" s="2117"/>
      <c r="I140" s="2117"/>
      <c r="J140" s="2117"/>
      <c r="K140" s="2117"/>
      <c r="L140" s="2117"/>
      <c r="M140" s="2117"/>
      <c r="N140" s="2117"/>
      <c r="O140" s="2117"/>
      <c r="P140" s="2117"/>
      <c r="Q140" s="2117"/>
      <c r="R140" s="2117"/>
      <c r="S140" s="2117"/>
      <c r="T140" s="2117"/>
      <c r="U140" s="2117"/>
      <c r="V140" s="2117"/>
      <c r="W140" s="2117"/>
      <c r="X140" s="2117"/>
      <c r="Y140" s="2117"/>
      <c r="Z140" s="2117"/>
      <c r="AA140" s="2117"/>
      <c r="AB140" s="2117"/>
      <c r="AC140" s="2117"/>
      <c r="AD140" s="2117"/>
      <c r="AE140" s="2117"/>
      <c r="AF140" s="2117"/>
      <c r="AG140" s="2117"/>
      <c r="AH140" s="2117"/>
      <c r="AI140" s="2117"/>
      <c r="AJ140" s="2117"/>
      <c r="AK140" s="1706"/>
      <c r="BL140" s="3546"/>
      <c r="BM140" s="3546"/>
    </row>
    <row r="141" spans="1:74" ht="15" customHeight="1" thickBot="1">
      <c r="A141" s="1706"/>
      <c r="B141" s="2610"/>
      <c r="C141" s="2117"/>
      <c r="D141" s="3648" t="str">
        <f>IF(D139="","X","")</f>
        <v>X</v>
      </c>
      <c r="E141" s="2611" t="s">
        <v>2950</v>
      </c>
      <c r="F141" s="2117"/>
      <c r="G141" s="2117"/>
      <c r="H141" s="2117"/>
      <c r="I141" s="2117"/>
      <c r="J141" s="2117"/>
      <c r="K141" s="2117"/>
      <c r="L141" s="2117"/>
      <c r="M141" s="2117"/>
      <c r="N141" s="2117"/>
      <c r="O141" s="2117"/>
      <c r="P141" s="2117"/>
      <c r="Q141" s="2117"/>
      <c r="R141" s="2117"/>
      <c r="S141" s="2117"/>
      <c r="T141" s="2117"/>
      <c r="U141" s="2117"/>
      <c r="V141" s="2117"/>
      <c r="W141" s="2117"/>
      <c r="X141" s="2117"/>
      <c r="Y141" s="2117"/>
      <c r="Z141" s="2117"/>
      <c r="AA141" s="2117"/>
      <c r="AB141" s="2117"/>
      <c r="AC141" s="2117"/>
      <c r="AD141" s="2117"/>
      <c r="AE141" s="2117"/>
      <c r="AF141" s="2117"/>
      <c r="AG141" s="2117"/>
      <c r="AH141" s="2117"/>
      <c r="AI141" s="2117"/>
      <c r="AJ141" s="2117"/>
      <c r="AK141" s="1706"/>
      <c r="BL141" s="3546"/>
      <c r="BM141" s="3546"/>
    </row>
    <row r="142" spans="1:74" ht="6.75" customHeight="1">
      <c r="A142" s="1706"/>
      <c r="B142" s="3530"/>
      <c r="C142" s="3530"/>
      <c r="D142" s="3530"/>
      <c r="E142" s="3530"/>
      <c r="F142" s="3530"/>
      <c r="G142" s="3530"/>
      <c r="H142" s="3530"/>
      <c r="I142" s="3530"/>
      <c r="J142" s="3530"/>
      <c r="K142" s="3530"/>
      <c r="L142" s="3530"/>
      <c r="M142" s="3530"/>
      <c r="N142" s="3530"/>
      <c r="O142" s="3530"/>
      <c r="P142" s="3530"/>
      <c r="Q142" s="3530"/>
      <c r="R142" s="3530"/>
      <c r="S142" s="3530"/>
      <c r="T142" s="3530"/>
      <c r="U142" s="3530"/>
      <c r="V142" s="3530"/>
      <c r="W142" s="3530"/>
      <c r="X142" s="3530"/>
      <c r="Y142" s="3530"/>
      <c r="Z142" s="3530"/>
      <c r="AA142" s="3530"/>
      <c r="AB142" s="3530"/>
      <c r="AC142" s="3530"/>
      <c r="AD142" s="3530"/>
      <c r="AE142" s="3530"/>
      <c r="AF142" s="3530"/>
      <c r="AG142" s="3530"/>
      <c r="AH142" s="3530"/>
      <c r="AI142" s="3530"/>
      <c r="AJ142" s="3530"/>
      <c r="AK142" s="1706"/>
    </row>
    <row r="143" spans="1:74" ht="6.75" customHeight="1">
      <c r="A143" s="1706"/>
      <c r="B143" s="3525"/>
      <c r="C143" s="3525"/>
      <c r="D143" s="3525"/>
      <c r="E143" s="3525"/>
      <c r="F143" s="3525"/>
      <c r="G143" s="3525"/>
      <c r="H143" s="3525"/>
      <c r="I143" s="3525"/>
      <c r="J143" s="3525"/>
      <c r="K143" s="3525"/>
      <c r="L143" s="3525"/>
      <c r="M143" s="3525"/>
      <c r="N143" s="3525"/>
      <c r="O143" s="3525"/>
      <c r="P143" s="3525"/>
      <c r="Q143" s="3525"/>
      <c r="R143" s="3525"/>
      <c r="S143" s="3525"/>
      <c r="T143" s="3525"/>
      <c r="U143" s="3525"/>
      <c r="V143" s="3525"/>
      <c r="W143" s="3525"/>
      <c r="X143" s="3525"/>
      <c r="Y143" s="3525"/>
      <c r="Z143" s="3525"/>
      <c r="AA143" s="3525"/>
      <c r="AB143" s="3525"/>
      <c r="AC143" s="3525"/>
      <c r="AD143" s="3525"/>
      <c r="AE143" s="3525"/>
      <c r="AF143" s="3525"/>
      <c r="AG143" s="3525"/>
      <c r="AH143" s="3525"/>
      <c r="AI143" s="3525"/>
      <c r="AJ143" s="3525"/>
      <c r="AK143" s="1706"/>
    </row>
    <row r="144" spans="1:74" ht="15" customHeight="1">
      <c r="A144" s="1706"/>
      <c r="B144" s="6121" t="s">
        <v>3078</v>
      </c>
      <c r="C144" s="5423"/>
      <c r="D144" s="3531" t="s">
        <v>2951</v>
      </c>
      <c r="E144" s="3529"/>
      <c r="F144" s="3529"/>
      <c r="G144" s="3529"/>
      <c r="H144" s="3529"/>
      <c r="I144" s="3529"/>
      <c r="J144" s="3529"/>
      <c r="K144" s="3529"/>
      <c r="L144" s="3529"/>
      <c r="M144" s="3529"/>
      <c r="N144" s="3529"/>
      <c r="O144" s="3529"/>
      <c r="P144" s="3529"/>
      <c r="Q144" s="3529"/>
      <c r="R144" s="3529"/>
      <c r="S144" s="3529"/>
      <c r="T144" s="3529"/>
      <c r="U144" s="3529"/>
      <c r="V144" s="3529"/>
      <c r="W144" s="3529"/>
      <c r="X144" s="3529"/>
      <c r="Y144" s="3529"/>
      <c r="Z144" s="3529"/>
      <c r="AA144" s="3529"/>
      <c r="AB144" s="3529"/>
      <c r="AC144" s="3529"/>
      <c r="AD144" s="3529"/>
      <c r="AE144" s="3529"/>
      <c r="AF144" s="3529"/>
      <c r="AG144" s="3529"/>
      <c r="AH144" s="3529"/>
      <c r="AI144" s="3529"/>
      <c r="AJ144" s="3529"/>
      <c r="AK144" s="1706"/>
    </row>
    <row r="145" spans="1:65" ht="6" customHeight="1">
      <c r="A145" s="1706"/>
      <c r="B145" s="3530"/>
      <c r="C145" s="3530"/>
      <c r="D145" s="3530"/>
      <c r="E145" s="3530"/>
      <c r="F145" s="3530"/>
      <c r="G145" s="3530"/>
      <c r="H145" s="3530"/>
      <c r="I145" s="3530"/>
      <c r="J145" s="3530"/>
      <c r="K145" s="3530"/>
      <c r="L145" s="3530"/>
      <c r="M145" s="3530"/>
      <c r="N145" s="3530"/>
      <c r="O145" s="3530"/>
      <c r="P145" s="3530"/>
      <c r="Q145" s="3530"/>
      <c r="R145" s="3530"/>
      <c r="S145" s="3530"/>
      <c r="T145" s="3530"/>
      <c r="U145" s="3530"/>
      <c r="V145" s="3530"/>
      <c r="W145" s="3530"/>
      <c r="X145" s="3530"/>
      <c r="Y145" s="3530"/>
      <c r="Z145" s="3530"/>
      <c r="AA145" s="3530"/>
      <c r="AB145" s="3530"/>
      <c r="AC145" s="3530"/>
      <c r="AD145" s="3530"/>
      <c r="AE145" s="3530"/>
      <c r="AF145" s="3530"/>
      <c r="AG145" s="3530"/>
      <c r="AH145" s="3530"/>
      <c r="AI145" s="3530"/>
      <c r="AJ145" s="3530"/>
      <c r="AK145" s="1706"/>
    </row>
    <row r="146" spans="1:65" ht="15" customHeight="1">
      <c r="A146" s="1706"/>
      <c r="B146" s="2117"/>
      <c r="C146" s="2117"/>
      <c r="D146" s="2117"/>
      <c r="E146" s="2117"/>
      <c r="F146" s="2117"/>
      <c r="G146" s="2117"/>
      <c r="H146" s="2117"/>
      <c r="I146" s="2117"/>
      <c r="J146" s="2117"/>
      <c r="K146" s="2117"/>
      <c r="L146" s="2117"/>
      <c r="M146" s="2117"/>
      <c r="N146" s="2117"/>
      <c r="O146" s="2117"/>
      <c r="P146" s="2117"/>
      <c r="Q146" s="2117"/>
      <c r="R146" s="2117"/>
      <c r="S146" s="2117"/>
      <c r="T146" s="2117"/>
      <c r="U146" s="2117"/>
      <c r="V146" s="2117"/>
      <c r="W146" s="2117"/>
      <c r="X146" s="2117"/>
      <c r="Y146" s="2117"/>
      <c r="Z146" s="2117"/>
      <c r="AA146" s="2117"/>
      <c r="AB146" s="2117"/>
      <c r="AC146" s="6137"/>
      <c r="AD146" s="6138"/>
      <c r="AE146" s="6137"/>
      <c r="AF146" s="6139"/>
      <c r="AG146" s="6139"/>
      <c r="AH146" s="6139"/>
      <c r="AI146" s="6139"/>
      <c r="AJ146" s="6139"/>
      <c r="AK146" s="1706"/>
      <c r="BL146" s="3546"/>
      <c r="BM146" s="3546"/>
    </row>
    <row r="147" spans="1:65" ht="15" customHeight="1">
      <c r="A147" s="1706"/>
      <c r="B147" s="2117"/>
      <c r="C147" s="3566" t="s">
        <v>2263</v>
      </c>
      <c r="D147" s="2117" t="s">
        <v>2952</v>
      </c>
      <c r="E147" s="2117"/>
      <c r="F147" s="2117"/>
      <c r="G147" s="2117"/>
      <c r="H147" s="2117"/>
      <c r="I147" s="2117"/>
      <c r="J147" s="2117"/>
      <c r="K147" s="2117"/>
      <c r="L147" s="2117"/>
      <c r="M147" s="2117"/>
      <c r="N147" s="2117"/>
      <c r="O147" s="2117"/>
      <c r="P147" s="2117"/>
      <c r="Q147" s="2117"/>
      <c r="R147" s="2117"/>
      <c r="S147" s="2117"/>
      <c r="T147" s="2117"/>
      <c r="U147" s="2117"/>
      <c r="V147" s="2117"/>
      <c r="W147" s="2117"/>
      <c r="X147" s="2117"/>
      <c r="Y147" s="2117"/>
      <c r="Z147" s="2117"/>
      <c r="AA147" s="2117"/>
      <c r="AB147" s="2476" t="s">
        <v>596</v>
      </c>
      <c r="AC147" s="6135">
        <v>28</v>
      </c>
      <c r="AD147" s="4722"/>
      <c r="AE147" s="6136"/>
      <c r="AF147" s="6136"/>
      <c r="AG147" s="6136"/>
      <c r="AH147" s="6136"/>
      <c r="AI147" s="6136"/>
      <c r="AJ147" s="6136"/>
      <c r="AK147" s="1706"/>
      <c r="BL147" s="3546"/>
      <c r="BM147" s="3546"/>
    </row>
    <row r="148" spans="1:65" ht="15" customHeight="1">
      <c r="A148" s="1706"/>
      <c r="B148" s="2117"/>
      <c r="C148" s="3566" t="s">
        <v>2954</v>
      </c>
      <c r="D148" s="2117" t="s">
        <v>2953</v>
      </c>
      <c r="E148" s="2117"/>
      <c r="F148" s="2117"/>
      <c r="G148" s="2117"/>
      <c r="H148" s="2117"/>
      <c r="I148" s="2117"/>
      <c r="J148" s="2117"/>
      <c r="K148" s="2117"/>
      <c r="L148" s="2117"/>
      <c r="M148" s="2117"/>
      <c r="N148" s="2117"/>
      <c r="O148" s="2117"/>
      <c r="P148" s="2117"/>
      <c r="Q148" s="2117"/>
      <c r="R148" s="2117"/>
      <c r="S148" s="2117"/>
      <c r="T148" s="6245"/>
      <c r="U148" s="6246"/>
      <c r="V148" s="6246"/>
      <c r="W148" s="6246"/>
      <c r="X148" s="6246"/>
      <c r="Y148" s="6246"/>
      <c r="Z148" s="6246"/>
      <c r="AA148" s="6246"/>
      <c r="AB148" s="2117"/>
      <c r="AC148" s="6233"/>
      <c r="AD148" s="6234"/>
      <c r="AE148" s="6137"/>
      <c r="AF148" s="6139"/>
      <c r="AG148" s="6139"/>
      <c r="AH148" s="6139"/>
      <c r="AI148" s="6139"/>
      <c r="AJ148" s="6139"/>
      <c r="AK148" s="1706"/>
      <c r="BL148" s="3546"/>
      <c r="BM148" s="3546"/>
    </row>
    <row r="149" spans="1:65" ht="15" customHeight="1" thickBot="1">
      <c r="A149" s="1706"/>
      <c r="B149" s="2117"/>
      <c r="C149" s="3566" t="s">
        <v>2838</v>
      </c>
      <c r="D149" s="2117" t="s">
        <v>2955</v>
      </c>
      <c r="E149" s="2117"/>
      <c r="F149" s="2117"/>
      <c r="G149" s="2117"/>
      <c r="H149" s="2117"/>
      <c r="I149" s="2117"/>
      <c r="J149" s="2117"/>
      <c r="K149" s="2117"/>
      <c r="L149" s="2117"/>
      <c r="M149" s="2117"/>
      <c r="N149" s="2117"/>
      <c r="O149" s="2117"/>
      <c r="P149" s="2117"/>
      <c r="Q149" s="2117"/>
      <c r="R149" s="2117"/>
      <c r="S149" s="2117"/>
      <c r="T149" s="2117"/>
      <c r="U149" s="2117"/>
      <c r="V149" s="2117"/>
      <c r="W149" s="2117"/>
      <c r="X149" s="2117"/>
      <c r="Y149" s="2117"/>
      <c r="Z149" s="2117"/>
      <c r="AA149" s="2117"/>
      <c r="AB149" s="2476" t="s">
        <v>1875</v>
      </c>
      <c r="AC149" s="6135" t="s">
        <v>2956</v>
      </c>
      <c r="AD149" s="4722"/>
      <c r="AE149" s="6136"/>
      <c r="AF149" s="6136"/>
      <c r="AG149" s="6136"/>
      <c r="AH149" s="6136"/>
      <c r="AI149" s="6136"/>
      <c r="AJ149" s="6136"/>
      <c r="AK149" s="1706"/>
      <c r="AM149" s="3582" t="s">
        <v>150</v>
      </c>
      <c r="BL149" s="3546"/>
      <c r="BM149" s="3546"/>
    </row>
    <row r="150" spans="1:65" ht="15" customHeight="1" thickBot="1">
      <c r="A150" s="1706"/>
      <c r="B150" s="2117"/>
      <c r="C150" s="3566" t="s">
        <v>2271</v>
      </c>
      <c r="D150" s="2611" t="s">
        <v>3211</v>
      </c>
      <c r="E150" s="2117"/>
      <c r="F150" s="2117"/>
      <c r="G150" s="2117"/>
      <c r="H150" s="2117"/>
      <c r="I150" s="2117"/>
      <c r="J150" s="2117"/>
      <c r="K150" s="2117"/>
      <c r="L150" s="2117"/>
      <c r="M150" s="2117"/>
      <c r="N150" s="2117"/>
      <c r="O150" s="2117"/>
      <c r="P150" s="2117"/>
      <c r="Q150" s="2117"/>
      <c r="R150" s="2117"/>
      <c r="S150" s="2117"/>
      <c r="T150" s="2117"/>
      <c r="U150" s="2117"/>
      <c r="V150" s="2117"/>
      <c r="W150" s="2117"/>
      <c r="X150" s="2117"/>
      <c r="Y150" s="2117"/>
      <c r="Z150" s="2117"/>
      <c r="AA150" s="2117"/>
      <c r="AB150" s="2476" t="s">
        <v>1157</v>
      </c>
      <c r="AC150" s="6135">
        <v>30</v>
      </c>
      <c r="AD150" s="4722"/>
      <c r="AE150" s="6224" t="str">
        <f>IF(AM150&lt;&gt;"",AM150,IF(D139="","",IF(AE147&lt;&gt;"",MIN(AE149,AE147),0)))</f>
        <v/>
      </c>
      <c r="AF150" s="6224"/>
      <c r="AG150" s="6224"/>
      <c r="AH150" s="6224"/>
      <c r="AI150" s="6224"/>
      <c r="AJ150" s="6224"/>
      <c r="AK150" s="1706"/>
      <c r="AM150" s="3636"/>
      <c r="BL150" s="3546"/>
      <c r="BM150" s="3546"/>
    </row>
    <row r="151" spans="1:65" ht="15" customHeight="1" thickBot="1">
      <c r="A151" s="1706"/>
      <c r="B151" s="2117"/>
      <c r="C151" s="3566" t="s">
        <v>2276</v>
      </c>
      <c r="D151" s="2611" t="str">
        <f>"Number of days in your qualifying period that fall within your "&amp;TaxYear&amp;" tax"</f>
        <v>Number of days in your qualifying period that fall within your 2016 tax</v>
      </c>
      <c r="E151" s="2117"/>
      <c r="F151" s="2117"/>
      <c r="G151" s="2117"/>
      <c r="H151" s="2117"/>
      <c r="I151" s="2117"/>
      <c r="J151" s="2117"/>
      <c r="K151" s="2117"/>
      <c r="L151" s="2117"/>
      <c r="M151" s="2117"/>
      <c r="N151" s="2117"/>
      <c r="O151" s="2117"/>
      <c r="P151" s="2117"/>
      <c r="Q151" s="2117"/>
      <c r="R151" s="2117"/>
      <c r="S151" s="2117"/>
      <c r="T151" s="2117"/>
      <c r="U151" s="6219"/>
      <c r="V151" s="6225"/>
      <c r="W151" s="3824"/>
      <c r="X151" s="3825"/>
      <c r="Y151" s="3825"/>
      <c r="Z151" s="3825"/>
      <c r="AA151" s="6220"/>
      <c r="AB151" s="6225"/>
      <c r="AC151" s="2117"/>
      <c r="AD151" s="2117"/>
      <c r="AE151" s="6230">
        <v>44.28</v>
      </c>
      <c r="AF151" s="5595"/>
      <c r="AG151" s="5595"/>
      <c r="AH151" s="5595"/>
      <c r="AI151" s="5595"/>
      <c r="AJ151" s="5595"/>
      <c r="AK151" s="1706"/>
      <c r="BL151" s="3546"/>
      <c r="BM151" s="3546"/>
    </row>
    <row r="152" spans="1:65" ht="15" customHeight="1" thickBot="1">
      <c r="A152" s="1706"/>
      <c r="B152" s="2117"/>
      <c r="C152" s="2117"/>
      <c r="D152" s="2117" t="s">
        <v>2957</v>
      </c>
      <c r="E152" s="2117"/>
      <c r="F152" s="2117"/>
      <c r="G152" s="2117"/>
      <c r="H152" s="2117"/>
      <c r="I152" s="2117"/>
      <c r="J152" s="2117"/>
      <c r="K152" s="2117"/>
      <c r="L152" s="2117"/>
      <c r="M152" s="2117"/>
      <c r="N152" s="2117"/>
      <c r="O152" s="2117"/>
      <c r="P152" s="2117"/>
      <c r="Q152" s="2117"/>
      <c r="R152" s="2117"/>
      <c r="S152" s="2117"/>
      <c r="T152" s="2476" t="s">
        <v>730</v>
      </c>
      <c r="U152" s="6135">
        <v>31</v>
      </c>
      <c r="V152" s="4722"/>
      <c r="W152" s="6228" t="str">
        <f>IF(D139="","",IF(AM152&lt;&gt;"",AM152,DaysInTaxYear))</f>
        <v/>
      </c>
      <c r="X152" s="6229"/>
      <c r="Y152" s="6229"/>
      <c r="Z152" s="6229"/>
      <c r="AA152" s="6226" t="s">
        <v>2958</v>
      </c>
      <c r="AB152" s="6227"/>
      <c r="AC152" s="2117"/>
      <c r="AD152" s="2117"/>
      <c r="AE152" s="6247">
        <v>16208</v>
      </c>
      <c r="AF152" s="4963"/>
      <c r="AG152" s="4963"/>
      <c r="AH152" s="4963"/>
      <c r="AI152" s="4963"/>
      <c r="AJ152" s="4963"/>
      <c r="AK152" s="1706"/>
      <c r="AM152" s="3636"/>
      <c r="BL152" s="3546"/>
      <c r="BM152" s="3546"/>
    </row>
    <row r="153" spans="1:65" ht="15" customHeight="1" thickBot="1">
      <c r="A153" s="1706"/>
      <c r="B153" s="2117"/>
      <c r="C153" s="3566" t="s">
        <v>2277</v>
      </c>
      <c r="D153" s="2117" t="str">
        <f>"Multiply "&amp;TEXT(AE151,"$0.00")&amp;" by the number of days on line 31. If "&amp;TEXT(DaysInTaxYear,"0")&amp;" is entered on line 31, enter "&amp;TEXT(AE152,"$0,000")&amp;" here"</f>
        <v>Multiply $44.28 by the number of days on line 31. If 366 is entered on line 31, enter $16,208 here</v>
      </c>
      <c r="E153" s="2117"/>
      <c r="F153" s="2117"/>
      <c r="G153" s="2117"/>
      <c r="H153" s="2117"/>
      <c r="I153" s="2117"/>
      <c r="J153" s="2117"/>
      <c r="K153" s="2117"/>
      <c r="L153" s="2117"/>
      <c r="M153" s="2117"/>
      <c r="N153" s="2117"/>
      <c r="O153" s="2117"/>
      <c r="P153" s="2117"/>
      <c r="Q153" s="2117"/>
      <c r="R153" s="2117"/>
      <c r="S153" s="2117"/>
      <c r="T153" s="2117"/>
      <c r="U153" s="2117"/>
      <c r="V153" s="2117"/>
      <c r="W153" s="2117"/>
      <c r="X153" s="2117"/>
      <c r="Y153" s="2117"/>
      <c r="Z153" s="2117"/>
      <c r="AA153" s="2117"/>
      <c r="AB153" s="2117"/>
      <c r="AC153" s="6135">
        <v>32</v>
      </c>
      <c r="AD153" s="4722"/>
      <c r="AE153" s="6224" t="str">
        <f>IF(AM153&lt;&gt;"",AM153,IF(W152&lt;&gt;"",IF(W152=DaysInTaxYear,AE152,W152*AE151),""))</f>
        <v/>
      </c>
      <c r="AF153" s="6224"/>
      <c r="AG153" s="6224"/>
      <c r="AH153" s="6224"/>
      <c r="AI153" s="6224"/>
      <c r="AJ153" s="6224"/>
      <c r="AK153" s="1706"/>
      <c r="AM153" s="3636"/>
      <c r="BL153" s="3546"/>
      <c r="BM153" s="3546"/>
    </row>
    <row r="154" spans="1:65" ht="15" customHeight="1">
      <c r="A154" s="1706"/>
      <c r="B154" s="2117"/>
      <c r="C154" s="3566" t="s">
        <v>2278</v>
      </c>
      <c r="D154" s="2611" t="s">
        <v>3010</v>
      </c>
      <c r="E154" s="2117"/>
      <c r="F154" s="2117"/>
      <c r="G154" s="2117"/>
      <c r="H154" s="2117"/>
      <c r="I154" s="2117"/>
      <c r="J154" s="2117"/>
      <c r="K154" s="2611" t="s">
        <v>3205</v>
      </c>
      <c r="L154" s="2117"/>
      <c r="M154" s="2117"/>
      <c r="N154" s="2117"/>
      <c r="O154" s="2117"/>
      <c r="P154" s="2117"/>
      <c r="Q154" s="2117"/>
      <c r="R154" s="2117"/>
      <c r="S154" s="2117"/>
      <c r="T154" s="2117"/>
      <c r="U154" s="2117"/>
      <c r="V154" s="2117"/>
      <c r="W154" s="2117"/>
      <c r="X154" s="2117"/>
      <c r="Y154" s="2117"/>
      <c r="Z154" s="2117"/>
      <c r="AA154" s="2117"/>
      <c r="AB154" s="2117"/>
      <c r="AC154" s="6137"/>
      <c r="AD154" s="6138"/>
      <c r="AE154" s="6137"/>
      <c r="AF154" s="6139"/>
      <c r="AG154" s="6139"/>
      <c r="AH154" s="6139"/>
      <c r="AI154" s="6139"/>
      <c r="AJ154" s="6139"/>
      <c r="AK154" s="1706"/>
      <c r="BL154" s="3546"/>
      <c r="BM154" s="3546"/>
    </row>
    <row r="155" spans="1:65" ht="15" customHeight="1">
      <c r="A155" s="1706"/>
      <c r="B155" s="2117"/>
      <c r="C155" s="2117"/>
      <c r="D155" s="2117" t="s">
        <v>2959</v>
      </c>
      <c r="E155" s="2117"/>
      <c r="F155" s="2117"/>
      <c r="G155" s="2117"/>
      <c r="H155" s="2117"/>
      <c r="I155" s="2117"/>
      <c r="J155" s="2117"/>
      <c r="K155" s="2117"/>
      <c r="L155" s="2117"/>
      <c r="M155" s="2117"/>
      <c r="N155" s="2117"/>
      <c r="O155" s="2117"/>
      <c r="P155" s="2117"/>
      <c r="Q155" s="2117"/>
      <c r="R155" s="2117"/>
      <c r="S155" s="2117"/>
      <c r="T155" s="2117"/>
      <c r="U155" s="2117"/>
      <c r="V155" s="2117"/>
      <c r="W155" s="2117"/>
      <c r="X155" s="2117"/>
      <c r="Y155" s="2117"/>
      <c r="Z155" s="2117"/>
      <c r="AA155" s="2117"/>
      <c r="AB155" s="2476" t="s">
        <v>1007</v>
      </c>
      <c r="AC155" s="6135">
        <v>33</v>
      </c>
      <c r="AD155" s="4722"/>
      <c r="AE155" s="6224" t="str">
        <f>IF(W152="","",SUM(AE150,-AE153))</f>
        <v/>
      </c>
      <c r="AF155" s="6224"/>
      <c r="AG155" s="6224"/>
      <c r="AH155" s="6224"/>
      <c r="AI155" s="6224"/>
      <c r="AJ155" s="6224"/>
      <c r="AK155" s="1706"/>
      <c r="BL155" s="3546"/>
      <c r="BM155" s="3546"/>
    </row>
    <row r="156" spans="1:65" ht="15" customHeight="1">
      <c r="A156" s="1706"/>
      <c r="B156" s="2117"/>
      <c r="C156" s="3566" t="s">
        <v>2279</v>
      </c>
      <c r="D156" s="2117" t="s">
        <v>2960</v>
      </c>
      <c r="E156" s="2117"/>
      <c r="F156" s="2117"/>
      <c r="G156" s="2117"/>
      <c r="H156" s="2117"/>
      <c r="I156" s="2117"/>
      <c r="J156" s="2117"/>
      <c r="K156" s="2117"/>
      <c r="L156" s="2117"/>
      <c r="M156" s="2117"/>
      <c r="N156" s="2117"/>
      <c r="O156" s="2117"/>
      <c r="P156" s="2117"/>
      <c r="Q156" s="2117"/>
      <c r="R156" s="2117"/>
      <c r="S156" s="2117"/>
      <c r="T156" s="2117"/>
      <c r="U156" s="6135">
        <v>34</v>
      </c>
      <c r="V156" s="4722"/>
      <c r="W156" s="6136"/>
      <c r="X156" s="6136"/>
      <c r="Y156" s="6136"/>
      <c r="Z156" s="6136"/>
      <c r="AA156" s="6136"/>
      <c r="AB156" s="6136"/>
      <c r="AC156" s="6233"/>
      <c r="AD156" s="6234"/>
      <c r="AE156" s="6137"/>
      <c r="AF156" s="6139"/>
      <c r="AG156" s="6139"/>
      <c r="AH156" s="6139"/>
      <c r="AI156" s="6139"/>
      <c r="AJ156" s="6139"/>
      <c r="AK156" s="1706"/>
      <c r="BL156" s="3546"/>
      <c r="BM156" s="3546"/>
    </row>
    <row r="157" spans="1:65" ht="15" customHeight="1" thickBot="1">
      <c r="A157" s="1706"/>
      <c r="B157" s="2117"/>
      <c r="C157" s="3566" t="s">
        <v>2287</v>
      </c>
      <c r="D157" s="2611" t="s">
        <v>3207</v>
      </c>
      <c r="E157" s="2117"/>
      <c r="F157" s="2117"/>
      <c r="G157" s="2117"/>
      <c r="H157" s="2117"/>
      <c r="I157" s="2117"/>
      <c r="J157" s="2117"/>
      <c r="K157" s="2117"/>
      <c r="L157" s="2117"/>
      <c r="M157" s="2117"/>
      <c r="N157" s="2117"/>
      <c r="O157" s="2117"/>
      <c r="P157" s="2117"/>
      <c r="Q157" s="2117"/>
      <c r="R157" s="2117"/>
      <c r="S157" s="2117"/>
      <c r="T157" s="2117"/>
      <c r="U157" s="2117"/>
      <c r="V157" s="2117"/>
      <c r="W157" s="2117"/>
      <c r="X157" s="2117"/>
      <c r="Y157" s="2117"/>
      <c r="Z157" s="2117"/>
      <c r="AA157" s="2117"/>
      <c r="AB157" s="2117"/>
      <c r="AC157" s="6219"/>
      <c r="AD157" s="6225"/>
      <c r="AE157" s="6219"/>
      <c r="AF157" s="6220"/>
      <c r="AG157" s="6220"/>
      <c r="AH157" s="6220"/>
      <c r="AI157" s="6220"/>
      <c r="AJ157" s="6220"/>
      <c r="AK157" s="1706"/>
      <c r="AM157" s="3582" t="s">
        <v>150</v>
      </c>
      <c r="BL157" s="3546"/>
      <c r="BM157" s="3546"/>
    </row>
    <row r="158" spans="1:65" ht="15" customHeight="1" thickBot="1">
      <c r="A158" s="1706"/>
      <c r="B158" s="2117"/>
      <c r="C158" s="2117"/>
      <c r="D158" s="2611" t="s">
        <v>3206</v>
      </c>
      <c r="E158" s="2117"/>
      <c r="F158" s="2117"/>
      <c r="G158" s="2117"/>
      <c r="H158" s="2117"/>
      <c r="I158" s="2117"/>
      <c r="J158" s="2117"/>
      <c r="K158" s="2117"/>
      <c r="L158" s="2117"/>
      <c r="M158" s="2117"/>
      <c r="N158" s="2117"/>
      <c r="O158" s="2117"/>
      <c r="P158" s="2117"/>
      <c r="Q158" s="2117"/>
      <c r="R158" s="2117"/>
      <c r="S158" s="2117"/>
      <c r="T158" s="2117"/>
      <c r="U158" s="2117"/>
      <c r="V158" s="2117"/>
      <c r="W158" s="2117"/>
      <c r="X158" s="2117"/>
      <c r="Y158" s="2117"/>
      <c r="Z158" s="2117"/>
      <c r="AA158" s="2117"/>
      <c r="AB158" s="2476" t="s">
        <v>1878</v>
      </c>
      <c r="AC158" s="6135">
        <v>35</v>
      </c>
      <c r="AD158" s="4722"/>
      <c r="AE158" s="3590"/>
      <c r="AF158" s="3590"/>
      <c r="AG158" s="3591" t="s">
        <v>2552</v>
      </c>
      <c r="AH158" s="6231" t="str">
        <f>IF(AM158&lt;&gt;"",ROUND(AM158,3),IF(D139="","",IF(ISERROR(W156/AE137),"---",IF(AE137&gt;0,ROUND(W156/AE137,3),""))))</f>
        <v/>
      </c>
      <c r="AI158" s="6232"/>
      <c r="AJ158" s="6232"/>
      <c r="AK158" s="1706"/>
      <c r="AM158" s="3595"/>
      <c r="BL158" s="3546"/>
      <c r="BM158" s="3546"/>
    </row>
    <row r="159" spans="1:65" ht="15" customHeight="1" thickBot="1">
      <c r="A159" s="1706"/>
      <c r="B159" s="2117"/>
      <c r="C159" s="3566" t="s">
        <v>2288</v>
      </c>
      <c r="D159" s="2611" t="s">
        <v>3208</v>
      </c>
      <c r="E159" s="2117"/>
      <c r="F159" s="2117"/>
      <c r="G159" s="2117"/>
      <c r="H159" s="2117"/>
      <c r="I159" s="2117"/>
      <c r="J159" s="2117"/>
      <c r="K159" s="2117"/>
      <c r="L159" s="2117"/>
      <c r="M159" s="2117"/>
      <c r="N159" s="2117"/>
      <c r="O159" s="2117"/>
      <c r="P159" s="2117"/>
      <c r="Q159" s="2117"/>
      <c r="R159" s="2117"/>
      <c r="S159" s="2117"/>
      <c r="T159" s="2117"/>
      <c r="U159" s="2117"/>
      <c r="V159" s="2117"/>
      <c r="W159" s="2117"/>
      <c r="X159" s="2117"/>
      <c r="Y159" s="2117"/>
      <c r="Z159" s="2117"/>
      <c r="AA159" s="2117"/>
      <c r="AB159" s="2117"/>
      <c r="AC159" s="6137"/>
      <c r="AD159" s="6138"/>
      <c r="AE159" s="6137"/>
      <c r="AF159" s="6139"/>
      <c r="AG159" s="6139"/>
      <c r="AH159" s="6139"/>
      <c r="AI159" s="6139"/>
      <c r="AJ159" s="6139"/>
      <c r="AK159" s="1706"/>
      <c r="BL159" s="3546"/>
      <c r="BM159" s="3546"/>
    </row>
    <row r="160" spans="1:65" ht="15" customHeight="1" thickBot="1">
      <c r="A160" s="1706"/>
      <c r="B160" s="2117"/>
      <c r="C160" s="2117"/>
      <c r="D160" s="2117" t="s">
        <v>2961</v>
      </c>
      <c r="E160" s="2117"/>
      <c r="F160" s="2117"/>
      <c r="G160" s="2117"/>
      <c r="H160" s="2117"/>
      <c r="I160" s="2117"/>
      <c r="J160" s="2117"/>
      <c r="K160" s="2117"/>
      <c r="L160" s="2117"/>
      <c r="M160" s="2117"/>
      <c r="N160" s="2117"/>
      <c r="O160" s="2117"/>
      <c r="P160" s="2117"/>
      <c r="Q160" s="2117"/>
      <c r="R160" s="2117"/>
      <c r="S160" s="2117"/>
      <c r="T160" s="2117"/>
      <c r="U160" s="2117"/>
      <c r="V160" s="2117"/>
      <c r="W160" s="2117"/>
      <c r="X160" s="2117"/>
      <c r="Y160" s="2117"/>
      <c r="Z160" s="2117"/>
      <c r="AA160" s="2117"/>
      <c r="AB160" s="2476" t="s">
        <v>2087</v>
      </c>
      <c r="AC160" s="6135">
        <v>36</v>
      </c>
      <c r="AD160" s="4722"/>
      <c r="AE160" s="6224">
        <f>IF(AM160&lt;&gt;"",ROUND(AM160,0),IF(D139="",0,IF(ISERROR(W156/AE137),"---",IF(W156="",0,MIN(W156,ROUND(AE155*AH158,0))))))</f>
        <v>0</v>
      </c>
      <c r="AF160" s="6224"/>
      <c r="AG160" s="6224"/>
      <c r="AH160" s="6224"/>
      <c r="AI160" s="6224"/>
      <c r="AJ160" s="6224"/>
      <c r="AK160" s="1706"/>
      <c r="AM160" s="3636"/>
      <c r="BL160" s="3546"/>
      <c r="BM160" s="3546"/>
    </row>
    <row r="161" spans="1:65" ht="15" customHeight="1">
      <c r="A161" s="1706"/>
      <c r="B161" s="2117"/>
      <c r="C161" s="2117"/>
      <c r="D161" s="2611" t="s">
        <v>3009</v>
      </c>
      <c r="E161" s="2117"/>
      <c r="F161" s="2117"/>
      <c r="G161" s="2117"/>
      <c r="H161" s="2117"/>
      <c r="I161" s="2117"/>
      <c r="J161" s="2117"/>
      <c r="K161" s="2117"/>
      <c r="L161" s="2117"/>
      <c r="M161" s="2117"/>
      <c r="N161" s="2117"/>
      <c r="O161" s="2117"/>
      <c r="P161" s="2117"/>
      <c r="Q161" s="2117"/>
      <c r="R161" s="2117"/>
      <c r="S161" s="2117"/>
      <c r="T161" s="2117"/>
      <c r="U161" s="2117"/>
      <c r="V161" s="2117"/>
      <c r="W161" s="2117"/>
      <c r="X161" s="2117"/>
      <c r="Y161" s="2117"/>
      <c r="Z161" s="2117"/>
      <c r="AA161" s="2117"/>
      <c r="AB161" s="2117"/>
      <c r="AC161" s="2117"/>
      <c r="AD161" s="2117"/>
      <c r="AE161" s="2117"/>
      <c r="AF161" s="2117"/>
      <c r="AG161" s="2117"/>
      <c r="AH161" s="2117"/>
      <c r="AI161" s="2117"/>
      <c r="AJ161" s="2117"/>
      <c r="AK161" s="1706"/>
      <c r="BL161" s="3546"/>
      <c r="BM161" s="3546"/>
    </row>
    <row r="162" spans="1:65" ht="15" customHeight="1">
      <c r="A162" s="1706"/>
      <c r="B162" s="2117"/>
      <c r="C162" s="2117"/>
      <c r="D162" s="2117" t="s">
        <v>2962</v>
      </c>
      <c r="E162" s="2117"/>
      <c r="F162" s="2117"/>
      <c r="G162" s="2117"/>
      <c r="H162" s="2117"/>
      <c r="I162" s="2117"/>
      <c r="J162" s="2117"/>
      <c r="K162" s="2117"/>
      <c r="L162" s="2117"/>
      <c r="M162" s="2117"/>
      <c r="N162" s="2117"/>
      <c r="O162" s="2117"/>
      <c r="P162" s="2117"/>
      <c r="Q162" s="2117"/>
      <c r="R162" s="2117"/>
      <c r="S162" s="2117"/>
      <c r="T162" s="2117"/>
      <c r="U162" s="2117"/>
      <c r="V162" s="2117"/>
      <c r="W162" s="2117"/>
      <c r="X162" s="2117"/>
      <c r="Y162" s="2117"/>
      <c r="Z162" s="2117"/>
      <c r="AA162" s="2117"/>
      <c r="AB162" s="2117"/>
      <c r="AC162" s="2117"/>
      <c r="AD162" s="2117"/>
      <c r="AE162" s="2117"/>
      <c r="AF162" s="2117"/>
      <c r="AG162" s="2117"/>
      <c r="AH162" s="2117"/>
      <c r="AI162" s="2117"/>
      <c r="AJ162" s="2117"/>
      <c r="AK162" s="1706"/>
      <c r="BL162" s="3546"/>
      <c r="BM162" s="3546"/>
    </row>
    <row r="163" spans="1:65" ht="6.75" customHeight="1">
      <c r="A163" s="1706"/>
      <c r="B163" s="3525"/>
      <c r="C163" s="3525"/>
      <c r="D163" s="3525"/>
      <c r="E163" s="3525"/>
      <c r="F163" s="3525"/>
      <c r="G163" s="3525"/>
      <c r="H163" s="3525"/>
      <c r="I163" s="3525"/>
      <c r="J163" s="3525"/>
      <c r="K163" s="3525"/>
      <c r="L163" s="3525"/>
      <c r="M163" s="3525"/>
      <c r="N163" s="3525"/>
      <c r="O163" s="3525"/>
      <c r="P163" s="3525"/>
      <c r="Q163" s="3525"/>
      <c r="R163" s="3525"/>
      <c r="S163" s="3525"/>
      <c r="T163" s="3525"/>
      <c r="U163" s="3525"/>
      <c r="V163" s="3525"/>
      <c r="W163" s="3525"/>
      <c r="X163" s="3525"/>
      <c r="Y163" s="3525"/>
      <c r="Z163" s="3525"/>
      <c r="AA163" s="3525"/>
      <c r="AB163" s="3525"/>
      <c r="AC163" s="3525"/>
      <c r="AD163" s="3525"/>
      <c r="AE163" s="3525"/>
      <c r="AF163" s="3525"/>
      <c r="AG163" s="3525"/>
      <c r="AH163" s="3525"/>
      <c r="AI163" s="3525"/>
      <c r="AJ163" s="3525"/>
      <c r="AK163" s="1706"/>
    </row>
    <row r="164" spans="1:65" ht="15" customHeight="1">
      <c r="A164" s="1706"/>
      <c r="B164" s="6121" t="s">
        <v>2964</v>
      </c>
      <c r="C164" s="5423"/>
      <c r="D164" s="3531" t="s">
        <v>2963</v>
      </c>
      <c r="E164" s="3529"/>
      <c r="F164" s="3529"/>
      <c r="G164" s="3529"/>
      <c r="H164" s="3529"/>
      <c r="I164" s="3529"/>
      <c r="J164" s="3529"/>
      <c r="K164" s="3529"/>
      <c r="L164" s="3529"/>
      <c r="M164" s="3529"/>
      <c r="N164" s="3529"/>
      <c r="O164" s="3529"/>
      <c r="P164" s="3529"/>
      <c r="Q164" s="3529"/>
      <c r="R164" s="3529"/>
      <c r="S164" s="3529"/>
      <c r="T164" s="3529"/>
      <c r="U164" s="3529"/>
      <c r="V164" s="3529"/>
      <c r="W164" s="3529"/>
      <c r="X164" s="3529"/>
      <c r="Y164" s="3529"/>
      <c r="Z164" s="3529"/>
      <c r="AA164" s="3529"/>
      <c r="AB164" s="3529"/>
      <c r="AC164" s="3529"/>
      <c r="AD164" s="3529"/>
      <c r="AE164" s="6236" t="b">
        <f>IF(OR(ForeignIncExclusion&gt;0,ForeignHousingExclusion&gt;0,ForeignHousingDeduction&gt;0),TRUE,FALSE)</f>
        <v>0</v>
      </c>
      <c r="AF164" s="5811"/>
      <c r="AG164" s="5811"/>
      <c r="AH164" s="5811"/>
      <c r="AI164" s="5811"/>
      <c r="AJ164" s="5811"/>
      <c r="AK164" s="1706"/>
      <c r="AM164" s="4188" t="s">
        <v>150</v>
      </c>
    </row>
    <row r="165" spans="1:65" ht="6" customHeight="1" thickBot="1">
      <c r="A165" s="1706"/>
      <c r="B165" s="3530"/>
      <c r="C165" s="3530"/>
      <c r="D165" s="3530"/>
      <c r="E165" s="3530"/>
      <c r="F165" s="3530"/>
      <c r="G165" s="3530"/>
      <c r="H165" s="3530"/>
      <c r="I165" s="3530"/>
      <c r="J165" s="3530"/>
      <c r="K165" s="3530"/>
      <c r="L165" s="3530"/>
      <c r="M165" s="3530"/>
      <c r="N165" s="3530"/>
      <c r="O165" s="3530"/>
      <c r="P165" s="3530"/>
      <c r="Q165" s="3530"/>
      <c r="R165" s="3530"/>
      <c r="S165" s="3530"/>
      <c r="T165" s="3530"/>
      <c r="U165" s="3530"/>
      <c r="V165" s="3530"/>
      <c r="W165" s="3530"/>
      <c r="X165" s="3530"/>
      <c r="Y165" s="3530"/>
      <c r="Z165" s="3530"/>
      <c r="AA165" s="3530"/>
      <c r="AB165" s="3530"/>
      <c r="AC165" s="3530"/>
      <c r="AD165" s="3530"/>
      <c r="AE165" s="3530"/>
      <c r="AF165" s="3530"/>
      <c r="AG165" s="3530"/>
      <c r="AH165" s="3530"/>
      <c r="AI165" s="3530"/>
      <c r="AJ165" s="3530"/>
      <c r="AK165" s="1706"/>
    </row>
    <row r="166" spans="1:65" ht="15" customHeight="1" thickBot="1">
      <c r="A166" s="1706"/>
      <c r="B166" s="2117"/>
      <c r="C166" s="3566" t="s">
        <v>2966</v>
      </c>
      <c r="D166" s="2117" t="s">
        <v>2965</v>
      </c>
      <c r="E166" s="2117"/>
      <c r="F166" s="2117"/>
      <c r="G166" s="2117"/>
      <c r="H166" s="2117"/>
      <c r="I166" s="2117"/>
      <c r="J166" s="2117"/>
      <c r="K166" s="2117"/>
      <c r="L166" s="2117"/>
      <c r="M166" s="2117"/>
      <c r="N166" s="2117"/>
      <c r="O166" s="2117"/>
      <c r="P166" s="2117"/>
      <c r="Q166" s="2117"/>
      <c r="R166" s="2117"/>
      <c r="S166" s="2117"/>
      <c r="T166" s="2117"/>
      <c r="U166" s="2117"/>
      <c r="V166" s="2117"/>
      <c r="W166" s="2117"/>
      <c r="X166" s="2117"/>
      <c r="Y166" s="2117"/>
      <c r="Z166" s="2117"/>
      <c r="AA166" s="2117"/>
      <c r="AB166" s="2476" t="s">
        <v>2087</v>
      </c>
      <c r="AC166" s="6135">
        <v>37</v>
      </c>
      <c r="AD166" s="4722"/>
      <c r="AE166" s="6235">
        <f>IF(AM166&lt;&gt;"",ROUND(AM166,0),101300)</f>
        <v>101300</v>
      </c>
      <c r="AF166" s="6235"/>
      <c r="AG166" s="6235"/>
      <c r="AH166" s="6235"/>
      <c r="AI166" s="6235"/>
      <c r="AJ166" s="6235"/>
      <c r="AK166" s="1706"/>
      <c r="AM166" s="3596"/>
      <c r="BL166" s="3546"/>
      <c r="BM166" s="3546"/>
    </row>
    <row r="167" spans="1:65" ht="15" customHeight="1" thickBot="1">
      <c r="A167" s="1706"/>
      <c r="B167" s="2117"/>
      <c r="C167" s="3566" t="s">
        <v>2968</v>
      </c>
      <c r="D167" s="3592" t="s">
        <v>198</v>
      </c>
      <c r="E167" s="2117" t="s">
        <v>2967</v>
      </c>
      <c r="F167" s="2117"/>
      <c r="G167" s="2117"/>
      <c r="H167" s="2117"/>
      <c r="I167" s="2117"/>
      <c r="J167" s="2117"/>
      <c r="K167" s="2117"/>
      <c r="L167" s="2117"/>
      <c r="M167" s="2117"/>
      <c r="N167" s="2117"/>
      <c r="O167" s="2117"/>
      <c r="P167" s="2117"/>
      <c r="Q167" s="2117"/>
      <c r="R167" s="2117"/>
      <c r="S167" s="2117"/>
      <c r="T167" s="2117"/>
      <c r="U167" s="2117"/>
      <c r="V167" s="2117"/>
      <c r="W167" s="3822"/>
      <c r="X167" s="3822"/>
      <c r="Y167" s="3822"/>
      <c r="Z167" s="3822"/>
      <c r="AA167" s="2117"/>
      <c r="AB167" s="3589"/>
      <c r="AC167" s="3583"/>
      <c r="AD167" s="3584"/>
      <c r="AE167" s="2117"/>
      <c r="AF167" s="2117"/>
      <c r="AG167" s="2117"/>
      <c r="AH167" s="2117"/>
      <c r="AI167" s="2117"/>
      <c r="AJ167" s="2117"/>
      <c r="AK167" s="1706"/>
      <c r="AM167" s="3645" t="s">
        <v>150</v>
      </c>
      <c r="BL167" s="3546"/>
      <c r="BM167" s="3546"/>
    </row>
    <row r="168" spans="1:65" ht="15" customHeight="1" thickBot="1">
      <c r="A168" s="1706"/>
      <c r="B168" s="2117"/>
      <c r="C168" s="2117"/>
      <c r="D168" s="3592" t="s">
        <v>198</v>
      </c>
      <c r="E168" s="2117" t="s">
        <v>2969</v>
      </c>
      <c r="F168" s="2117"/>
      <c r="G168" s="2117"/>
      <c r="H168" s="2117"/>
      <c r="I168" s="2117"/>
      <c r="J168" s="2117"/>
      <c r="K168" s="2117"/>
      <c r="L168" s="2117"/>
      <c r="M168" s="2117"/>
      <c r="N168" s="2117"/>
      <c r="O168" s="2117"/>
      <c r="P168" s="2117"/>
      <c r="Q168" s="2117"/>
      <c r="R168" s="2117"/>
      <c r="S168" s="2117"/>
      <c r="T168" s="2117"/>
      <c r="U168" s="6135">
        <v>38</v>
      </c>
      <c r="V168" s="4722"/>
      <c r="W168" s="6228">
        <f>IF(AM168&lt;&gt;"",AM168,IF(D139&lt;&gt;"",W152,DaysInTaxYear))</f>
        <v>366</v>
      </c>
      <c r="X168" s="6229"/>
      <c r="Y168" s="6229"/>
      <c r="Z168" s="6229"/>
      <c r="AA168" s="6226" t="s">
        <v>2958</v>
      </c>
      <c r="AB168" s="6226"/>
      <c r="AC168" s="3585"/>
      <c r="AD168" s="3586"/>
      <c r="AE168" s="2117"/>
      <c r="AF168" s="2117"/>
      <c r="AG168" s="2117"/>
      <c r="AH168" s="2117"/>
      <c r="AI168" s="2117"/>
      <c r="AJ168" s="2117"/>
      <c r="AK168" s="1706"/>
      <c r="AM168" s="3596"/>
      <c r="BL168" s="3546"/>
      <c r="BM168" s="3546"/>
    </row>
    <row r="169" spans="1:65" ht="15" customHeight="1">
      <c r="A169" s="1706"/>
      <c r="B169" s="2117"/>
      <c r="C169" s="2117"/>
      <c r="D169" s="2117"/>
      <c r="E169" s="2117" t="str">
        <f>"fall within your "&amp;TaxYear&amp;" tax year (see the instructions for line 31)."</f>
        <v>fall within your 2016 tax year (see the instructions for line 31).</v>
      </c>
      <c r="F169" s="2117"/>
      <c r="G169" s="2117"/>
      <c r="H169" s="2117"/>
      <c r="I169" s="2117"/>
      <c r="J169" s="2117"/>
      <c r="K169" s="2117"/>
      <c r="L169" s="2117"/>
      <c r="M169" s="2117"/>
      <c r="N169" s="2117"/>
      <c r="O169" s="2117"/>
      <c r="P169" s="2117"/>
      <c r="Q169" s="2117"/>
      <c r="R169" s="2117"/>
      <c r="S169" s="2117"/>
      <c r="T169" s="2117"/>
      <c r="U169" s="2117"/>
      <c r="V169" s="2117"/>
      <c r="W169" s="2117"/>
      <c r="X169" s="2117"/>
      <c r="Y169" s="2117"/>
      <c r="Z169" s="2117"/>
      <c r="AA169" s="2117"/>
      <c r="AB169" s="2117"/>
      <c r="AC169" s="3169"/>
      <c r="AD169" s="3170"/>
      <c r="AE169" s="2117"/>
      <c r="AF169" s="2117"/>
      <c r="AG169" s="2117"/>
      <c r="AH169" s="2117"/>
      <c r="AI169" s="2117"/>
      <c r="AJ169" s="2117"/>
      <c r="AK169" s="1706"/>
      <c r="BL169" s="3546"/>
      <c r="BM169" s="3546"/>
    </row>
    <row r="170" spans="1:65" ht="15" customHeight="1">
      <c r="A170" s="1706"/>
      <c r="B170" s="2117"/>
      <c r="C170" s="3566" t="s">
        <v>2972</v>
      </c>
      <c r="D170" s="3592" t="s">
        <v>198</v>
      </c>
      <c r="E170" s="2611" t="str">
        <f>"If line 38 and the number of days in your "&amp;TaxYear&amp;" tax year (usually "&amp;TEXT(DaysInTaxYear,"0")&amp;") are the same, enter “1.000.”"</f>
        <v>If line 38 and the number of days in your 2016 tax year (usually 366) are the same, enter “1.000.”</v>
      </c>
      <c r="F170" s="2117"/>
      <c r="G170" s="2117"/>
      <c r="H170" s="2117"/>
      <c r="I170" s="2117"/>
      <c r="J170" s="2117"/>
      <c r="K170" s="2117"/>
      <c r="L170" s="2117"/>
      <c r="M170" s="2117"/>
      <c r="N170" s="2117"/>
      <c r="O170" s="2117"/>
      <c r="P170" s="2117"/>
      <c r="Q170" s="2117"/>
      <c r="R170" s="2117"/>
      <c r="S170" s="2117"/>
      <c r="T170" s="2117"/>
      <c r="U170" s="2117"/>
      <c r="V170" s="2117"/>
      <c r="W170" s="2117"/>
      <c r="X170" s="2117"/>
      <c r="Y170" s="2117"/>
      <c r="Z170" s="2117"/>
      <c r="AA170" s="2117"/>
      <c r="AB170" s="2117"/>
      <c r="AC170" s="3169"/>
      <c r="AD170" s="3170"/>
      <c r="AE170" s="2117"/>
      <c r="AF170" s="2117"/>
      <c r="AG170" s="2117"/>
      <c r="AH170" s="2117"/>
      <c r="AI170" s="2117"/>
      <c r="AJ170" s="2117"/>
      <c r="AK170" s="1706"/>
      <c r="BL170" s="3546"/>
      <c r="BM170" s="3546"/>
    </row>
    <row r="171" spans="1:65" ht="15" customHeight="1" thickBot="1">
      <c r="A171" s="1706"/>
      <c r="B171" s="2117"/>
      <c r="C171" s="2117"/>
      <c r="D171" s="3592" t="s">
        <v>198</v>
      </c>
      <c r="E171" s="2117" t="str">
        <f>"Otherwise, divide line 38 by the number of days in your "&amp;TaxYear&amp;" tax year and enter the result as"</f>
        <v>Otherwise, divide line 38 by the number of days in your 2016 tax year and enter the result as</v>
      </c>
      <c r="F171" s="2117"/>
      <c r="G171" s="2117"/>
      <c r="H171" s="2117"/>
      <c r="I171" s="2117"/>
      <c r="J171" s="2117"/>
      <c r="K171" s="2117"/>
      <c r="L171" s="2117"/>
      <c r="M171" s="2117"/>
      <c r="N171" s="2117"/>
      <c r="O171" s="2117"/>
      <c r="P171" s="2117"/>
      <c r="Q171" s="2117"/>
      <c r="R171" s="2117"/>
      <c r="S171" s="2117"/>
      <c r="T171" s="2117"/>
      <c r="U171" s="2117"/>
      <c r="V171" s="2117"/>
      <c r="W171" s="2117"/>
      <c r="X171" s="2117"/>
      <c r="Y171" s="2117"/>
      <c r="Z171" s="2117"/>
      <c r="AA171" s="2117"/>
      <c r="AB171" s="2117"/>
      <c r="AC171" s="6135">
        <v>39</v>
      </c>
      <c r="AD171" s="4722"/>
      <c r="AE171" s="3590"/>
      <c r="AF171" s="3590"/>
      <c r="AG171" s="3591" t="s">
        <v>2552</v>
      </c>
      <c r="AH171" s="6231">
        <f>IF(W168="","",IF(ISERROR(W168/AM172),"---",ROUND(W168/AM172,3)))</f>
        <v>1</v>
      </c>
      <c r="AI171" s="6232"/>
      <c r="AJ171" s="6232"/>
      <c r="AK171" s="1706"/>
      <c r="BL171" s="3546"/>
      <c r="BM171" s="3546"/>
    </row>
    <row r="172" spans="1:65" ht="15" customHeight="1" thickBot="1">
      <c r="A172" s="1706"/>
      <c r="B172" s="2117"/>
      <c r="C172" s="2117"/>
      <c r="D172" s="2117"/>
      <c r="E172" s="2117" t="s">
        <v>2970</v>
      </c>
      <c r="F172" s="2117"/>
      <c r="G172" s="2117"/>
      <c r="H172" s="2117"/>
      <c r="I172" s="2117"/>
      <c r="J172" s="2117"/>
      <c r="K172" s="2117"/>
      <c r="L172" s="2117"/>
      <c r="M172" s="2117"/>
      <c r="N172" s="2117"/>
      <c r="O172" s="2117"/>
      <c r="P172" s="2117"/>
      <c r="Q172" s="2117"/>
      <c r="R172" s="2117"/>
      <c r="S172" s="2117"/>
      <c r="T172" s="2117"/>
      <c r="U172" s="2117"/>
      <c r="V172" s="2117"/>
      <c r="W172" s="2117"/>
      <c r="X172" s="2117"/>
      <c r="Y172" s="2117"/>
      <c r="Z172" s="2117"/>
      <c r="AA172" s="2117"/>
      <c r="AB172" s="2117"/>
      <c r="AC172" s="6137"/>
      <c r="AD172" s="6138"/>
      <c r="AE172" s="6137"/>
      <c r="AF172" s="6139"/>
      <c r="AG172" s="6139"/>
      <c r="AH172" s="6139"/>
      <c r="AI172" s="6139"/>
      <c r="AJ172" s="6139"/>
      <c r="AK172" s="1706"/>
      <c r="AM172" s="3596">
        <f>DaysInTaxYear</f>
        <v>366</v>
      </c>
      <c r="BL172" s="3546"/>
      <c r="BM172" s="3546"/>
    </row>
    <row r="173" spans="1:65" ht="15" customHeight="1">
      <c r="A173" s="1706"/>
      <c r="B173" s="2117"/>
      <c r="C173" s="3566" t="s">
        <v>2973</v>
      </c>
      <c r="D173" s="2117" t="s">
        <v>2971</v>
      </c>
      <c r="E173" s="2117"/>
      <c r="F173" s="2117"/>
      <c r="G173" s="2117"/>
      <c r="H173" s="2117"/>
      <c r="I173" s="2117"/>
      <c r="J173" s="2117"/>
      <c r="K173" s="2117"/>
      <c r="L173" s="2117"/>
      <c r="M173" s="2117"/>
      <c r="N173" s="2117"/>
      <c r="O173" s="2117"/>
      <c r="P173" s="2117"/>
      <c r="Q173" s="2117"/>
      <c r="R173" s="2117"/>
      <c r="S173" s="2117"/>
      <c r="T173" s="2117"/>
      <c r="U173" s="2117"/>
      <c r="V173" s="2117"/>
      <c r="W173" s="2117"/>
      <c r="X173" s="2117"/>
      <c r="Y173" s="2117"/>
      <c r="Z173" s="2117"/>
      <c r="AA173" s="2117"/>
      <c r="AB173" s="2476" t="s">
        <v>936</v>
      </c>
      <c r="AC173" s="6135">
        <v>40</v>
      </c>
      <c r="AD173" s="4722"/>
      <c r="AE173" s="6224">
        <f>IF(AH171="---","",ROUND(AE166*AH171,0))</f>
        <v>101300</v>
      </c>
      <c r="AF173" s="6224"/>
      <c r="AG173" s="6224"/>
      <c r="AH173" s="6224"/>
      <c r="AI173" s="6224"/>
      <c r="AJ173" s="6224"/>
      <c r="AK173" s="1706"/>
      <c r="AM173" s="3532" t="s">
        <v>2999</v>
      </c>
      <c r="BL173" s="3546"/>
      <c r="BM173" s="3546"/>
    </row>
    <row r="174" spans="1:65" ht="15" customHeight="1">
      <c r="A174" s="1706"/>
      <c r="B174" s="2117"/>
      <c r="C174" s="3566" t="s">
        <v>2975</v>
      </c>
      <c r="D174" s="2117" t="s">
        <v>2974</v>
      </c>
      <c r="E174" s="2117"/>
      <c r="F174" s="2117"/>
      <c r="G174" s="2117"/>
      <c r="H174" s="2117"/>
      <c r="I174" s="2117"/>
      <c r="J174" s="2117"/>
      <c r="K174" s="2117"/>
      <c r="L174" s="2117"/>
      <c r="M174" s="2117"/>
      <c r="N174" s="2117"/>
      <c r="O174" s="2117"/>
      <c r="P174" s="2117"/>
      <c r="Q174" s="2117"/>
      <c r="R174" s="2117"/>
      <c r="S174" s="2117"/>
      <c r="T174" s="2117"/>
      <c r="U174" s="2117"/>
      <c r="V174" s="2117"/>
      <c r="W174" s="2117"/>
      <c r="X174" s="2117"/>
      <c r="Y174" s="2117"/>
      <c r="Z174" s="2117"/>
      <c r="AA174" s="2117"/>
      <c r="AB174" s="2476" t="s">
        <v>1878</v>
      </c>
      <c r="AC174" s="6135">
        <v>41</v>
      </c>
      <c r="AD174" s="4722"/>
      <c r="AE174" s="6224">
        <f>IF(AH171="---","",SUM(AE137,-AE160))</f>
        <v>0</v>
      </c>
      <c r="AF174" s="6224"/>
      <c r="AG174" s="6224"/>
      <c r="AH174" s="6224"/>
      <c r="AI174" s="6224"/>
      <c r="AJ174" s="6224"/>
      <c r="AK174" s="1706"/>
      <c r="AM174" s="3532" t="s">
        <v>3000</v>
      </c>
      <c r="BL174" s="3546"/>
      <c r="BM174" s="3546"/>
    </row>
    <row r="175" spans="1:65" ht="15" customHeight="1">
      <c r="A175" s="1706"/>
      <c r="B175" s="2117"/>
      <c r="C175" s="3566" t="s">
        <v>2976</v>
      </c>
      <c r="D175" s="2611" t="s">
        <v>3209</v>
      </c>
      <c r="E175" s="2117"/>
      <c r="F175" s="2117"/>
      <c r="G175" s="2117"/>
      <c r="H175" s="2117"/>
      <c r="I175" s="2117"/>
      <c r="J175" s="2117"/>
      <c r="K175" s="2117"/>
      <c r="L175" s="2117"/>
      <c r="M175" s="2117"/>
      <c r="N175" s="2117"/>
      <c r="O175" s="2117"/>
      <c r="P175" s="2117"/>
      <c r="Q175" s="2117"/>
      <c r="R175" s="2117"/>
      <c r="S175" s="2117"/>
      <c r="T175" s="2117"/>
      <c r="U175" s="2117"/>
      <c r="V175" s="2117"/>
      <c r="W175" s="2117"/>
      <c r="X175" s="2117"/>
      <c r="Y175" s="2117"/>
      <c r="Z175" s="2117"/>
      <c r="AA175" s="2117"/>
      <c r="AB175" s="2117"/>
      <c r="AC175" s="6135">
        <v>42</v>
      </c>
      <c r="AD175" s="4722"/>
      <c r="AE175" s="6224">
        <f>IF(AH171="",0,IF(AE174="",0,MIN(AE173,AE174)))</f>
        <v>0</v>
      </c>
      <c r="AF175" s="6224"/>
      <c r="AG175" s="6224"/>
      <c r="AH175" s="6224"/>
      <c r="AI175" s="6224"/>
      <c r="AJ175" s="6224"/>
      <c r="AK175" s="1706"/>
      <c r="BL175" s="3546"/>
      <c r="BM175" s="3546"/>
    </row>
    <row r="176" spans="1:65" ht="6.75" customHeight="1">
      <c r="A176" s="1706"/>
      <c r="B176" s="3525"/>
      <c r="C176" s="3525"/>
      <c r="D176" s="3525"/>
      <c r="E176" s="3525"/>
      <c r="F176" s="3525"/>
      <c r="G176" s="3525"/>
      <c r="H176" s="3525"/>
      <c r="I176" s="3525"/>
      <c r="J176" s="3525"/>
      <c r="K176" s="3525"/>
      <c r="L176" s="3525"/>
      <c r="M176" s="3525"/>
      <c r="N176" s="3525"/>
      <c r="O176" s="3525"/>
      <c r="P176" s="3525"/>
      <c r="Q176" s="3525"/>
      <c r="R176" s="3525"/>
      <c r="S176" s="3525"/>
      <c r="T176" s="3525"/>
      <c r="U176" s="3525"/>
      <c r="V176" s="3525"/>
      <c r="W176" s="3525"/>
      <c r="X176" s="3525"/>
      <c r="Y176" s="3525"/>
      <c r="Z176" s="3525"/>
      <c r="AA176" s="3525"/>
      <c r="AB176" s="3525"/>
      <c r="AC176" s="3525"/>
      <c r="AD176" s="3525"/>
      <c r="AE176" s="3525"/>
      <c r="AF176" s="3525"/>
      <c r="AG176" s="3525"/>
      <c r="AH176" s="3525"/>
      <c r="AI176" s="3525"/>
      <c r="AJ176" s="3525"/>
      <c r="AK176" s="1706"/>
    </row>
    <row r="177" spans="1:65" ht="15" customHeight="1">
      <c r="A177" s="1706"/>
      <c r="B177" s="6121" t="s">
        <v>2977</v>
      </c>
      <c r="C177" s="5423"/>
      <c r="D177" s="3531" t="s">
        <v>2978</v>
      </c>
      <c r="E177" s="3529"/>
      <c r="F177" s="3529"/>
      <c r="G177" s="3529"/>
      <c r="H177" s="3529"/>
      <c r="I177" s="3529"/>
      <c r="J177" s="3529"/>
      <c r="K177" s="3529"/>
      <c r="L177" s="3529"/>
      <c r="M177" s="3529"/>
      <c r="N177" s="3529"/>
      <c r="O177" s="3529"/>
      <c r="P177" s="3529"/>
      <c r="Q177" s="3529"/>
      <c r="R177" s="3529"/>
      <c r="S177" s="3529"/>
      <c r="T177" s="3529"/>
      <c r="U177" s="3529"/>
      <c r="V177" s="3529"/>
      <c r="W177" s="3529"/>
      <c r="X177" s="3529"/>
      <c r="Y177" s="3529"/>
      <c r="Z177" s="3529"/>
      <c r="AA177" s="3529"/>
      <c r="AB177" s="3529"/>
      <c r="AC177" s="3529"/>
      <c r="AD177" s="3529"/>
      <c r="AE177" s="3529"/>
      <c r="AF177" s="3529"/>
      <c r="AG177" s="3529"/>
      <c r="AH177" s="3529"/>
      <c r="AI177" s="3529"/>
      <c r="AJ177" s="3529"/>
      <c r="AK177" s="1706"/>
    </row>
    <row r="178" spans="1:65" ht="6" customHeight="1">
      <c r="A178" s="1706"/>
      <c r="B178" s="3530"/>
      <c r="C178" s="3530"/>
      <c r="D178" s="3530"/>
      <c r="E178" s="3530"/>
      <c r="F178" s="3530"/>
      <c r="G178" s="3530"/>
      <c r="H178" s="3530"/>
      <c r="I178" s="3530"/>
      <c r="J178" s="3530"/>
      <c r="K178" s="3530"/>
      <c r="L178" s="3530"/>
      <c r="M178" s="3530"/>
      <c r="N178" s="3530"/>
      <c r="O178" s="3530"/>
      <c r="P178" s="3530"/>
      <c r="Q178" s="3530"/>
      <c r="R178" s="3530"/>
      <c r="S178" s="3530"/>
      <c r="T178" s="3530"/>
      <c r="U178" s="3530"/>
      <c r="V178" s="3530"/>
      <c r="W178" s="3530"/>
      <c r="X178" s="3530"/>
      <c r="Y178" s="3530"/>
      <c r="Z178" s="3530"/>
      <c r="AA178" s="3530"/>
      <c r="AB178" s="3530"/>
      <c r="AC178" s="3530"/>
      <c r="AD178" s="3530"/>
      <c r="AE178" s="3530"/>
      <c r="AF178" s="3530"/>
      <c r="AG178" s="3530"/>
      <c r="AH178" s="3530"/>
      <c r="AI178" s="3530"/>
      <c r="AJ178" s="3530"/>
      <c r="AK178" s="1706"/>
    </row>
    <row r="179" spans="1:65" ht="15" customHeight="1">
      <c r="A179" s="1706"/>
      <c r="B179" s="2117"/>
      <c r="C179" s="3566" t="s">
        <v>2980</v>
      </c>
      <c r="D179" s="2117" t="s">
        <v>2979</v>
      </c>
      <c r="E179" s="2117"/>
      <c r="F179" s="2117"/>
      <c r="G179" s="2117"/>
      <c r="H179" s="2117"/>
      <c r="I179" s="2117"/>
      <c r="J179" s="2117"/>
      <c r="K179" s="2117"/>
      <c r="L179" s="2117"/>
      <c r="M179" s="2117"/>
      <c r="N179" s="2117"/>
      <c r="O179" s="2117"/>
      <c r="P179" s="2117"/>
      <c r="Q179" s="2117"/>
      <c r="R179" s="2117"/>
      <c r="S179" s="2117"/>
      <c r="T179" s="2117"/>
      <c r="U179" s="2117"/>
      <c r="V179" s="2117"/>
      <c r="W179" s="2117"/>
      <c r="X179" s="2117"/>
      <c r="Y179" s="2117"/>
      <c r="Z179" s="2117"/>
      <c r="AA179" s="2117"/>
      <c r="AB179" s="2476" t="s">
        <v>3007</v>
      </c>
      <c r="AC179" s="6135">
        <v>43</v>
      </c>
      <c r="AD179" s="4722"/>
      <c r="AE179" s="6224">
        <f>SUM(AE160,AE175)</f>
        <v>0</v>
      </c>
      <c r="AF179" s="6224"/>
      <c r="AG179" s="6224"/>
      <c r="AH179" s="6224"/>
      <c r="AI179" s="6224"/>
      <c r="AJ179" s="6224"/>
      <c r="AK179" s="1706"/>
      <c r="BL179" s="3546"/>
      <c r="BM179" s="3546"/>
    </row>
    <row r="180" spans="1:65" ht="15" customHeight="1">
      <c r="A180" s="1706"/>
      <c r="B180" s="2117"/>
      <c r="C180" s="3566" t="s">
        <v>2982</v>
      </c>
      <c r="D180" s="2117" t="s">
        <v>2981</v>
      </c>
      <c r="E180" s="2117"/>
      <c r="F180" s="2117"/>
      <c r="G180" s="2117"/>
      <c r="H180" s="2117"/>
      <c r="I180" s="2117"/>
      <c r="J180" s="2117"/>
      <c r="K180" s="2117"/>
      <c r="L180" s="2117"/>
      <c r="M180" s="2117"/>
      <c r="N180" s="2117"/>
      <c r="O180" s="2117"/>
      <c r="P180" s="2117"/>
      <c r="Q180" s="2117"/>
      <c r="R180" s="2117"/>
      <c r="S180" s="2117"/>
      <c r="T180" s="2117"/>
      <c r="U180" s="2117"/>
      <c r="V180" s="2117"/>
      <c r="W180" s="2117"/>
      <c r="X180" s="2117"/>
      <c r="Y180" s="2117"/>
      <c r="Z180" s="2117"/>
      <c r="AA180" s="2117"/>
      <c r="AB180" s="2117"/>
      <c r="AC180" s="6137"/>
      <c r="AD180" s="6138"/>
      <c r="AE180" s="6137"/>
      <c r="AF180" s="6139"/>
      <c r="AG180" s="6139"/>
      <c r="AH180" s="6139"/>
      <c r="AI180" s="6139"/>
      <c r="AJ180" s="6139"/>
      <c r="AK180" s="1706"/>
      <c r="BL180" s="3546"/>
      <c r="BM180" s="3546"/>
    </row>
    <row r="181" spans="1:65" ht="15" customHeight="1">
      <c r="A181" s="1706"/>
      <c r="B181" s="2117"/>
      <c r="C181" s="2117"/>
      <c r="D181" s="2117" t="s">
        <v>2983</v>
      </c>
      <c r="E181" s="2117"/>
      <c r="F181" s="2117"/>
      <c r="G181" s="2117"/>
      <c r="H181" s="2117"/>
      <c r="I181" s="2117"/>
      <c r="J181" s="2117"/>
      <c r="K181" s="2117"/>
      <c r="L181" s="2117"/>
      <c r="M181" s="2117"/>
      <c r="N181" s="2117"/>
      <c r="O181" s="2117"/>
      <c r="P181" s="2117"/>
      <c r="Q181" s="2117"/>
      <c r="R181" s="2117"/>
      <c r="S181" s="2117"/>
      <c r="T181" s="2117"/>
      <c r="U181" s="2117"/>
      <c r="V181" s="2117"/>
      <c r="W181" s="2117"/>
      <c r="X181" s="2117"/>
      <c r="Y181" s="2117"/>
      <c r="Z181" s="2117"/>
      <c r="AA181" s="2117"/>
      <c r="AB181" s="2476" t="s">
        <v>996</v>
      </c>
      <c r="AC181" s="6135">
        <v>44</v>
      </c>
      <c r="AD181" s="4722"/>
      <c r="AE181" s="6136"/>
      <c r="AF181" s="6136"/>
      <c r="AG181" s="6136"/>
      <c r="AH181" s="6136"/>
      <c r="AI181" s="6136"/>
      <c r="AJ181" s="6136"/>
      <c r="AK181" s="1706"/>
      <c r="BL181" s="3546"/>
      <c r="BM181" s="3546"/>
    </row>
    <row r="182" spans="1:65" ht="15" customHeight="1">
      <c r="A182" s="1706"/>
      <c r="B182" s="2117"/>
      <c r="C182" s="3566" t="s">
        <v>2984</v>
      </c>
      <c r="D182" s="2611" t="s">
        <v>3001</v>
      </c>
      <c r="E182" s="2117"/>
      <c r="F182" s="2117"/>
      <c r="G182" s="2117"/>
      <c r="H182" s="2117"/>
      <c r="I182" s="2117"/>
      <c r="J182" s="2117"/>
      <c r="K182" s="2117"/>
      <c r="L182" s="2117"/>
      <c r="M182" s="2117"/>
      <c r="N182" s="2117"/>
      <c r="O182" s="2117"/>
      <c r="P182" s="2117"/>
      <c r="Q182" s="2117"/>
      <c r="R182" s="2117"/>
      <c r="S182" s="2117"/>
      <c r="T182" s="2117"/>
      <c r="U182" s="2117"/>
      <c r="V182" s="2117"/>
      <c r="W182" s="2117"/>
      <c r="X182" s="2117"/>
      <c r="Y182" s="2117"/>
      <c r="Z182" s="2117"/>
      <c r="AA182" s="2117"/>
      <c r="AB182" s="2117"/>
      <c r="AC182" s="6137"/>
      <c r="AD182" s="6138"/>
      <c r="AE182" s="6137"/>
      <c r="AF182" s="6139"/>
      <c r="AG182" s="6139"/>
      <c r="AH182" s="6139"/>
      <c r="AI182" s="6139"/>
      <c r="AJ182" s="6139"/>
      <c r="AK182" s="1706"/>
      <c r="BL182" s="3546"/>
      <c r="BM182" s="3546"/>
    </row>
    <row r="183" spans="1:65" ht="15" customHeight="1" thickBot="1">
      <c r="A183" s="1706"/>
      <c r="B183" s="2117"/>
      <c r="C183" s="2117"/>
      <c r="D183" s="2117" t="s">
        <v>2985</v>
      </c>
      <c r="E183" s="2117"/>
      <c r="F183" s="2117"/>
      <c r="G183" s="2117"/>
      <c r="H183" s="2117"/>
      <c r="I183" s="2117"/>
      <c r="J183" s="2117"/>
      <c r="K183" s="2117"/>
      <c r="L183" s="2117"/>
      <c r="M183" s="2117"/>
      <c r="N183" s="2117"/>
      <c r="O183" s="2117"/>
      <c r="P183" s="2117"/>
      <c r="Q183" s="2117"/>
      <c r="R183" s="2117"/>
      <c r="S183" s="2117"/>
      <c r="T183" s="2117"/>
      <c r="U183" s="2117"/>
      <c r="V183" s="2117"/>
      <c r="W183" s="2117"/>
      <c r="X183" s="2117"/>
      <c r="Y183" s="2117"/>
      <c r="Z183" s="2117"/>
      <c r="AA183" s="2117"/>
      <c r="AB183" s="2117"/>
      <c r="AC183" s="6219"/>
      <c r="AD183" s="6225"/>
      <c r="AE183" s="6237"/>
      <c r="AF183" s="6238"/>
      <c r="AG183" s="6239"/>
      <c r="AH183" s="6239"/>
      <c r="AI183" s="6239"/>
      <c r="AJ183" s="6239"/>
      <c r="AK183" s="1706"/>
      <c r="AM183" s="3582" t="s">
        <v>150</v>
      </c>
      <c r="BL183" s="3546"/>
      <c r="BM183" s="3546"/>
    </row>
    <row r="184" spans="1:65" ht="15" customHeight="1" thickBot="1">
      <c r="A184" s="1706"/>
      <c r="B184" s="2117"/>
      <c r="C184" s="2117"/>
      <c r="D184" s="2117" t="s">
        <v>2986</v>
      </c>
      <c r="E184" s="2117"/>
      <c r="F184" s="2117"/>
      <c r="G184" s="2117"/>
      <c r="H184" s="2117"/>
      <c r="I184" s="2117"/>
      <c r="J184" s="2117"/>
      <c r="K184" s="2117"/>
      <c r="L184" s="2117"/>
      <c r="M184" s="2117"/>
      <c r="N184" s="2117"/>
      <c r="O184" s="2117"/>
      <c r="P184" s="2117"/>
      <c r="Q184" s="2117"/>
      <c r="R184" s="2117"/>
      <c r="S184" s="2117"/>
      <c r="T184" s="2117"/>
      <c r="U184" s="2117"/>
      <c r="V184" s="2117"/>
      <c r="W184" s="2117"/>
      <c r="X184" s="2117"/>
      <c r="Y184" s="2117"/>
      <c r="Z184" s="2117"/>
      <c r="AA184" s="2117"/>
      <c r="AB184" s="2476" t="s">
        <v>154</v>
      </c>
      <c r="AC184" s="6135">
        <v>45</v>
      </c>
      <c r="AD184" s="4722"/>
      <c r="AE184" s="6224">
        <f>IF(AM184&lt;&gt;"",ROUND(AM184,0),IF(AE179=0,0,SUM(AE179,-AE181)))</f>
        <v>0</v>
      </c>
      <c r="AF184" s="6224"/>
      <c r="AG184" s="6224"/>
      <c r="AH184" s="6224"/>
      <c r="AI184" s="6224"/>
      <c r="AJ184" s="6224"/>
      <c r="AK184" s="1706"/>
      <c r="AM184" s="3636"/>
      <c r="BL184" s="3546"/>
      <c r="BM184" s="3546"/>
    </row>
    <row r="185" spans="1:65" ht="7.5" customHeight="1">
      <c r="A185" s="1706"/>
      <c r="B185" s="3525"/>
      <c r="C185" s="3525"/>
      <c r="D185" s="6240" t="s">
        <v>2988</v>
      </c>
      <c r="E185" s="6114"/>
      <c r="F185" s="6114"/>
      <c r="G185" s="6114"/>
      <c r="H185" s="6114"/>
      <c r="I185" s="6114"/>
      <c r="J185" s="6114"/>
      <c r="K185" s="6114"/>
      <c r="L185" s="6114"/>
      <c r="M185" s="6114"/>
      <c r="N185" s="6114"/>
      <c r="O185" s="6114"/>
      <c r="P185" s="6114"/>
      <c r="Q185" s="6114"/>
      <c r="R185" s="6114"/>
      <c r="S185" s="6114"/>
      <c r="T185" s="6114"/>
      <c r="U185" s="6114"/>
      <c r="V185" s="6114"/>
      <c r="W185" s="6114"/>
      <c r="X185" s="6114"/>
      <c r="Y185" s="6114"/>
      <c r="Z185" s="6114"/>
      <c r="AA185" s="6114"/>
      <c r="AB185" s="6114"/>
      <c r="AC185" s="6114"/>
      <c r="AD185" s="6114"/>
      <c r="AE185" s="6114"/>
      <c r="AF185" s="6114"/>
      <c r="AG185" s="6114"/>
      <c r="AH185" s="6114"/>
      <c r="AI185" s="6114"/>
      <c r="AJ185" s="6114"/>
      <c r="AK185" s="1706"/>
    </row>
    <row r="186" spans="1:65" ht="15" customHeight="1">
      <c r="A186" s="1706"/>
      <c r="B186" s="3407" t="s">
        <v>2987</v>
      </c>
      <c r="C186" s="3408"/>
      <c r="D186" s="4979"/>
      <c r="E186" s="4979"/>
      <c r="F186" s="4979"/>
      <c r="G186" s="4979"/>
      <c r="H186" s="4979"/>
      <c r="I186" s="4979"/>
      <c r="J186" s="4979"/>
      <c r="K186" s="4979"/>
      <c r="L186" s="4979"/>
      <c r="M186" s="4979"/>
      <c r="N186" s="4979"/>
      <c r="O186" s="4979"/>
      <c r="P186" s="4979"/>
      <c r="Q186" s="4979"/>
      <c r="R186" s="4979"/>
      <c r="S186" s="4979"/>
      <c r="T186" s="4979"/>
      <c r="U186" s="4979"/>
      <c r="V186" s="4979"/>
      <c r="W186" s="4979"/>
      <c r="X186" s="4979"/>
      <c r="Y186" s="4979"/>
      <c r="Z186" s="4979"/>
      <c r="AA186" s="4979"/>
      <c r="AB186" s="4979"/>
      <c r="AC186" s="4979"/>
      <c r="AD186" s="4979"/>
      <c r="AE186" s="4979"/>
      <c r="AF186" s="4979"/>
      <c r="AG186" s="4979"/>
      <c r="AH186" s="4979"/>
      <c r="AI186" s="4979"/>
      <c r="AJ186" s="4979"/>
      <c r="AK186" s="1706"/>
    </row>
    <row r="187" spans="1:65" ht="7.5" customHeight="1">
      <c r="A187" s="1706"/>
      <c r="B187" s="3530"/>
      <c r="C187" s="3530"/>
      <c r="D187" s="6119"/>
      <c r="E187" s="6119"/>
      <c r="F187" s="6119"/>
      <c r="G187" s="6119"/>
      <c r="H187" s="6119"/>
      <c r="I187" s="6119"/>
      <c r="J187" s="6119"/>
      <c r="K187" s="6119"/>
      <c r="L187" s="6119"/>
      <c r="M187" s="6119"/>
      <c r="N187" s="6119"/>
      <c r="O187" s="6119"/>
      <c r="P187" s="6119"/>
      <c r="Q187" s="6119"/>
      <c r="R187" s="6119"/>
      <c r="S187" s="6119"/>
      <c r="T187" s="6119"/>
      <c r="U187" s="6119"/>
      <c r="V187" s="6119"/>
      <c r="W187" s="6119"/>
      <c r="X187" s="6119"/>
      <c r="Y187" s="6119"/>
      <c r="Z187" s="6119"/>
      <c r="AA187" s="6119"/>
      <c r="AB187" s="6119"/>
      <c r="AC187" s="6119"/>
      <c r="AD187" s="6119"/>
      <c r="AE187" s="6119"/>
      <c r="AF187" s="6119"/>
      <c r="AG187" s="6119"/>
      <c r="AH187" s="6119"/>
      <c r="AI187" s="6119"/>
      <c r="AJ187" s="6119"/>
      <c r="AK187" s="1706"/>
    </row>
    <row r="188" spans="1:65" ht="15" customHeight="1">
      <c r="A188" s="1706"/>
      <c r="B188" s="2117"/>
      <c r="C188" s="3566" t="s">
        <v>2991</v>
      </c>
      <c r="D188" s="2117" t="s">
        <v>2989</v>
      </c>
      <c r="E188" s="2117"/>
      <c r="F188" s="2117"/>
      <c r="G188" s="2117"/>
      <c r="H188" s="2117"/>
      <c r="I188" s="2117"/>
      <c r="J188" s="2117"/>
      <c r="K188" s="2117"/>
      <c r="L188" s="2117"/>
      <c r="M188" s="2117"/>
      <c r="N188" s="2117"/>
      <c r="O188" s="2117"/>
      <c r="P188" s="2117"/>
      <c r="Q188" s="2117"/>
      <c r="R188" s="2117"/>
      <c r="S188" s="2117"/>
      <c r="T188" s="2117"/>
      <c r="U188" s="2117"/>
      <c r="V188" s="2117"/>
      <c r="W188" s="2117"/>
      <c r="X188" s="2117"/>
      <c r="Y188" s="2117"/>
      <c r="Z188" s="2117"/>
      <c r="AA188" s="2117"/>
      <c r="AB188" s="2476" t="s">
        <v>1878</v>
      </c>
      <c r="AC188" s="6135">
        <v>46</v>
      </c>
      <c r="AD188" s="4722"/>
      <c r="AE188" s="6224" t="str">
        <f>IF(OR(AE155="",AE160=""),"",SUM(AE155,-AE160))</f>
        <v/>
      </c>
      <c r="AF188" s="6224"/>
      <c r="AG188" s="6224"/>
      <c r="AH188" s="6224"/>
      <c r="AI188" s="6224"/>
      <c r="AJ188" s="6224"/>
      <c r="AK188" s="1706"/>
      <c r="BL188" s="3546"/>
      <c r="BM188" s="3546"/>
    </row>
    <row r="189" spans="1:65" ht="15" customHeight="1">
      <c r="A189" s="1706"/>
      <c r="B189" s="2117"/>
      <c r="C189" s="3566" t="s">
        <v>2992</v>
      </c>
      <c r="D189" s="2117" t="s">
        <v>2990</v>
      </c>
      <c r="E189" s="2117"/>
      <c r="F189" s="2117"/>
      <c r="G189" s="2117"/>
      <c r="H189" s="2117"/>
      <c r="I189" s="2117"/>
      <c r="J189" s="2117"/>
      <c r="K189" s="2117"/>
      <c r="L189" s="2117"/>
      <c r="M189" s="2117"/>
      <c r="N189" s="2117"/>
      <c r="O189" s="2117"/>
      <c r="P189" s="2117"/>
      <c r="Q189" s="2117"/>
      <c r="R189" s="2117"/>
      <c r="S189" s="2117"/>
      <c r="T189" s="2117"/>
      <c r="U189" s="2117"/>
      <c r="V189" s="2117"/>
      <c r="W189" s="2117"/>
      <c r="X189" s="2117"/>
      <c r="Y189" s="2117"/>
      <c r="Z189" s="2117"/>
      <c r="AA189" s="2117"/>
      <c r="AB189" s="2476" t="s">
        <v>1878</v>
      </c>
      <c r="AC189" s="6135">
        <v>47</v>
      </c>
      <c r="AD189" s="4722"/>
      <c r="AE189" s="6224" t="str">
        <f>IF(D139="","",SUM(AE137,-AE179))</f>
        <v/>
      </c>
      <c r="AF189" s="6224"/>
      <c r="AG189" s="6224"/>
      <c r="AH189" s="6224"/>
      <c r="AI189" s="6224"/>
      <c r="AJ189" s="6224"/>
      <c r="AK189" s="1706"/>
      <c r="BL189" s="3546"/>
      <c r="BM189" s="3546"/>
    </row>
    <row r="190" spans="1:65" ht="15" customHeight="1">
      <c r="A190" s="1706"/>
      <c r="B190" s="2117"/>
      <c r="C190" s="3566" t="s">
        <v>2993</v>
      </c>
      <c r="D190" s="2611" t="s">
        <v>3002</v>
      </c>
      <c r="E190" s="2117"/>
      <c r="F190" s="2117"/>
      <c r="G190" s="2117"/>
      <c r="H190" s="2117"/>
      <c r="I190" s="2117"/>
      <c r="J190" s="2117"/>
      <c r="K190" s="2117"/>
      <c r="L190" s="2117"/>
      <c r="M190" s="2117"/>
      <c r="N190" s="2117"/>
      <c r="O190" s="2117"/>
      <c r="P190" s="2117"/>
      <c r="Q190" s="2117"/>
      <c r="R190" s="2117"/>
      <c r="S190" s="2117"/>
      <c r="T190" s="2117"/>
      <c r="U190" s="2117"/>
      <c r="V190" s="2117"/>
      <c r="W190" s="2117"/>
      <c r="X190" s="2117"/>
      <c r="Y190" s="2117"/>
      <c r="Z190" s="2117"/>
      <c r="AA190" s="2117"/>
      <c r="AB190" s="2476" t="s">
        <v>278</v>
      </c>
      <c r="AC190" s="6135">
        <v>48</v>
      </c>
      <c r="AD190" s="4722"/>
      <c r="AE190" s="6224" t="str">
        <f>IF(D139="","",MIN(AE188,AE189))</f>
        <v/>
      </c>
      <c r="AF190" s="6224"/>
      <c r="AG190" s="6224"/>
      <c r="AH190" s="6224"/>
      <c r="AI190" s="6224"/>
      <c r="AJ190" s="6224"/>
      <c r="AK190" s="1706"/>
      <c r="BL190" s="3546"/>
      <c r="BM190" s="3546"/>
    </row>
    <row r="191" spans="1:65" ht="15" customHeight="1">
      <c r="A191" s="1706"/>
      <c r="B191" s="2117"/>
      <c r="C191" s="2117"/>
      <c r="D191" s="2611" t="s">
        <v>3210</v>
      </c>
      <c r="E191" s="2117"/>
      <c r="F191" s="2117"/>
      <c r="G191" s="2117"/>
      <c r="H191" s="2117"/>
      <c r="I191" s="2117"/>
      <c r="J191" s="2117"/>
      <c r="K191" s="2117"/>
      <c r="L191" s="2117"/>
      <c r="M191" s="2117"/>
      <c r="N191" s="2117"/>
      <c r="O191" s="2117"/>
      <c r="P191" s="2117"/>
      <c r="Q191" s="2117"/>
      <c r="R191" s="2117" t="str">
        <f>"all of your "&amp;TaxYear-1&amp;" housing deduction"</f>
        <v>all of your 2015 housing deduction</v>
      </c>
      <c r="S191" s="2117"/>
      <c r="T191" s="2117"/>
      <c r="U191" s="2117"/>
      <c r="V191" s="2117"/>
      <c r="W191" s="2117"/>
      <c r="X191" s="2117"/>
      <c r="Y191" s="2117"/>
      <c r="Z191" s="2117"/>
      <c r="AA191" s="2117"/>
      <c r="AB191" s="2117"/>
      <c r="AC191" s="6233"/>
      <c r="AD191" s="6234"/>
      <c r="AE191" s="6137"/>
      <c r="AF191" s="6139"/>
      <c r="AG191" s="6139"/>
      <c r="AH191" s="6139"/>
      <c r="AI191" s="6139"/>
      <c r="AJ191" s="6139"/>
      <c r="AK191" s="1706"/>
      <c r="BL191" s="3546"/>
      <c r="BM191" s="3546"/>
    </row>
    <row r="192" spans="1:65" ht="15" customHeight="1">
      <c r="A192" s="1706"/>
      <c r="B192" s="2117"/>
      <c r="C192" s="2117"/>
      <c r="D192" s="2117" t="str">
        <f>"because of the "&amp;TaxYear-1&amp;" limit, use the housing deduction carryover worksheet in the instructions to"</f>
        <v>because of the 2015 limit, use the housing deduction carryover worksheet in the instructions to</v>
      </c>
      <c r="E192" s="2117"/>
      <c r="F192" s="2117"/>
      <c r="G192" s="2117"/>
      <c r="H192" s="2117"/>
      <c r="I192" s="2117"/>
      <c r="J192" s="2117"/>
      <c r="K192" s="2117"/>
      <c r="L192" s="2117"/>
      <c r="M192" s="2117"/>
      <c r="N192" s="2117"/>
      <c r="O192" s="2117"/>
      <c r="P192" s="2117"/>
      <c r="Q192" s="2117"/>
      <c r="R192" s="2117"/>
      <c r="S192" s="2117"/>
      <c r="T192" s="2117"/>
      <c r="U192" s="2117"/>
      <c r="V192" s="2117"/>
      <c r="W192" s="2117"/>
      <c r="X192" s="2117"/>
      <c r="Y192" s="2117"/>
      <c r="Z192" s="2117"/>
      <c r="AA192" s="2117"/>
      <c r="AB192" s="2117"/>
      <c r="AC192" s="6241"/>
      <c r="AD192" s="6242"/>
      <c r="AE192" s="6219"/>
      <c r="AF192" s="6220"/>
      <c r="AG192" s="6220"/>
      <c r="AH192" s="6220"/>
      <c r="AI192" s="6220"/>
      <c r="AJ192" s="6220"/>
      <c r="AK192" s="1706"/>
      <c r="BL192" s="3546"/>
      <c r="BM192" s="3546"/>
    </row>
    <row r="193" spans="1:74" ht="15" customHeight="1">
      <c r="A193" s="1706"/>
      <c r="B193" s="2117"/>
      <c r="C193" s="2117"/>
      <c r="D193" s="2117" t="s">
        <v>2994</v>
      </c>
      <c r="E193" s="2117"/>
      <c r="F193" s="2117"/>
      <c r="G193" s="2117"/>
      <c r="H193" s="2117"/>
      <c r="I193" s="2117"/>
      <c r="J193" s="2117"/>
      <c r="K193" s="2117"/>
      <c r="L193" s="2117"/>
      <c r="M193" s="2117"/>
      <c r="N193" s="2117"/>
      <c r="O193" s="2117"/>
      <c r="P193" s="2117"/>
      <c r="Q193" s="2117"/>
      <c r="R193" s="2117"/>
      <c r="S193" s="2117"/>
      <c r="T193" s="2117"/>
      <c r="U193" s="2117"/>
      <c r="V193" s="2117"/>
      <c r="W193" s="2117"/>
      <c r="X193" s="2117"/>
      <c r="Y193" s="2117"/>
      <c r="Z193" s="2117"/>
      <c r="AA193" s="2117"/>
      <c r="AB193" s="2117"/>
      <c r="AC193" s="6241"/>
      <c r="AD193" s="6242"/>
      <c r="AE193" s="6219"/>
      <c r="AF193" s="6220"/>
      <c r="AG193" s="6220"/>
      <c r="AH193" s="6220"/>
      <c r="AI193" s="6220"/>
      <c r="AJ193" s="6220"/>
      <c r="AK193" s="1706"/>
      <c r="BL193" s="3546"/>
      <c r="BM193" s="3546"/>
    </row>
    <row r="194" spans="1:74" ht="15" customHeight="1">
      <c r="A194" s="1706"/>
      <c r="B194" s="2117"/>
      <c r="C194" s="3566" t="s">
        <v>2995</v>
      </c>
      <c r="D194" s="2117" t="str">
        <f>"Housing deduction carryover from "&amp;TaxYear-1&amp;" (from the housing deduction carryover worksheet in the"</f>
        <v>Housing deduction carryover from 2015 (from the housing deduction carryover worksheet in the</v>
      </c>
      <c r="E194" s="2117"/>
      <c r="F194" s="2117"/>
      <c r="G194" s="2117"/>
      <c r="H194" s="2117"/>
      <c r="I194" s="2117"/>
      <c r="J194" s="2117"/>
      <c r="K194" s="2117"/>
      <c r="L194" s="2117"/>
      <c r="M194" s="2117"/>
      <c r="N194" s="2117"/>
      <c r="O194" s="2117"/>
      <c r="P194" s="2117"/>
      <c r="Q194" s="2117"/>
      <c r="R194" s="2117"/>
      <c r="S194" s="2117"/>
      <c r="T194" s="2117"/>
      <c r="U194" s="2117"/>
      <c r="V194" s="2117"/>
      <c r="W194" s="2117"/>
      <c r="X194" s="2117"/>
      <c r="Y194" s="2117"/>
      <c r="Z194" s="2117"/>
      <c r="AA194" s="2117"/>
      <c r="AB194" s="2117"/>
      <c r="AC194" s="6241"/>
      <c r="AD194" s="6242"/>
      <c r="AE194" s="6219"/>
      <c r="AF194" s="6220"/>
      <c r="AG194" s="6220"/>
      <c r="AH194" s="6220"/>
      <c r="AI194" s="6220"/>
      <c r="AJ194" s="6220"/>
      <c r="AK194" s="1706"/>
      <c r="BL194" s="3546"/>
      <c r="BM194" s="3546"/>
    </row>
    <row r="195" spans="1:74" ht="15" customHeight="1">
      <c r="A195" s="1706"/>
      <c r="B195" s="2117"/>
      <c r="C195" s="2117"/>
      <c r="D195" s="2117" t="s">
        <v>1842</v>
      </c>
      <c r="E195" s="2117"/>
      <c r="F195" s="2117"/>
      <c r="G195" s="2117"/>
      <c r="H195" s="2117"/>
      <c r="I195" s="2117"/>
      <c r="J195" s="2117"/>
      <c r="K195" s="2117"/>
      <c r="L195" s="2117"/>
      <c r="M195" s="2117"/>
      <c r="N195" s="2117"/>
      <c r="O195" s="2117"/>
      <c r="P195" s="2117"/>
      <c r="Q195" s="2117"/>
      <c r="R195" s="2117"/>
      <c r="S195" s="2117"/>
      <c r="T195" s="2117"/>
      <c r="U195" s="2117"/>
      <c r="V195" s="2117"/>
      <c r="W195" s="2117"/>
      <c r="X195" s="2117"/>
      <c r="Y195" s="2117"/>
      <c r="Z195" s="2117"/>
      <c r="AA195" s="2117"/>
      <c r="AB195" s="2476" t="s">
        <v>3008</v>
      </c>
      <c r="AC195" s="6135">
        <v>49</v>
      </c>
      <c r="AD195" s="4722"/>
      <c r="AE195" s="6136"/>
      <c r="AF195" s="6136"/>
      <c r="AG195" s="6136"/>
      <c r="AH195" s="6136"/>
      <c r="AI195" s="6136"/>
      <c r="AJ195" s="6136"/>
      <c r="AK195" s="1706"/>
      <c r="BL195" s="3546"/>
      <c r="BM195" s="3546"/>
    </row>
    <row r="196" spans="1:74" ht="15" customHeight="1">
      <c r="A196" s="1706"/>
      <c r="B196" s="2117"/>
      <c r="C196" s="3566" t="s">
        <v>2996</v>
      </c>
      <c r="D196" s="2611" t="s">
        <v>3003</v>
      </c>
      <c r="E196" s="2117"/>
      <c r="F196" s="2117"/>
      <c r="G196" s="2117"/>
      <c r="H196" s="2117"/>
      <c r="I196" s="2117"/>
      <c r="J196" s="2117"/>
      <c r="K196" s="2117"/>
      <c r="L196" s="2117"/>
      <c r="M196" s="2117"/>
      <c r="N196" s="2117"/>
      <c r="O196" s="2117"/>
      <c r="P196" s="2117"/>
      <c r="Q196" s="2117"/>
      <c r="R196" s="2117"/>
      <c r="S196" s="2117"/>
      <c r="T196" s="2117"/>
      <c r="U196" s="2117"/>
      <c r="V196" s="2117"/>
      <c r="W196" s="2117"/>
      <c r="X196" s="2117"/>
      <c r="Y196" s="2117"/>
      <c r="Z196" s="2117"/>
      <c r="AA196" s="2117"/>
      <c r="AB196" s="2117"/>
      <c r="AC196" s="6137"/>
      <c r="AD196" s="6138"/>
      <c r="AE196" s="6137"/>
      <c r="AF196" s="6139"/>
      <c r="AG196" s="6139"/>
      <c r="AH196" s="6139"/>
      <c r="AI196" s="6139"/>
      <c r="AJ196" s="6139"/>
      <c r="AK196" s="1706"/>
      <c r="BL196" s="3546"/>
      <c r="BM196" s="3546"/>
    </row>
    <row r="197" spans="1:74" ht="15" customHeight="1" thickBot="1">
      <c r="A197" s="1706"/>
      <c r="B197" s="2117"/>
      <c r="C197" s="2117"/>
      <c r="D197" s="2117" t="s">
        <v>2997</v>
      </c>
      <c r="E197" s="2117"/>
      <c r="F197" s="2117"/>
      <c r="G197" s="2117"/>
      <c r="H197" s="2117"/>
      <c r="I197" s="2117"/>
      <c r="J197" s="2117"/>
      <c r="K197" s="2117"/>
      <c r="L197" s="2117"/>
      <c r="M197" s="2117"/>
      <c r="N197" s="2117"/>
      <c r="O197" s="2117"/>
      <c r="P197" s="2117"/>
      <c r="Q197" s="2117"/>
      <c r="R197" s="2117"/>
      <c r="S197" s="2117"/>
      <c r="T197" s="2117"/>
      <c r="U197" s="2117"/>
      <c r="V197" s="2117"/>
      <c r="W197" s="2117"/>
      <c r="X197" s="2117"/>
      <c r="Y197" s="2117"/>
      <c r="Z197" s="2117"/>
      <c r="AA197" s="2117"/>
      <c r="AB197" s="2117"/>
      <c r="AC197" s="6219"/>
      <c r="AD197" s="6225"/>
      <c r="AE197" s="6219"/>
      <c r="AF197" s="6220"/>
      <c r="AG197" s="6220"/>
      <c r="AH197" s="6220"/>
      <c r="AI197" s="6220"/>
      <c r="AJ197" s="6220"/>
      <c r="AK197" s="1706"/>
      <c r="AM197" s="3582" t="s">
        <v>150</v>
      </c>
      <c r="BL197" s="3546"/>
      <c r="BM197" s="3546"/>
    </row>
    <row r="198" spans="1:74" ht="15" customHeight="1" thickBot="1">
      <c r="A198" s="1706"/>
      <c r="B198" s="2117"/>
      <c r="C198" s="2117"/>
      <c r="D198" s="2117" t="s">
        <v>2998</v>
      </c>
      <c r="E198" s="2117"/>
      <c r="F198" s="2117"/>
      <c r="G198" s="2117"/>
      <c r="H198" s="2117"/>
      <c r="I198" s="2117"/>
      <c r="J198" s="2117"/>
      <c r="K198" s="2117"/>
      <c r="L198" s="2117"/>
      <c r="M198" s="2117"/>
      <c r="N198" s="2117"/>
      <c r="O198" s="2117"/>
      <c r="P198" s="2117"/>
      <c r="Q198" s="2117"/>
      <c r="R198" s="2117"/>
      <c r="S198" s="2117"/>
      <c r="T198" s="2117"/>
      <c r="U198" s="2117"/>
      <c r="V198" s="2117"/>
      <c r="W198" s="2117"/>
      <c r="X198" s="2117"/>
      <c r="Y198" s="2117"/>
      <c r="Z198" s="2117"/>
      <c r="AA198" s="2117"/>
      <c r="AB198" s="2476" t="s">
        <v>3007</v>
      </c>
      <c r="AC198" s="6135">
        <v>50</v>
      </c>
      <c r="AD198" s="4722"/>
      <c r="AE198" s="6224">
        <f>IF(D139="",0,IF(AM198&lt;&gt;"",ROUND(AM198,0),SUM(AE190,AE195)))</f>
        <v>0</v>
      </c>
      <c r="AF198" s="6224"/>
      <c r="AG198" s="6224"/>
      <c r="AH198" s="6224"/>
      <c r="AI198" s="6224"/>
      <c r="AJ198" s="6224"/>
      <c r="AK198" s="1706"/>
      <c r="AM198" s="3636"/>
      <c r="BL198" s="3546"/>
      <c r="BM198" s="3546"/>
    </row>
    <row r="199" spans="1:74" ht="13.5" thickTop="1">
      <c r="A199" s="1706"/>
      <c r="B199" s="2760"/>
      <c r="C199" s="2760"/>
      <c r="D199" s="2760"/>
      <c r="E199" s="2760"/>
      <c r="F199" s="2760"/>
      <c r="G199" s="2760"/>
      <c r="H199" s="2760"/>
      <c r="I199" s="2760"/>
      <c r="J199" s="2760"/>
      <c r="K199" s="2760"/>
      <c r="L199" s="2760"/>
      <c r="M199" s="2760"/>
      <c r="N199" s="2760"/>
      <c r="O199" s="2760"/>
      <c r="P199" s="2760"/>
      <c r="Q199" s="2760"/>
      <c r="R199" s="2760"/>
      <c r="S199" s="2760"/>
      <c r="T199" s="2760"/>
      <c r="U199" s="2760"/>
      <c r="V199" s="2760"/>
      <c r="W199" s="2760"/>
      <c r="X199" s="2760"/>
      <c r="Y199" s="2760"/>
      <c r="Z199" s="2760"/>
      <c r="AA199" s="2760"/>
      <c r="AB199" s="2760"/>
      <c r="AC199" s="2760"/>
      <c r="AD199" s="2760"/>
      <c r="AE199" s="2760"/>
      <c r="AF199" s="2760"/>
      <c r="AG199" s="2760"/>
      <c r="AH199" s="2760"/>
      <c r="AI199" s="3587"/>
      <c r="AJ199" s="3587" t="str">
        <f>"Form 2555 ("&amp;TaxYear&amp;")"</f>
        <v>Form 2555 (2016)</v>
      </c>
      <c r="AK199" s="1706"/>
      <c r="AO199" s="3553"/>
      <c r="AP199" s="3554"/>
      <c r="AQ199" s="3546"/>
      <c r="AS199" s="3555"/>
      <c r="BL199" s="3546"/>
      <c r="BM199" s="3546"/>
      <c r="BO199" s="3546"/>
      <c r="BP199" s="3546"/>
      <c r="BQ199" s="3546"/>
      <c r="BR199" s="3546"/>
      <c r="BS199" s="3546"/>
      <c r="BT199" s="3546"/>
      <c r="BU199" s="3546"/>
      <c r="BV199" s="3546"/>
    </row>
    <row r="200" spans="1:74">
      <c r="BL200" s="3546"/>
      <c r="BM200" s="3546"/>
    </row>
    <row r="201" spans="1:74">
      <c r="BL201" s="3546"/>
      <c r="BM201" s="3546"/>
    </row>
    <row r="202" spans="1:74">
      <c r="BL202" s="3546"/>
      <c r="BM202" s="3546"/>
    </row>
    <row r="203" spans="1:74">
      <c r="BL203" s="3546"/>
      <c r="BM203" s="3546"/>
    </row>
    <row r="204" spans="1:74">
      <c r="BL204" s="3546"/>
      <c r="BM204" s="3546"/>
    </row>
    <row r="205" spans="1:74">
      <c r="BL205" s="3546"/>
      <c r="BM205" s="3546"/>
    </row>
    <row r="206" spans="1:74">
      <c r="BL206" s="3546"/>
      <c r="BM206" s="3546"/>
    </row>
    <row r="207" spans="1:74">
      <c r="BL207" s="3546"/>
      <c r="BM207" s="3546"/>
    </row>
    <row r="208" spans="1:74">
      <c r="BL208" s="3546"/>
      <c r="BM208" s="3546"/>
    </row>
    <row r="209" spans="64:65">
      <c r="BL209" s="3546"/>
      <c r="BM209" s="3546"/>
    </row>
    <row r="210" spans="64:65">
      <c r="BL210" s="3546"/>
      <c r="BM210" s="3546"/>
    </row>
    <row r="211" spans="64:65">
      <c r="BL211" s="3546"/>
      <c r="BM211" s="3546"/>
    </row>
    <row r="212" spans="64:65">
      <c r="BL212" s="3546"/>
      <c r="BM212" s="3546"/>
    </row>
    <row r="213" spans="64:65">
      <c r="BL213" s="3546"/>
      <c r="BM213" s="3546"/>
    </row>
    <row r="214" spans="64:65">
      <c r="BL214" s="3546"/>
      <c r="BM214" s="3546"/>
    </row>
    <row r="215" spans="64:65">
      <c r="BL215" s="3546"/>
      <c r="BM215" s="3546"/>
    </row>
    <row r="216" spans="64:65">
      <c r="BL216" s="3546"/>
      <c r="BM216" s="3546"/>
    </row>
    <row r="217" spans="64:65">
      <c r="BL217" s="3546"/>
      <c r="BM217" s="3546"/>
    </row>
    <row r="218" spans="64:65">
      <c r="BL218" s="3546"/>
      <c r="BM218" s="3546"/>
    </row>
    <row r="219" spans="64:65">
      <c r="BL219" s="3546"/>
      <c r="BM219" s="3546"/>
    </row>
    <row r="220" spans="64:65">
      <c r="BL220" s="3546"/>
      <c r="BM220" s="3546"/>
    </row>
    <row r="221" spans="64:65">
      <c r="BL221" s="3546"/>
      <c r="BM221" s="3546"/>
    </row>
    <row r="222" spans="64:65">
      <c r="BL222" s="3546"/>
      <c r="BM222" s="3546"/>
    </row>
    <row r="223" spans="64:65">
      <c r="BL223" s="3546"/>
      <c r="BM223" s="3546"/>
    </row>
    <row r="224" spans="64:65">
      <c r="BL224" s="3546"/>
      <c r="BM224" s="3546"/>
    </row>
    <row r="225" spans="64:65">
      <c r="BL225" s="3546"/>
      <c r="BM225" s="3546"/>
    </row>
    <row r="226" spans="64:65">
      <c r="BL226" s="3546"/>
      <c r="BM226" s="3546"/>
    </row>
    <row r="227" spans="64:65">
      <c r="BL227" s="3546"/>
      <c r="BM227" s="3546"/>
    </row>
    <row r="228" spans="64:65">
      <c r="BL228" s="3546"/>
      <c r="BM228" s="3546"/>
    </row>
    <row r="229" spans="64:65">
      <c r="BL229" s="3546"/>
      <c r="BM229" s="3546"/>
    </row>
    <row r="230" spans="64:65">
      <c r="BL230" s="3546"/>
      <c r="BM230" s="3546"/>
    </row>
    <row r="231" spans="64:65">
      <c r="BL231" s="3546"/>
      <c r="BM231" s="3546"/>
    </row>
    <row r="232" spans="64:65">
      <c r="BL232" s="3546"/>
      <c r="BM232" s="3546"/>
    </row>
    <row r="233" spans="64:65">
      <c r="BL233" s="3546"/>
      <c r="BM233" s="3546"/>
    </row>
    <row r="234" spans="64:65">
      <c r="BL234" s="3546"/>
      <c r="BM234" s="3546"/>
    </row>
    <row r="235" spans="64:65">
      <c r="BL235" s="3546"/>
      <c r="BM235" s="3546"/>
    </row>
    <row r="236" spans="64:65">
      <c r="BL236" s="3546"/>
      <c r="BM236" s="3546"/>
    </row>
    <row r="237" spans="64:65">
      <c r="BL237" s="3546"/>
      <c r="BM237" s="3546"/>
    </row>
    <row r="238" spans="64:65">
      <c r="BL238" s="3546"/>
      <c r="BM238" s="3546"/>
    </row>
    <row r="239" spans="64:65">
      <c r="BL239" s="3546"/>
      <c r="BM239" s="3546"/>
    </row>
    <row r="240" spans="64:65">
      <c r="BL240" s="3546"/>
      <c r="BM240" s="3546"/>
    </row>
    <row r="241" spans="64:65">
      <c r="BL241" s="3546"/>
      <c r="BM241" s="3546"/>
    </row>
    <row r="242" spans="64:65">
      <c r="BL242" s="3546"/>
      <c r="BM242" s="3546"/>
    </row>
    <row r="243" spans="64:65">
      <c r="BM243" s="3546"/>
    </row>
    <row r="244" spans="64:65">
      <c r="BM244" s="3546"/>
    </row>
  </sheetData>
  <sheetProtection password="F07E" sheet="1" objects="1" scenarios="1"/>
  <mergeCells count="335">
    <mergeCell ref="O119:S119"/>
    <mergeCell ref="D120:S120"/>
    <mergeCell ref="AE150:AJ150"/>
    <mergeCell ref="AC149:AD149"/>
    <mergeCell ref="AE149:AJ149"/>
    <mergeCell ref="AC150:AD150"/>
    <mergeCell ref="AC147:AD147"/>
    <mergeCell ref="AE147:AJ147"/>
    <mergeCell ref="AC148:AD148"/>
    <mergeCell ref="AE148:AF148"/>
    <mergeCell ref="AG148:AH148"/>
    <mergeCell ref="AI148:AJ148"/>
    <mergeCell ref="AC137:AD137"/>
    <mergeCell ref="AE137:AJ137"/>
    <mergeCell ref="AC146:AD146"/>
    <mergeCell ref="AE146:AF146"/>
    <mergeCell ref="AG146:AH146"/>
    <mergeCell ref="AI146:AJ146"/>
    <mergeCell ref="AC130:AD130"/>
    <mergeCell ref="AE130:AJ130"/>
    <mergeCell ref="AC136:AD136"/>
    <mergeCell ref="AE136:AF136"/>
    <mergeCell ref="AG136:AH136"/>
    <mergeCell ref="AI136:AJ136"/>
    <mergeCell ref="G70:AJ70"/>
    <mergeCell ref="D71:AJ71"/>
    <mergeCell ref="AB22:AJ22"/>
    <mergeCell ref="Y23:AJ23"/>
    <mergeCell ref="AC26:AJ26"/>
    <mergeCell ref="O27:AJ27"/>
    <mergeCell ref="P31:AJ31"/>
    <mergeCell ref="AG172:AH172"/>
    <mergeCell ref="AI172:AJ172"/>
    <mergeCell ref="AC171:AD171"/>
    <mergeCell ref="AH171:AJ171"/>
    <mergeCell ref="U168:V168"/>
    <mergeCell ref="W168:Z168"/>
    <mergeCell ref="AA168:AB168"/>
    <mergeCell ref="AC159:AD159"/>
    <mergeCell ref="AE159:AF159"/>
    <mergeCell ref="AG159:AH159"/>
    <mergeCell ref="AI159:AJ159"/>
    <mergeCell ref="Q123:AA123"/>
    <mergeCell ref="D124:AA124"/>
    <mergeCell ref="T148:AA148"/>
    <mergeCell ref="AE152:AJ152"/>
    <mergeCell ref="V102:AA102"/>
    <mergeCell ref="D103:AA103"/>
    <mergeCell ref="AC198:AD198"/>
    <mergeCell ref="AE198:AJ198"/>
    <mergeCell ref="AE192:AF192"/>
    <mergeCell ref="AG192:AH192"/>
    <mergeCell ref="AI192:AJ192"/>
    <mergeCell ref="AC193:AD193"/>
    <mergeCell ref="AE193:AF193"/>
    <mergeCell ref="AG193:AH193"/>
    <mergeCell ref="AI193:AJ193"/>
    <mergeCell ref="AC194:AD194"/>
    <mergeCell ref="AE194:AF194"/>
    <mergeCell ref="AG194:AH194"/>
    <mergeCell ref="AI194:AJ194"/>
    <mergeCell ref="AE195:AJ195"/>
    <mergeCell ref="AC192:AD192"/>
    <mergeCell ref="AC195:AD195"/>
    <mergeCell ref="AC196:AD196"/>
    <mergeCell ref="AE196:AF196"/>
    <mergeCell ref="AG196:AH196"/>
    <mergeCell ref="AI196:AJ196"/>
    <mergeCell ref="AC197:AD197"/>
    <mergeCell ref="AE197:AF197"/>
    <mergeCell ref="AG197:AH197"/>
    <mergeCell ref="AI197:AJ197"/>
    <mergeCell ref="AC188:AD188"/>
    <mergeCell ref="AE188:AJ188"/>
    <mergeCell ref="AC189:AD189"/>
    <mergeCell ref="AE189:AJ189"/>
    <mergeCell ref="AC190:AD190"/>
    <mergeCell ref="AE190:AJ190"/>
    <mergeCell ref="AC184:AD184"/>
    <mergeCell ref="AE184:AJ184"/>
    <mergeCell ref="AC191:AD191"/>
    <mergeCell ref="AE191:AF191"/>
    <mergeCell ref="AG191:AH191"/>
    <mergeCell ref="AI191:AJ191"/>
    <mergeCell ref="AC182:AD182"/>
    <mergeCell ref="AE182:AF182"/>
    <mergeCell ref="AG182:AH182"/>
    <mergeCell ref="AI182:AJ182"/>
    <mergeCell ref="AC181:AD181"/>
    <mergeCell ref="AE181:AJ181"/>
    <mergeCell ref="AC183:AD183"/>
    <mergeCell ref="AE183:AJ183"/>
    <mergeCell ref="D185:AJ187"/>
    <mergeCell ref="AC179:AD179"/>
    <mergeCell ref="AE179:AJ179"/>
    <mergeCell ref="AC180:AD180"/>
    <mergeCell ref="AE180:AF180"/>
    <mergeCell ref="AG180:AH180"/>
    <mergeCell ref="AI180:AJ180"/>
    <mergeCell ref="AC172:AD172"/>
    <mergeCell ref="AE172:AF172"/>
    <mergeCell ref="AC160:AD160"/>
    <mergeCell ref="AE160:AJ160"/>
    <mergeCell ref="AC166:AD166"/>
    <mergeCell ref="AE166:AJ166"/>
    <mergeCell ref="AC175:AD175"/>
    <mergeCell ref="AE175:AJ175"/>
    <mergeCell ref="AC173:AD173"/>
    <mergeCell ref="AE173:AJ173"/>
    <mergeCell ref="AC174:AD174"/>
    <mergeCell ref="AE174:AJ174"/>
    <mergeCell ref="AE164:AJ164"/>
    <mergeCell ref="AC157:AD157"/>
    <mergeCell ref="AE157:AF157"/>
    <mergeCell ref="AG157:AH157"/>
    <mergeCell ref="AI157:AJ157"/>
    <mergeCell ref="AC158:AD158"/>
    <mergeCell ref="AH158:AJ158"/>
    <mergeCell ref="U156:V156"/>
    <mergeCell ref="W156:AB156"/>
    <mergeCell ref="AC156:AD156"/>
    <mergeCell ref="AE156:AF156"/>
    <mergeCell ref="AG156:AH156"/>
    <mergeCell ref="AI156:AJ156"/>
    <mergeCell ref="AC154:AD154"/>
    <mergeCell ref="AE154:AF154"/>
    <mergeCell ref="AG154:AH154"/>
    <mergeCell ref="AI154:AJ154"/>
    <mergeCell ref="AC155:AD155"/>
    <mergeCell ref="AE155:AJ155"/>
    <mergeCell ref="AC153:AD153"/>
    <mergeCell ref="AE153:AJ153"/>
    <mergeCell ref="U151:V151"/>
    <mergeCell ref="AA151:AB151"/>
    <mergeCell ref="U152:V152"/>
    <mergeCell ref="AA152:AB152"/>
    <mergeCell ref="W152:Z152"/>
    <mergeCell ref="AE151:AJ151"/>
    <mergeCell ref="AC128:AD128"/>
    <mergeCell ref="AE128:AJ128"/>
    <mergeCell ref="AC129:AD129"/>
    <mergeCell ref="AE129:AF129"/>
    <mergeCell ref="AG129:AH129"/>
    <mergeCell ref="AI129:AJ129"/>
    <mergeCell ref="AC126:AD126"/>
    <mergeCell ref="AE126:AJ126"/>
    <mergeCell ref="AC127:AD127"/>
    <mergeCell ref="AE127:AF127"/>
    <mergeCell ref="AG127:AH127"/>
    <mergeCell ref="AI127:AJ127"/>
    <mergeCell ref="AC124:AD124"/>
    <mergeCell ref="AE124:AJ124"/>
    <mergeCell ref="AC125:AD125"/>
    <mergeCell ref="AE125:AF125"/>
    <mergeCell ref="AG125:AH125"/>
    <mergeCell ref="AI125:AJ125"/>
    <mergeCell ref="AC122:AD122"/>
    <mergeCell ref="AE122:AJ122"/>
    <mergeCell ref="AC123:AD123"/>
    <mergeCell ref="AE123:AF123"/>
    <mergeCell ref="AG123:AH123"/>
    <mergeCell ref="AI123:AJ123"/>
    <mergeCell ref="U120:V120"/>
    <mergeCell ref="W120:AB120"/>
    <mergeCell ref="AC121:AD121"/>
    <mergeCell ref="AE121:AF121"/>
    <mergeCell ref="AG121:AH121"/>
    <mergeCell ref="AI121:AJ121"/>
    <mergeCell ref="U117:V117"/>
    <mergeCell ref="W117:AB117"/>
    <mergeCell ref="U118:V118"/>
    <mergeCell ref="W118:AB118"/>
    <mergeCell ref="U119:V119"/>
    <mergeCell ref="W119:X119"/>
    <mergeCell ref="Y119:Z119"/>
    <mergeCell ref="AA119:AB119"/>
    <mergeCell ref="U116:V116"/>
    <mergeCell ref="W116:AB116"/>
    <mergeCell ref="U115:V115"/>
    <mergeCell ref="W115:AB115"/>
    <mergeCell ref="U114:V114"/>
    <mergeCell ref="W114:AB114"/>
    <mergeCell ref="AC112:AD112"/>
    <mergeCell ref="AE112:AJ112"/>
    <mergeCell ref="AC110:AD110"/>
    <mergeCell ref="AE110:AJ110"/>
    <mergeCell ref="AC111:AD111"/>
    <mergeCell ref="AE111:AF111"/>
    <mergeCell ref="AG111:AH111"/>
    <mergeCell ref="AI111:AJ111"/>
    <mergeCell ref="P111:AA111"/>
    <mergeCell ref="D112:AA112"/>
    <mergeCell ref="AG107:AH107"/>
    <mergeCell ref="AI107:AJ107"/>
    <mergeCell ref="AC108:AD108"/>
    <mergeCell ref="AE108:AJ108"/>
    <mergeCell ref="AC109:AD109"/>
    <mergeCell ref="AE109:AF109"/>
    <mergeCell ref="AG109:AH109"/>
    <mergeCell ref="AI109:AJ109"/>
    <mergeCell ref="AC104:AD104"/>
    <mergeCell ref="AE104:AF104"/>
    <mergeCell ref="AG104:AH104"/>
    <mergeCell ref="AI104:AJ104"/>
    <mergeCell ref="AC105:AD105"/>
    <mergeCell ref="AE105:AF105"/>
    <mergeCell ref="AG105:AH105"/>
    <mergeCell ref="AI105:AJ105"/>
    <mergeCell ref="AC102:AD102"/>
    <mergeCell ref="AE102:AF102"/>
    <mergeCell ref="AG102:AH102"/>
    <mergeCell ref="AI102:AJ102"/>
    <mergeCell ref="AC103:AD103"/>
    <mergeCell ref="AE103:AJ103"/>
    <mergeCell ref="AC101:AD101"/>
    <mergeCell ref="AE101:AJ101"/>
    <mergeCell ref="AE100:AF100"/>
    <mergeCell ref="AG100:AH100"/>
    <mergeCell ref="AI100:AJ100"/>
    <mergeCell ref="B98:AB98"/>
    <mergeCell ref="AC98:AJ98"/>
    <mergeCell ref="AC99:AD99"/>
    <mergeCell ref="AC100:AD100"/>
    <mergeCell ref="S78:AJ78"/>
    <mergeCell ref="AE99:AJ99"/>
    <mergeCell ref="B87:M87"/>
    <mergeCell ref="N87:R87"/>
    <mergeCell ref="S87:W87"/>
    <mergeCell ref="X87:AA87"/>
    <mergeCell ref="AB87:AE87"/>
    <mergeCell ref="AF87:AJ87"/>
    <mergeCell ref="X85:AA85"/>
    <mergeCell ref="AB85:AE85"/>
    <mergeCell ref="AF85:AJ85"/>
    <mergeCell ref="B86:M86"/>
    <mergeCell ref="N86:R86"/>
    <mergeCell ref="S86:W86"/>
    <mergeCell ref="X86:AA86"/>
    <mergeCell ref="AB86:AE86"/>
    <mergeCell ref="AF86:AJ86"/>
    <mergeCell ref="S84:W84"/>
    <mergeCell ref="B84:M84"/>
    <mergeCell ref="AF84:AJ84"/>
    <mergeCell ref="AB84:AE84"/>
    <mergeCell ref="X84:AA84"/>
    <mergeCell ref="X83:AA83"/>
    <mergeCell ref="AB83:AE83"/>
    <mergeCell ref="AF83:AJ83"/>
    <mergeCell ref="N84:R84"/>
    <mergeCell ref="N83:R83"/>
    <mergeCell ref="B83:M83"/>
    <mergeCell ref="S83:W83"/>
    <mergeCell ref="AE61:AJ61"/>
    <mergeCell ref="AE59:AJ59"/>
    <mergeCell ref="B60:E60"/>
    <mergeCell ref="F60:I60"/>
    <mergeCell ref="J60:M60"/>
    <mergeCell ref="N60:R60"/>
    <mergeCell ref="S60:V60"/>
    <mergeCell ref="W60:Z60"/>
    <mergeCell ref="AA60:AD60"/>
    <mergeCell ref="AE60:AJ60"/>
    <mergeCell ref="J57:M57"/>
    <mergeCell ref="N57:R57"/>
    <mergeCell ref="S57:V57"/>
    <mergeCell ref="W57:Z57"/>
    <mergeCell ref="AA57:AD57"/>
    <mergeCell ref="AE57:AJ57"/>
    <mergeCell ref="D20:H22"/>
    <mergeCell ref="L41:T41"/>
    <mergeCell ref="Y41:AJ41"/>
    <mergeCell ref="T32:AJ32"/>
    <mergeCell ref="D33:AJ33"/>
    <mergeCell ref="B57:E57"/>
    <mergeCell ref="F57:I57"/>
    <mergeCell ref="M47:AJ47"/>
    <mergeCell ref="Z62:AJ62"/>
    <mergeCell ref="D63:AJ63"/>
    <mergeCell ref="B61:E61"/>
    <mergeCell ref="F61:I61"/>
    <mergeCell ref="B58:E58"/>
    <mergeCell ref="F58:I58"/>
    <mergeCell ref="J58:M58"/>
    <mergeCell ref="N58:R58"/>
    <mergeCell ref="S58:V58"/>
    <mergeCell ref="AA58:AD58"/>
    <mergeCell ref="AE58:AJ58"/>
    <mergeCell ref="B59:E59"/>
    <mergeCell ref="F59:I59"/>
    <mergeCell ref="J59:M59"/>
    <mergeCell ref="N59:R59"/>
    <mergeCell ref="S59:V59"/>
    <mergeCell ref="W59:Z59"/>
    <mergeCell ref="AA59:AD59"/>
    <mergeCell ref="W58:Z58"/>
    <mergeCell ref="J61:M61"/>
    <mergeCell ref="N61:R61"/>
    <mergeCell ref="S61:V61"/>
    <mergeCell ref="W61:Z61"/>
    <mergeCell ref="AA61:AD61"/>
    <mergeCell ref="AD6:AG6"/>
    <mergeCell ref="B9:X10"/>
    <mergeCell ref="Y9:AJ10"/>
    <mergeCell ref="D2:G3"/>
    <mergeCell ref="I2:AB3"/>
    <mergeCell ref="AC2:AJ2"/>
    <mergeCell ref="B3:C3"/>
    <mergeCell ref="AC3:AJ4"/>
    <mergeCell ref="I5:AB5"/>
    <mergeCell ref="AD5:AG5"/>
    <mergeCell ref="AH5:AH6"/>
    <mergeCell ref="B12:C12"/>
    <mergeCell ref="B39:C39"/>
    <mergeCell ref="B75:C75"/>
    <mergeCell ref="B89:C89"/>
    <mergeCell ref="B134:C134"/>
    <mergeCell ref="B144:C144"/>
    <mergeCell ref="B164:C164"/>
    <mergeCell ref="B177:C177"/>
    <mergeCell ref="I6:AB6"/>
    <mergeCell ref="B15:X15"/>
    <mergeCell ref="Y15:AJ15"/>
    <mergeCell ref="I16:AJ16"/>
    <mergeCell ref="K17:AJ17"/>
    <mergeCell ref="K18:AJ18"/>
    <mergeCell ref="AC106:AD106"/>
    <mergeCell ref="AE106:AJ106"/>
    <mergeCell ref="AC107:AD107"/>
    <mergeCell ref="AE107:AF107"/>
    <mergeCell ref="B85:M85"/>
    <mergeCell ref="N85:R85"/>
    <mergeCell ref="S85:W85"/>
    <mergeCell ref="T77:Z77"/>
    <mergeCell ref="AD77:AJ77"/>
    <mergeCell ref="T64:AJ64"/>
  </mergeCells>
  <conditionalFormatting sqref="Y15">
    <cfRule type="expression" dxfId="538" priority="275">
      <formula>IF(NoColor,1,0)</formula>
    </cfRule>
  </conditionalFormatting>
  <conditionalFormatting sqref="BG45">
    <cfRule type="expression" dxfId="537" priority="197">
      <formula>IF(NoColor,1,0)</formula>
    </cfRule>
  </conditionalFormatting>
  <conditionalFormatting sqref="AT29">
    <cfRule type="expression" dxfId="536" priority="198">
      <formula>IF(NoColor,1,0)</formula>
    </cfRule>
  </conditionalFormatting>
  <conditionalFormatting sqref="AU24">
    <cfRule type="expression" dxfId="535" priority="196">
      <formula>IF(NoColor,1,0)</formula>
    </cfRule>
  </conditionalFormatting>
  <conditionalFormatting sqref="AT37">
    <cfRule type="expression" dxfId="534" priority="195">
      <formula>IF(NoColor,1,0)</formula>
    </cfRule>
  </conditionalFormatting>
  <conditionalFormatting sqref="AU43">
    <cfRule type="expression" dxfId="533" priority="194">
      <formula>IF(NoColor,1,0)</formula>
    </cfRule>
  </conditionalFormatting>
  <conditionalFormatting sqref="AU45">
    <cfRule type="expression" dxfId="532" priority="193">
      <formula>IF(NoColor,1,0)</formula>
    </cfRule>
  </conditionalFormatting>
  <conditionalFormatting sqref="BG43">
    <cfRule type="expression" dxfId="531" priority="192">
      <formula>IF(NoColor,1,0)</formula>
    </cfRule>
  </conditionalFormatting>
  <conditionalFormatting sqref="BG25">
    <cfRule type="expression" dxfId="530" priority="191">
      <formula>IF(NoColor,1,0)</formula>
    </cfRule>
  </conditionalFormatting>
  <conditionalFormatting sqref="AT32">
    <cfRule type="expression" dxfId="529" priority="190">
      <formula>IF(NoColor,1,0)</formula>
    </cfRule>
  </conditionalFormatting>
  <conditionalFormatting sqref="BF30">
    <cfRule type="expression" dxfId="528" priority="189">
      <formula>IF(NoColor,1,0)</formula>
    </cfRule>
  </conditionalFormatting>
  <conditionalFormatting sqref="BF33">
    <cfRule type="expression" dxfId="527" priority="188">
      <formula>IF(NoColor,1,0)</formula>
    </cfRule>
  </conditionalFormatting>
  <conditionalFormatting sqref="BF37">
    <cfRule type="expression" dxfId="526" priority="187">
      <formula>IF(NoColor,1,0)</formula>
    </cfRule>
  </conditionalFormatting>
  <conditionalFormatting sqref="Y9">
    <cfRule type="expression" dxfId="525" priority="175">
      <formula>IF(NoColor,1,0)</formula>
    </cfRule>
  </conditionalFormatting>
  <conditionalFormatting sqref="B15">
    <cfRule type="expression" dxfId="524" priority="165">
      <formula>IF(NoColor,1,0)</formula>
    </cfRule>
  </conditionalFormatting>
  <conditionalFormatting sqref="I16">
    <cfRule type="expression" dxfId="523" priority="164">
      <formula>IF(NoColor,1,0)</formula>
    </cfRule>
  </conditionalFormatting>
  <conditionalFormatting sqref="K17">
    <cfRule type="expression" dxfId="522" priority="163">
      <formula>IF(NoColor,1,0)</formula>
    </cfRule>
  </conditionalFormatting>
  <conditionalFormatting sqref="K18">
    <cfRule type="expression" dxfId="521" priority="162">
      <formula>IF(NoColor,1,0)</formula>
    </cfRule>
  </conditionalFormatting>
  <conditionalFormatting sqref="AB22">
    <cfRule type="expression" dxfId="520" priority="161">
      <formula>IF(NoColor,1,0)</formula>
    </cfRule>
  </conditionalFormatting>
  <conditionalFormatting sqref="Y23">
    <cfRule type="expression" dxfId="519" priority="160">
      <formula>IF(NoColor,1,0)</formula>
    </cfRule>
  </conditionalFormatting>
  <conditionalFormatting sqref="AC26">
    <cfRule type="expression" dxfId="518" priority="159">
      <formula>IF(NoColor,1,0)</formula>
    </cfRule>
  </conditionalFormatting>
  <conditionalFormatting sqref="O27">
    <cfRule type="expression" dxfId="517" priority="158">
      <formula>IF(NoColor,1,0)</formula>
    </cfRule>
  </conditionalFormatting>
  <conditionalFormatting sqref="P31">
    <cfRule type="expression" dxfId="516" priority="157">
      <formula>IF(NoColor,1,0)</formula>
    </cfRule>
  </conditionalFormatting>
  <conditionalFormatting sqref="T32">
    <cfRule type="expression" dxfId="515" priority="156">
      <formula>IF(NoColor,1,0)</formula>
    </cfRule>
  </conditionalFormatting>
  <conditionalFormatting sqref="D33">
    <cfRule type="expression" dxfId="514" priority="155">
      <formula>IF(NoColor,1,0)</formula>
    </cfRule>
  </conditionalFormatting>
  <conditionalFormatting sqref="L41">
    <cfRule type="expression" dxfId="513" priority="154">
      <formula>IF(NoColor,1,0)</formula>
    </cfRule>
  </conditionalFormatting>
  <conditionalFormatting sqref="M47">
    <cfRule type="expression" dxfId="512" priority="151">
      <formula>IF(NoColor,1,0)</formula>
    </cfRule>
  </conditionalFormatting>
  <conditionalFormatting sqref="Y41">
    <cfRule type="expression" dxfId="511" priority="152">
      <formula>IF(NoColor,1,0)</formula>
    </cfRule>
  </conditionalFormatting>
  <conditionalFormatting sqref="B9:X10">
    <cfRule type="expression" dxfId="510" priority="150">
      <formula>IF(NoColor,1,0)</formula>
    </cfRule>
  </conditionalFormatting>
  <conditionalFormatting sqref="B58 F58 N58 J58:J61">
    <cfRule type="expression" dxfId="509" priority="149">
      <formula>IF(NoColor,1,0)</formula>
    </cfRule>
  </conditionalFormatting>
  <conditionalFormatting sqref="S58 W58">
    <cfRule type="expression" dxfId="508" priority="148">
      <formula>IF(NoColor,1,0)</formula>
    </cfRule>
  </conditionalFormatting>
  <conditionalFormatting sqref="AE58">
    <cfRule type="expression" dxfId="507" priority="147">
      <formula>IF(NoColor,1,0)</formula>
    </cfRule>
  </conditionalFormatting>
  <conditionalFormatting sqref="B59 F59 N59">
    <cfRule type="expression" dxfId="506" priority="146">
      <formula>IF(NoColor,1,0)</formula>
    </cfRule>
  </conditionalFormatting>
  <conditionalFormatting sqref="S59 W59">
    <cfRule type="expression" dxfId="505" priority="145">
      <formula>IF(NoColor,1,0)</formula>
    </cfRule>
  </conditionalFormatting>
  <conditionalFormatting sqref="AE59">
    <cfRule type="expression" dxfId="504" priority="144">
      <formula>IF(NoColor,1,0)</formula>
    </cfRule>
  </conditionalFormatting>
  <conditionalFormatting sqref="B60 F60 N60">
    <cfRule type="expression" dxfId="503" priority="143">
      <formula>IF(NoColor,1,0)</formula>
    </cfRule>
  </conditionalFormatting>
  <conditionalFormatting sqref="S60 W60">
    <cfRule type="expression" dxfId="502" priority="142">
      <formula>IF(NoColor,1,0)</formula>
    </cfRule>
  </conditionalFormatting>
  <conditionalFormatting sqref="AE60">
    <cfRule type="expression" dxfId="501" priority="141">
      <formula>IF(NoColor,1,0)</formula>
    </cfRule>
  </conditionalFormatting>
  <conditionalFormatting sqref="B61 F61 N61">
    <cfRule type="expression" dxfId="500" priority="140">
      <formula>IF(NoColor,1,0)</formula>
    </cfRule>
  </conditionalFormatting>
  <conditionalFormatting sqref="S61 W61">
    <cfRule type="expression" dxfId="499" priority="139">
      <formula>IF(NoColor,1,0)</formula>
    </cfRule>
  </conditionalFormatting>
  <conditionalFormatting sqref="AE61">
    <cfRule type="expression" dxfId="498" priority="138">
      <formula>IF(NoColor,1,0)</formula>
    </cfRule>
  </conditionalFormatting>
  <conditionalFormatting sqref="AA58:AA61">
    <cfRule type="expression" dxfId="497" priority="134">
      <formula>IF(NoColor,1,0)</formula>
    </cfRule>
  </conditionalFormatting>
  <conditionalFormatting sqref="Z62">
    <cfRule type="expression" dxfId="496" priority="130">
      <formula>IF(NoColor,1,0)</formula>
    </cfRule>
  </conditionalFormatting>
  <conditionalFormatting sqref="D63">
    <cfRule type="expression" dxfId="495" priority="129">
      <formula>IF(NoColor,1,0)</formula>
    </cfRule>
  </conditionalFormatting>
  <conditionalFormatting sqref="T64">
    <cfRule type="expression" dxfId="494" priority="128">
      <formula>IF(NoColor,1,0)</formula>
    </cfRule>
  </conditionalFormatting>
  <conditionalFormatting sqref="G70">
    <cfRule type="expression" dxfId="493" priority="127">
      <formula>IF(NoColor,1,0)</formula>
    </cfRule>
  </conditionalFormatting>
  <conditionalFormatting sqref="AB84">
    <cfRule type="expression" dxfId="492" priority="115">
      <formula>IF(NoColor,1,0)</formula>
    </cfRule>
  </conditionalFormatting>
  <conditionalFormatting sqref="S78">
    <cfRule type="expression" dxfId="491" priority="121">
      <formula>IF(NoColor,1,0)</formula>
    </cfRule>
  </conditionalFormatting>
  <conditionalFormatting sqref="B84">
    <cfRule type="expression" dxfId="490" priority="120">
      <formula>IF(NoColor,1,0)</formula>
    </cfRule>
  </conditionalFormatting>
  <conditionalFormatting sqref="AF84">
    <cfRule type="expression" dxfId="489" priority="118">
      <formula>IF(NoColor,1,0)</formula>
    </cfRule>
  </conditionalFormatting>
  <conditionalFormatting sqref="X84:X87">
    <cfRule type="expression" dxfId="488" priority="98">
      <formula>IF(NoColor,1,0)</formula>
    </cfRule>
  </conditionalFormatting>
  <conditionalFormatting sqref="AB85">
    <cfRule type="expression" dxfId="487" priority="110">
      <formula>IF(NoColor,1,0)</formula>
    </cfRule>
  </conditionalFormatting>
  <conditionalFormatting sqref="B85">
    <cfRule type="expression" dxfId="486" priority="113">
      <formula>IF(NoColor,1,0)</formula>
    </cfRule>
  </conditionalFormatting>
  <conditionalFormatting sqref="B87">
    <cfRule type="expression" dxfId="485" priority="103">
      <formula>IF(NoColor,1,0)</formula>
    </cfRule>
  </conditionalFormatting>
  <conditionalFormatting sqref="N85:N87">
    <cfRule type="expression" dxfId="484" priority="93">
      <formula>IF(NoColor,1,0)</formula>
    </cfRule>
  </conditionalFormatting>
  <conditionalFormatting sqref="AB86">
    <cfRule type="expression" dxfId="483" priority="105">
      <formula>IF(NoColor,1,0)</formula>
    </cfRule>
  </conditionalFormatting>
  <conditionalFormatting sqref="B86">
    <cfRule type="expression" dxfId="482" priority="108">
      <formula>IF(NoColor,1,0)</formula>
    </cfRule>
  </conditionalFormatting>
  <conditionalFormatting sqref="AB87">
    <cfRule type="expression" dxfId="481" priority="100">
      <formula>IF(NoColor,1,0)</formula>
    </cfRule>
  </conditionalFormatting>
  <conditionalFormatting sqref="AD77">
    <cfRule type="expression" dxfId="480" priority="83">
      <formula>IF(NoColor,1,0)</formula>
    </cfRule>
  </conditionalFormatting>
  <conditionalFormatting sqref="N84">
    <cfRule type="expression" dxfId="479" priority="94">
      <formula>IF(NoColor,1,0)</formula>
    </cfRule>
  </conditionalFormatting>
  <conditionalFormatting sqref="S84">
    <cfRule type="expression" dxfId="478" priority="92">
      <formula>IF(NoColor,1,0)</formula>
    </cfRule>
  </conditionalFormatting>
  <conditionalFormatting sqref="S85:S87">
    <cfRule type="expression" dxfId="477" priority="91">
      <formula>IF(NoColor,1,0)</formula>
    </cfRule>
  </conditionalFormatting>
  <conditionalFormatting sqref="AF85">
    <cfRule type="expression" dxfId="476" priority="87">
      <formula>IF(NoColor,1,0)</formula>
    </cfRule>
  </conditionalFormatting>
  <conditionalFormatting sqref="AF86">
    <cfRule type="expression" dxfId="475" priority="86">
      <formula>IF(NoColor,1,0)</formula>
    </cfRule>
  </conditionalFormatting>
  <conditionalFormatting sqref="AF87">
    <cfRule type="expression" dxfId="474" priority="85">
      <formula>IF(NoColor,1,0)</formula>
    </cfRule>
  </conditionalFormatting>
  <conditionalFormatting sqref="T77">
    <cfRule type="expression" dxfId="473" priority="84">
      <formula>IF(NoColor,1,0)</formula>
    </cfRule>
  </conditionalFormatting>
  <conditionalFormatting sqref="V102">
    <cfRule type="expression" dxfId="472" priority="80">
      <formula>IF(NoColor,1,0)</formula>
    </cfRule>
  </conditionalFormatting>
  <conditionalFormatting sqref="D103">
    <cfRule type="expression" dxfId="471" priority="81">
      <formula>IF(NoColor,1,0)</formula>
    </cfRule>
  </conditionalFormatting>
  <conditionalFormatting sqref="D112">
    <cfRule type="expression" dxfId="470" priority="79">
      <formula>IF(NoColor,1,0)</formula>
    </cfRule>
  </conditionalFormatting>
  <conditionalFormatting sqref="P111">
    <cfRule type="expression" dxfId="469" priority="78">
      <formula>IF(NoColor,1,0)</formula>
    </cfRule>
  </conditionalFormatting>
  <conditionalFormatting sqref="O119">
    <cfRule type="expression" dxfId="468" priority="77">
      <formula>IF(NoColor,1,0)</formula>
    </cfRule>
  </conditionalFormatting>
  <conditionalFormatting sqref="D120">
    <cfRule type="expression" dxfId="467" priority="76">
      <formula>IF(NoColor,1,0)</formula>
    </cfRule>
  </conditionalFormatting>
  <conditionalFormatting sqref="Q123">
    <cfRule type="expression" dxfId="466" priority="75">
      <formula>IF(NoColor,1,0)</formula>
    </cfRule>
  </conditionalFormatting>
  <conditionalFormatting sqref="D124">
    <cfRule type="expression" dxfId="465" priority="74">
      <formula>IF(NoColor,1,0)</formula>
    </cfRule>
  </conditionalFormatting>
  <conditionalFormatting sqref="T148">
    <cfRule type="expression" dxfId="464" priority="71">
      <formula>IF(NoColor,1,0)</formula>
    </cfRule>
  </conditionalFormatting>
  <conditionalFormatting sqref="D71">
    <cfRule type="expression" dxfId="463" priority="70">
      <formula>IF(NoColor,1,0)</formula>
    </cfRule>
  </conditionalFormatting>
  <conditionalFormatting sqref="D53:D54">
    <cfRule type="expression" dxfId="462" priority="69">
      <formula>IF(AND($AE$50&lt;&gt;"",$AH$52&lt;&gt;""),1,0)</formula>
    </cfRule>
  </conditionalFormatting>
  <conditionalFormatting sqref="W114:AB118">
    <cfRule type="expression" dxfId="461" priority="68">
      <formula>IF(NoColor,1,0)</formula>
    </cfRule>
  </conditionalFormatting>
  <conditionalFormatting sqref="W120:AB120">
    <cfRule type="expression" dxfId="460" priority="67">
      <formula>IF(NoColor,1,0)</formula>
    </cfRule>
  </conditionalFormatting>
  <conditionalFormatting sqref="AE99:AJ99">
    <cfRule type="expression" dxfId="459" priority="66">
      <formula>IF(NoColor,1,0)</formula>
    </cfRule>
  </conditionalFormatting>
  <conditionalFormatting sqref="AE101:AJ101">
    <cfRule type="expression" dxfId="458" priority="65">
      <formula>IF(NoColor,1,0)</formula>
    </cfRule>
  </conditionalFormatting>
  <conditionalFormatting sqref="AE103:AJ103">
    <cfRule type="expression" dxfId="457" priority="64">
      <formula>IF(NoColor,1,0)</formula>
    </cfRule>
  </conditionalFormatting>
  <conditionalFormatting sqref="AE106:AJ106">
    <cfRule type="expression" dxfId="456" priority="63">
      <formula>IF(NoColor,1,0)</formula>
    </cfRule>
  </conditionalFormatting>
  <conditionalFormatting sqref="AE108:AJ108">
    <cfRule type="expression" dxfId="455" priority="62">
      <formula>IF(NoColor,1,0)</formula>
    </cfRule>
  </conditionalFormatting>
  <conditionalFormatting sqref="AE110:AJ110">
    <cfRule type="expression" dxfId="454" priority="61">
      <formula>IF(NoColor,1,0)</formula>
    </cfRule>
  </conditionalFormatting>
  <conditionalFormatting sqref="AE112:AJ112">
    <cfRule type="expression" dxfId="453" priority="60">
      <formula>IF(NoColor,1,0)</formula>
    </cfRule>
  </conditionalFormatting>
  <conditionalFormatting sqref="AE122:AJ122">
    <cfRule type="expression" dxfId="452" priority="59">
      <formula>IF(NoColor,1,0)</formula>
    </cfRule>
  </conditionalFormatting>
  <conditionalFormatting sqref="AE124:AJ124">
    <cfRule type="expression" dxfId="451" priority="58">
      <formula>IF(NoColor,1,0)</formula>
    </cfRule>
  </conditionalFormatting>
  <conditionalFormatting sqref="AE126:AJ126">
    <cfRule type="expression" dxfId="450" priority="57">
      <formula>IF(NoColor,1,0)</formula>
    </cfRule>
  </conditionalFormatting>
  <conditionalFormatting sqref="AE128:AJ128">
    <cfRule type="expression" dxfId="449" priority="56">
      <formula>IF(NoColor,1,0)</formula>
    </cfRule>
  </conditionalFormatting>
  <conditionalFormatting sqref="AE130:AJ130">
    <cfRule type="expression" dxfId="448" priority="55">
      <formula>IF(NoColor,1,0)</formula>
    </cfRule>
  </conditionalFormatting>
  <conditionalFormatting sqref="AE147:AJ147">
    <cfRule type="expression" dxfId="447" priority="53">
      <formula>IF(NoColor,1,0)</formula>
    </cfRule>
  </conditionalFormatting>
  <conditionalFormatting sqref="AE149:AJ149">
    <cfRule type="expression" dxfId="446" priority="52">
      <formula>IF(NoColor,1,0)</formula>
    </cfRule>
  </conditionalFormatting>
  <conditionalFormatting sqref="AE137:AJ137">
    <cfRule type="expression" dxfId="445" priority="51">
      <formula>IF(NoColor,1,0)</formula>
    </cfRule>
  </conditionalFormatting>
  <conditionalFormatting sqref="AE150:AJ150">
    <cfRule type="expression" dxfId="444" priority="50">
      <formula>IF(NoColor,1,0)</formula>
    </cfRule>
  </conditionalFormatting>
  <conditionalFormatting sqref="AE155:AJ155">
    <cfRule type="expression" dxfId="443" priority="47">
      <formula>IF(NoColor,1,0)</formula>
    </cfRule>
  </conditionalFormatting>
  <conditionalFormatting sqref="AE153:AJ153">
    <cfRule type="expression" dxfId="442" priority="48">
      <formula>IF(NoColor,1,0)</formula>
    </cfRule>
  </conditionalFormatting>
  <conditionalFormatting sqref="W156:AB156">
    <cfRule type="expression" dxfId="441" priority="46">
      <formula>IF(NoColor,1,0)</formula>
    </cfRule>
  </conditionalFormatting>
  <conditionalFormatting sqref="AH158:AJ158">
    <cfRule type="expression" dxfId="440" priority="45">
      <formula>IF(NoColor,1,0)</formula>
    </cfRule>
  </conditionalFormatting>
  <conditionalFormatting sqref="AE160:AJ160">
    <cfRule type="expression" dxfId="439" priority="44">
      <formula>IF(NoColor,1,0)</formula>
    </cfRule>
  </conditionalFormatting>
  <conditionalFormatting sqref="AE166:AJ166">
    <cfRule type="expression" dxfId="438" priority="43">
      <formula>IF(NoColor,1,0)</formula>
    </cfRule>
  </conditionalFormatting>
  <conditionalFormatting sqref="AH171:AJ171">
    <cfRule type="expression" dxfId="437" priority="42">
      <formula>IF(NoColor,1,0)</formula>
    </cfRule>
  </conditionalFormatting>
  <conditionalFormatting sqref="AE173:AJ173">
    <cfRule type="expression" dxfId="436" priority="40">
      <formula>IF(NoColor,1,0)</formula>
    </cfRule>
  </conditionalFormatting>
  <conditionalFormatting sqref="AE174:AJ174">
    <cfRule type="expression" dxfId="435" priority="39">
      <formula>IF(NoColor,1,0)</formula>
    </cfRule>
  </conditionalFormatting>
  <conditionalFormatting sqref="AE175:AJ175">
    <cfRule type="expression" dxfId="434" priority="38">
      <formula>IF(NoColor,1,0)</formula>
    </cfRule>
  </conditionalFormatting>
  <conditionalFormatting sqref="AE179:AJ179">
    <cfRule type="expression" dxfId="433" priority="37">
      <formula>IF(NoColor,1,0)</formula>
    </cfRule>
  </conditionalFormatting>
  <conditionalFormatting sqref="AE181:AJ181">
    <cfRule type="expression" dxfId="432" priority="36">
      <formula>IF(NoColor,1,0)</formula>
    </cfRule>
  </conditionalFormatting>
  <conditionalFormatting sqref="AE184:AJ184">
    <cfRule type="expression" dxfId="431" priority="35">
      <formula>IF(NoColor,1,0)</formula>
    </cfRule>
  </conditionalFormatting>
  <conditionalFormatting sqref="AE188:AJ188">
    <cfRule type="expression" dxfId="430" priority="34">
      <formula>IF(NoColor,1,0)</formula>
    </cfRule>
  </conditionalFormatting>
  <conditionalFormatting sqref="AE189:AJ189">
    <cfRule type="expression" dxfId="429" priority="33">
      <formula>IF(NoColor,1,0)</formula>
    </cfRule>
  </conditionalFormatting>
  <conditionalFormatting sqref="AE190:AJ190">
    <cfRule type="expression" dxfId="428" priority="32">
      <formula>IF(NoColor,1,0)</formula>
    </cfRule>
  </conditionalFormatting>
  <conditionalFormatting sqref="AE195:AJ195">
    <cfRule type="expression" dxfId="427" priority="31">
      <formula>IF(NoColor,1,0)</formula>
    </cfRule>
  </conditionalFormatting>
  <conditionalFormatting sqref="AE198:AJ198">
    <cfRule type="expression" dxfId="426" priority="30">
      <formula>IF(NoColor,1,0)</formula>
    </cfRule>
  </conditionalFormatting>
  <conditionalFormatting sqref="K20">
    <cfRule type="expression" dxfId="425" priority="29">
      <formula>IF(NoColor,1,0)</formula>
    </cfRule>
  </conditionalFormatting>
  <conditionalFormatting sqref="V20">
    <cfRule type="expression" dxfId="424" priority="28">
      <formula>IF(NoColor,1,0)</formula>
    </cfRule>
  </conditionalFormatting>
  <conditionalFormatting sqref="AD20">
    <cfRule type="expression" dxfId="423" priority="27">
      <formula>IF(NoColor,1,0)</formula>
    </cfRule>
  </conditionalFormatting>
  <conditionalFormatting sqref="K22">
    <cfRule type="expression" dxfId="422" priority="26">
      <formula>IF(NoColor,1,0)</formula>
    </cfRule>
  </conditionalFormatting>
  <conditionalFormatting sqref="V22">
    <cfRule type="expression" dxfId="421" priority="25">
      <formula>IF(NoColor,1,0)</formula>
    </cfRule>
  </conditionalFormatting>
  <conditionalFormatting sqref="Z24">
    <cfRule type="expression" dxfId="420" priority="24">
      <formula>IF(NoColor,1,0)</formula>
    </cfRule>
  </conditionalFormatting>
  <conditionalFormatting sqref="AE25">
    <cfRule type="expression" dxfId="419" priority="23">
      <formula>IF(NoColor,1,0)</formula>
    </cfRule>
  </conditionalFormatting>
  <conditionalFormatting sqref="AH25">
    <cfRule type="expression" dxfId="418" priority="22">
      <formula>IF(NoColor,1,0)</formula>
    </cfRule>
  </conditionalFormatting>
  <conditionalFormatting sqref="AE29">
    <cfRule type="expression" dxfId="417" priority="21">
      <formula>IF(NoColor,1,0)</formula>
    </cfRule>
  </conditionalFormatting>
  <conditionalFormatting sqref="AH29">
    <cfRule type="expression" dxfId="416" priority="20">
      <formula>IF(NoColor,1,0)</formula>
    </cfRule>
  </conditionalFormatting>
  <conditionalFormatting sqref="O43">
    <cfRule type="expression" dxfId="415" priority="19">
      <formula>IF(NoColor,1,0)</formula>
    </cfRule>
  </conditionalFormatting>
  <conditionalFormatting sqref="V43">
    <cfRule type="expression" dxfId="414" priority="18">
      <formula>IF(NoColor,1,0)</formula>
    </cfRule>
  </conditionalFormatting>
  <conditionalFormatting sqref="AE43">
    <cfRule type="expression" dxfId="413" priority="17">
      <formula>IF(NoColor,1,0)</formula>
    </cfRule>
  </conditionalFormatting>
  <conditionalFormatting sqref="O45">
    <cfRule type="expression" dxfId="412" priority="16">
      <formula>IF(NoColor,1,0)</formula>
    </cfRule>
  </conditionalFormatting>
  <conditionalFormatting sqref="AE46">
    <cfRule type="expression" dxfId="411" priority="15">
      <formula>IF(NoColor,1,0)</formula>
    </cfRule>
  </conditionalFormatting>
  <conditionalFormatting sqref="AH46">
    <cfRule type="expression" dxfId="410" priority="14">
      <formula>IF(NoColor,1,0)</formula>
    </cfRule>
  </conditionalFormatting>
  <conditionalFormatting sqref="AE50">
    <cfRule type="expression" dxfId="409" priority="13">
      <formula>IF(NoColor,1,0)</formula>
    </cfRule>
  </conditionalFormatting>
  <conditionalFormatting sqref="AH50">
    <cfRule type="expression" dxfId="408" priority="12">
      <formula>IF(NoColor,1,0)</formula>
    </cfRule>
  </conditionalFormatting>
  <conditionalFormatting sqref="AE52">
    <cfRule type="expression" dxfId="407" priority="11">
      <formula>IF(NoColor,1,0)</formula>
    </cfRule>
  </conditionalFormatting>
  <conditionalFormatting sqref="AH52">
    <cfRule type="expression" dxfId="406" priority="10">
      <formula>IF(NoColor,1,0)</formula>
    </cfRule>
  </conditionalFormatting>
  <conditionalFormatting sqref="AE66">
    <cfRule type="expression" dxfId="405" priority="9">
      <formula>IF(NoColor,1,0)</formula>
    </cfRule>
  </conditionalFormatting>
  <conditionalFormatting sqref="AH66">
    <cfRule type="expression" dxfId="404" priority="8">
      <formula>IF(NoColor,1,0)</formula>
    </cfRule>
  </conditionalFormatting>
  <conditionalFormatting sqref="AE68">
    <cfRule type="expression" dxfId="403" priority="7">
      <formula>IF(NoColor,1,0)</formula>
    </cfRule>
  </conditionalFormatting>
  <conditionalFormatting sqref="AH68">
    <cfRule type="expression" dxfId="402" priority="6">
      <formula>IF(NoColor,1,0)</formula>
    </cfRule>
  </conditionalFormatting>
  <conditionalFormatting sqref="D139">
    <cfRule type="expression" dxfId="401" priority="5">
      <formula>IF(NoColor,1,0)</formula>
    </cfRule>
  </conditionalFormatting>
  <conditionalFormatting sqref="D141">
    <cfRule type="expression" dxfId="400" priority="4">
      <formula>IF(NoColor,1,0)</formula>
    </cfRule>
  </conditionalFormatting>
  <conditionalFormatting sqref="W152:Z152">
    <cfRule type="expression" dxfId="399" priority="2">
      <formula>IF(NoColor,1,0)</formula>
    </cfRule>
  </conditionalFormatting>
  <conditionalFormatting sqref="W168:Z168">
    <cfRule type="expression" dxfId="398" priority="1">
      <formula>IF(NoColor,1,0)</formula>
    </cfRule>
  </conditionalFormatting>
  <pageMargins left="0.5" right="0.2" top="0.5" bottom="0.25" header="0" footer="0"/>
  <pageSetup scale="76" fitToHeight="0" orientation="portrait" horizontalDpi="4294967293" verticalDpi="4294967293" r:id="rId1"/>
  <rowBreaks count="2" manualBreakCount="2">
    <brk id="72" min="1" max="35" man="1"/>
    <brk id="131" min="1" max="35"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Q275"/>
  <sheetViews>
    <sheetView zoomScaleNormal="100" zoomScaleSheetLayoutView="100" workbookViewId="0">
      <selection activeCell="M17" sqref="M17"/>
    </sheetView>
  </sheetViews>
  <sheetFormatPr defaultRowHeight="12.75"/>
  <cols>
    <col min="1" max="1" width="2.42578125" style="64" customWidth="1"/>
    <col min="2" max="2" width="7.85546875" customWidth="1"/>
    <col min="3" max="3" width="3.140625" customWidth="1"/>
    <col min="4" max="4" width="9.7109375" customWidth="1"/>
    <col min="5" max="5" width="9.42578125" customWidth="1"/>
    <col min="6" max="6" width="20.7109375" customWidth="1"/>
    <col min="7" max="7" width="12" customWidth="1"/>
    <col min="8" max="8" width="6.85546875" customWidth="1"/>
    <col min="9" max="9" width="12.140625" customWidth="1"/>
    <col min="10" max="10" width="4" customWidth="1"/>
    <col min="11" max="11" width="13" customWidth="1"/>
    <col min="12" max="12" width="3.7109375" customWidth="1"/>
    <col min="13" max="13" width="14.140625" customWidth="1"/>
    <col min="14" max="14" width="2.5703125" customWidth="1"/>
    <col min="15" max="15" width="3.85546875" customWidth="1"/>
    <col min="16" max="16" width="29.42578125" customWidth="1"/>
    <col min="17" max="17" width="3.5703125" customWidth="1"/>
    <col min="18" max="18" width="11.42578125" style="2591" customWidth="1"/>
    <col min="19" max="19" width="2.85546875" style="893" customWidth="1"/>
    <col min="20" max="20" width="2.7109375" style="893" customWidth="1"/>
    <col min="21" max="21" width="2.7109375" style="347" customWidth="1"/>
    <col min="22" max="22" width="6" customWidth="1"/>
    <col min="23" max="23" width="17.42578125" customWidth="1"/>
    <col min="24" max="24" width="31.140625" customWidth="1"/>
    <col min="25" max="25" width="6.28515625" customWidth="1"/>
    <col min="26" max="26" width="3.42578125" customWidth="1"/>
    <col min="27" max="27" width="12.140625" customWidth="1"/>
    <col min="28" max="28" width="5.140625" customWidth="1"/>
    <col min="29" max="29" width="12.28515625" customWidth="1"/>
    <col min="30" max="30" width="4" customWidth="1"/>
    <col min="31" max="31" width="9.42578125" customWidth="1"/>
    <col min="32" max="32" width="9.140625" style="893"/>
    <col min="33" max="33" width="9.140625" style="3060" customWidth="1"/>
    <col min="34" max="34" width="2.5703125" customWidth="1"/>
    <col min="35" max="35" width="5.140625" customWidth="1"/>
    <col min="36" max="36" width="4.5703125" customWidth="1"/>
    <col min="37" max="37" width="13.5703125" customWidth="1"/>
    <col min="38" max="38" width="37" customWidth="1"/>
    <col min="39" max="39" width="3.42578125" customWidth="1"/>
    <col min="40" max="40" width="15.42578125" customWidth="1"/>
    <col min="41" max="41" width="4.28515625" customWidth="1"/>
    <col min="42" max="42" width="15.42578125" customWidth="1"/>
    <col min="43" max="43" width="3" customWidth="1"/>
  </cols>
  <sheetData>
    <row r="1" spans="1:33" ht="17.25" customHeight="1" thickBot="1">
      <c r="A1" s="1407"/>
      <c r="B1" s="1405"/>
      <c r="C1" s="1405"/>
      <c r="D1" s="1405"/>
      <c r="E1" s="1405"/>
      <c r="F1" s="1405"/>
      <c r="G1" s="1405"/>
      <c r="H1" s="1405"/>
      <c r="I1" s="1405"/>
      <c r="J1" s="1405"/>
      <c r="K1" s="1405"/>
      <c r="L1" s="1406"/>
      <c r="M1" s="857"/>
      <c r="N1" s="857"/>
      <c r="U1" s="3015"/>
    </row>
    <row r="2" spans="1:33" ht="16.5" customHeight="1" thickBot="1">
      <c r="A2" s="1407"/>
      <c r="B2" s="1406"/>
      <c r="C2" s="1405"/>
      <c r="D2" s="1405"/>
      <c r="E2" s="1405"/>
      <c r="F2" s="1405"/>
      <c r="G2" s="1406"/>
      <c r="H2" s="1405"/>
      <c r="I2" s="1405"/>
      <c r="J2" s="1405"/>
      <c r="K2" s="1406"/>
      <c r="L2" s="3080" t="s">
        <v>2187</v>
      </c>
      <c r="M2" s="3081" t="str">
        <f>IF(P2,"Yes","No")</f>
        <v>No</v>
      </c>
      <c r="N2" s="936"/>
      <c r="P2" s="2613" t="b">
        <f>IF(AND(U40="X",OR(U59="X",U69="X")),TRUE,FALSE)</f>
        <v>0</v>
      </c>
      <c r="U2" s="3015"/>
    </row>
    <row r="3" spans="1:33" ht="6" customHeight="1">
      <c r="A3" s="1408"/>
      <c r="B3" s="1341"/>
      <c r="C3" s="857"/>
      <c r="D3" s="857"/>
      <c r="E3" s="857"/>
      <c r="F3" s="857"/>
      <c r="G3" s="1282"/>
      <c r="H3" s="857"/>
      <c r="I3" s="857"/>
      <c r="J3" s="857"/>
      <c r="K3" s="936"/>
      <c r="L3" s="936"/>
      <c r="M3" s="936"/>
      <c r="N3" s="936"/>
      <c r="O3" s="389"/>
      <c r="U3" s="3015"/>
    </row>
    <row r="4" spans="1:33" ht="13.5" thickBot="1">
      <c r="A4" s="112"/>
      <c r="B4" s="35"/>
      <c r="C4" s="35"/>
      <c r="D4" s="135"/>
      <c r="E4" s="44"/>
      <c r="F4" s="35"/>
      <c r="G4" s="35"/>
      <c r="H4" s="35"/>
      <c r="I4" s="35"/>
      <c r="J4" s="35"/>
      <c r="K4" s="35"/>
      <c r="L4" s="5272" t="s">
        <v>143</v>
      </c>
      <c r="M4" s="6162"/>
      <c r="N4" s="936"/>
      <c r="O4" s="1376"/>
    </row>
    <row r="5" spans="1:33" ht="20.25" customHeight="1">
      <c r="A5" s="112"/>
      <c r="B5" s="6060" t="s">
        <v>469</v>
      </c>
      <c r="C5" s="6281">
        <v>6251</v>
      </c>
      <c r="D5" s="6282"/>
      <c r="E5" s="6265" t="s">
        <v>440</v>
      </c>
      <c r="F5" s="4942"/>
      <c r="G5" s="4942"/>
      <c r="H5" s="4942"/>
      <c r="I5" s="4942"/>
      <c r="J5" s="4942"/>
      <c r="K5" s="4943"/>
      <c r="L5" s="5137">
        <f>TaxYear</f>
        <v>2016</v>
      </c>
      <c r="M5" s="6253"/>
      <c r="N5" s="972"/>
      <c r="O5" s="327"/>
      <c r="P5" s="36" t="s">
        <v>149</v>
      </c>
      <c r="Q5" s="408"/>
      <c r="R5" s="4529"/>
      <c r="S5" s="3062" t="s">
        <v>2159</v>
      </c>
      <c r="T5" s="3082"/>
      <c r="U5" s="3083"/>
      <c r="V5" s="3063"/>
      <c r="W5" s="3063"/>
      <c r="X5" s="3064"/>
      <c r="Y5" s="3064"/>
      <c r="Z5" s="3064"/>
      <c r="AA5" s="3064"/>
      <c r="AB5" s="3064"/>
      <c r="AC5" s="3064"/>
      <c r="AD5" s="3064"/>
      <c r="AE5" s="3064"/>
      <c r="AF5" s="3065"/>
    </row>
    <row r="6" spans="1:33" ht="14.25" customHeight="1">
      <c r="A6" s="112"/>
      <c r="B6" s="4979"/>
      <c r="C6" s="6283"/>
      <c r="D6" s="6284"/>
      <c r="E6" s="6262"/>
      <c r="F6" s="6263"/>
      <c r="G6" s="6263"/>
      <c r="H6" s="6263"/>
      <c r="I6" s="6263"/>
      <c r="J6" s="6263"/>
      <c r="K6" s="6264"/>
      <c r="L6" s="6254"/>
      <c r="M6" s="6255"/>
      <c r="N6" s="973"/>
      <c r="O6" s="328"/>
      <c r="P6" s="36" t="s">
        <v>661</v>
      </c>
      <c r="Q6" s="360"/>
      <c r="R6" s="4530"/>
      <c r="S6" s="3084"/>
      <c r="T6" s="3085"/>
      <c r="U6" s="3086"/>
      <c r="V6" s="2825"/>
      <c r="W6" s="2825"/>
      <c r="X6" s="2825"/>
      <c r="Y6" s="2825"/>
      <c r="Z6" s="2825"/>
      <c r="AA6" s="2825"/>
      <c r="AB6" s="2825"/>
      <c r="AC6" s="2825"/>
      <c r="AD6" s="2825"/>
      <c r="AE6" s="2825"/>
      <c r="AF6" s="3087"/>
    </row>
    <row r="7" spans="1:33" ht="12.75" customHeight="1">
      <c r="A7" s="112"/>
      <c r="B7" s="6270" t="s">
        <v>293</v>
      </c>
      <c r="C7" s="6271"/>
      <c r="D7" s="6272"/>
      <c r="E7" s="6262" t="s">
        <v>1477</v>
      </c>
      <c r="F7" s="6263"/>
      <c r="G7" s="6263"/>
      <c r="H7" s="6263"/>
      <c r="I7" s="6263"/>
      <c r="J7" s="6263"/>
      <c r="K7" s="6264"/>
      <c r="L7" s="6258" t="s">
        <v>486</v>
      </c>
      <c r="M7" s="5360"/>
      <c r="N7" s="972"/>
      <c r="O7" s="327"/>
      <c r="P7" s="834"/>
      <c r="Q7" s="360"/>
      <c r="R7" s="4531"/>
      <c r="S7" s="3088"/>
      <c r="T7" s="3085"/>
      <c r="U7" s="3089" t="s">
        <v>348</v>
      </c>
      <c r="V7" s="2825"/>
      <c r="W7" s="3089"/>
      <c r="X7" s="3090" t="s">
        <v>3085</v>
      </c>
      <c r="Y7" s="2825"/>
      <c r="Z7" s="2825"/>
      <c r="AA7" s="2825"/>
      <c r="AB7" s="2825"/>
      <c r="AC7" s="2825"/>
      <c r="AD7" s="2825"/>
      <c r="AE7" s="2825"/>
      <c r="AF7" s="3087"/>
    </row>
    <row r="8" spans="1:33" ht="12.75" customHeight="1" thickBot="1">
      <c r="A8" s="112"/>
      <c r="B8" s="6273" t="s">
        <v>364</v>
      </c>
      <c r="C8" s="6274"/>
      <c r="D8" s="6275"/>
      <c r="E8" s="6259" t="s">
        <v>690</v>
      </c>
      <c r="F8" s="6260"/>
      <c r="G8" s="6260"/>
      <c r="H8" s="6260"/>
      <c r="I8" s="6260"/>
      <c r="J8" s="6260"/>
      <c r="K8" s="6261"/>
      <c r="L8" s="6251" t="s">
        <v>441</v>
      </c>
      <c r="M8" s="6252"/>
      <c r="N8" s="973"/>
      <c r="O8" s="328"/>
      <c r="P8" s="1528" t="s">
        <v>994</v>
      </c>
      <c r="Q8" s="408"/>
      <c r="R8" s="4531"/>
      <c r="S8" s="3084"/>
      <c r="T8" s="3085"/>
      <c r="U8" s="3086"/>
      <c r="V8" s="2825"/>
      <c r="W8" s="3091"/>
      <c r="X8" s="3092" t="s">
        <v>2183</v>
      </c>
      <c r="Y8" s="2825"/>
      <c r="Z8" s="2825"/>
      <c r="AA8" s="2825"/>
      <c r="AB8" s="2825"/>
      <c r="AC8" s="2825"/>
      <c r="AD8" s="2825"/>
      <c r="AE8" s="2825"/>
      <c r="AF8" s="3087"/>
    </row>
    <row r="9" spans="1:33" ht="11.25" customHeight="1">
      <c r="A9" s="112"/>
      <c r="B9" s="32" t="s">
        <v>691</v>
      </c>
      <c r="C9" s="222"/>
      <c r="D9" s="222"/>
      <c r="E9" s="189"/>
      <c r="F9" s="191"/>
      <c r="G9" s="205"/>
      <c r="H9" s="191"/>
      <c r="I9" s="191"/>
      <c r="J9" s="191"/>
      <c r="K9" s="6269" t="s">
        <v>148</v>
      </c>
      <c r="L9" s="5383"/>
      <c r="M9" s="5383"/>
      <c r="N9" s="972"/>
      <c r="O9" s="327"/>
      <c r="P9" s="1528" t="s">
        <v>993</v>
      </c>
      <c r="Q9" s="408"/>
      <c r="R9" s="4532"/>
      <c r="S9" s="3066"/>
      <c r="T9" s="3067"/>
      <c r="U9" s="3068" t="s">
        <v>476</v>
      </c>
      <c r="V9" s="3069" t="s">
        <v>2160</v>
      </c>
      <c r="W9" s="3067"/>
      <c r="X9" s="3067"/>
      <c r="Y9" s="3067"/>
      <c r="Z9" s="3067"/>
      <c r="AA9" s="3067"/>
      <c r="AB9" s="3067"/>
      <c r="AC9" s="3067"/>
      <c r="AD9" s="3067"/>
      <c r="AE9" s="2825"/>
      <c r="AF9" s="3087"/>
    </row>
    <row r="10" spans="1:33" ht="14.25" customHeight="1" thickBot="1">
      <c r="A10" s="112"/>
      <c r="B10" s="6285" t="str">
        <f>Names</f>
        <v/>
      </c>
      <c r="C10" s="6286"/>
      <c r="D10" s="6286"/>
      <c r="E10" s="6286"/>
      <c r="F10" s="6286"/>
      <c r="G10" s="6286"/>
      <c r="H10" s="6286"/>
      <c r="I10" s="6286"/>
      <c r="J10" s="6287"/>
      <c r="K10" s="5269">
        <f>SS_Yours</f>
        <v>0</v>
      </c>
      <c r="L10" s="6266"/>
      <c r="M10" s="6266"/>
      <c r="N10" s="973"/>
      <c r="O10" s="328"/>
      <c r="P10" s="576" t="str">
        <f>Deduction</f>
        <v>Filing status?</v>
      </c>
      <c r="Q10" s="408"/>
      <c r="R10" s="4532"/>
      <c r="S10" s="3066"/>
      <c r="T10" s="3067"/>
      <c r="U10" s="3067"/>
      <c r="V10" s="3069"/>
      <c r="W10" s="3067"/>
      <c r="X10" s="3067"/>
      <c r="Y10" s="3067"/>
      <c r="Z10" s="3067"/>
      <c r="AA10" s="3067"/>
      <c r="AB10" s="3067"/>
      <c r="AC10" s="3067"/>
      <c r="AD10" s="3067"/>
      <c r="AE10" s="3070"/>
      <c r="AF10" s="3087"/>
    </row>
    <row r="11" spans="1:33" ht="16.5" thickBot="1">
      <c r="A11" s="112"/>
      <c r="B11" s="1008" t="s">
        <v>525</v>
      </c>
      <c r="C11" s="6256" t="s">
        <v>318</v>
      </c>
      <c r="D11" s="6256"/>
      <c r="E11" s="6257"/>
      <c r="F11" s="6257"/>
      <c r="G11" s="6257"/>
      <c r="H11" s="6257"/>
      <c r="I11" s="6257"/>
      <c r="J11" s="6257"/>
      <c r="K11" s="6257"/>
      <c r="L11" s="6257"/>
      <c r="M11" s="6257"/>
      <c r="N11" s="974"/>
      <c r="O11" s="837"/>
      <c r="P11" s="993"/>
      <c r="Q11" s="408"/>
      <c r="R11" s="2613"/>
      <c r="S11" s="3066"/>
      <c r="T11" s="3067"/>
      <c r="U11" s="3094" t="str">
        <f>IF(SchA_Filed,"","X")</f>
        <v>X</v>
      </c>
      <c r="V11" s="3069" t="s">
        <v>666</v>
      </c>
      <c r="W11" s="3069" t="s">
        <v>2161</v>
      </c>
      <c r="X11" s="3067"/>
      <c r="Y11" s="3067"/>
      <c r="Z11" s="3067"/>
      <c r="AA11" s="3067"/>
      <c r="AB11" s="3067"/>
      <c r="AC11" s="3076" t="str">
        <f>IF(U11="X","Go to Line 5.","")</f>
        <v>Go to Line 5.</v>
      </c>
      <c r="AD11" s="3067"/>
      <c r="AE11" s="3070"/>
      <c r="AF11" s="3087"/>
    </row>
    <row r="12" spans="1:33" ht="12" customHeight="1" thickBot="1">
      <c r="A12" s="112"/>
      <c r="B12" s="237">
        <v>1</v>
      </c>
      <c r="C12" s="507" t="s">
        <v>1478</v>
      </c>
      <c r="D12" s="507"/>
      <c r="E12" s="298"/>
      <c r="F12" s="298"/>
      <c r="G12" s="299"/>
      <c r="H12" s="299"/>
      <c r="I12" s="299"/>
      <c r="J12" s="299"/>
      <c r="K12" s="302"/>
      <c r="L12" s="292"/>
      <c r="M12" s="754"/>
      <c r="N12" s="975"/>
      <c r="O12" s="2734" t="b">
        <f>IF(SchA_Filed,TRUE,FALSE)</f>
        <v>0</v>
      </c>
      <c r="P12" s="849" t="str">
        <f>IF(O12,"","Go to Line 7.")</f>
        <v>Go to Line 7.</v>
      </c>
      <c r="Q12" s="617"/>
      <c r="R12" s="2113"/>
      <c r="S12" s="3066"/>
      <c r="T12" s="3067"/>
      <c r="U12" s="3067"/>
      <c r="V12" s="3069"/>
      <c r="W12" s="3067"/>
      <c r="X12" s="3067"/>
      <c r="Y12" s="3067"/>
      <c r="Z12" s="3067"/>
      <c r="AA12" s="3067"/>
      <c r="AB12" s="3067"/>
      <c r="AC12" s="3067"/>
      <c r="AD12" s="3067"/>
      <c r="AE12" s="2825"/>
      <c r="AF12" s="3087"/>
    </row>
    <row r="13" spans="1:33" ht="12" customHeight="1" thickBot="1">
      <c r="A13" s="112"/>
      <c r="B13" s="237"/>
      <c r="C13" s="507" t="s">
        <v>1479</v>
      </c>
      <c r="D13" s="507"/>
      <c r="E13" s="298"/>
      <c r="F13" s="298"/>
      <c r="G13" s="299"/>
      <c r="H13" s="299"/>
      <c r="I13" s="299"/>
      <c r="J13" s="299"/>
      <c r="K13" s="302"/>
      <c r="L13" s="322">
        <f>B12</f>
        <v>1</v>
      </c>
      <c r="M13" s="2798">
        <f>IF(P13&lt;&gt;"",P13,IF(SchA_Filed,F1040_Line41,Adj_Gross_Inc))</f>
        <v>0</v>
      </c>
      <c r="N13" s="975"/>
      <c r="O13" s="331"/>
      <c r="P13" s="638"/>
      <c r="Q13" s="617"/>
      <c r="R13" s="2113"/>
      <c r="S13" s="3066"/>
      <c r="T13" s="3067"/>
      <c r="U13" s="3094" t="str">
        <f>IF(SchA_Filed,"X","")</f>
        <v/>
      </c>
      <c r="V13" s="3069" t="s">
        <v>668</v>
      </c>
      <c r="W13" s="3069" t="s">
        <v>2162</v>
      </c>
      <c r="X13" s="3067"/>
      <c r="Y13" s="3067"/>
      <c r="Z13" s="3067"/>
      <c r="AA13" s="3067"/>
      <c r="AB13" s="3067"/>
      <c r="AC13" s="3017" t="str">
        <f>IF(U13="X",F1040_Line41,"")</f>
        <v/>
      </c>
      <c r="AD13" s="3067"/>
      <c r="AE13" s="2825"/>
      <c r="AF13" s="3087"/>
    </row>
    <row r="14" spans="1:33" ht="12" customHeight="1">
      <c r="A14" s="112"/>
      <c r="B14" s="237">
        <f>B12+1</f>
        <v>2</v>
      </c>
      <c r="C14" s="507" t="s">
        <v>1625</v>
      </c>
      <c r="D14" s="507"/>
      <c r="E14" s="298"/>
      <c r="F14" s="507"/>
      <c r="G14" s="299"/>
      <c r="H14" s="507"/>
      <c r="I14" s="299"/>
      <c r="J14" s="299"/>
      <c r="K14" s="302"/>
      <c r="L14" s="1202"/>
      <c r="M14" s="1375">
        <v>2.5000000000000001E-2</v>
      </c>
      <c r="N14" s="975"/>
      <c r="O14" s="331"/>
      <c r="P14" s="2712"/>
      <c r="Q14" s="617"/>
      <c r="R14" s="2113" t="s">
        <v>1626</v>
      </c>
      <c r="S14" s="3066"/>
      <c r="T14" s="3067"/>
      <c r="U14" s="3067"/>
      <c r="V14" s="3069"/>
      <c r="W14" s="3067"/>
      <c r="X14" s="3067"/>
      <c r="Y14" s="3067"/>
      <c r="Z14" s="3067"/>
      <c r="AA14" s="3067"/>
      <c r="AB14" s="3067"/>
      <c r="AC14" s="3067"/>
      <c r="AD14" s="3067"/>
      <c r="AE14" s="2825"/>
      <c r="AF14" s="3071"/>
    </row>
    <row r="15" spans="1:33" ht="12" customHeight="1">
      <c r="A15" s="112"/>
      <c r="B15" s="237"/>
      <c r="C15" s="507" t="str">
        <f>"line 4, or "&amp;TEXT(M14,"0.0%")&amp;" ("&amp;TEXT(M14,"0.000")&amp;") of Form 1040, line 38. If zero or less, enter -0-"</f>
        <v>line 4, or 2.5% (0.025) of Form 1040, line 38. If zero or less, enter -0-</v>
      </c>
      <c r="D15" s="224"/>
      <c r="E15" s="298"/>
      <c r="F15" s="298"/>
      <c r="G15" s="299"/>
      <c r="H15" s="299"/>
      <c r="I15" s="299"/>
      <c r="J15" s="299"/>
      <c r="K15" s="2476" t="str">
        <f>IF(AND(P15&lt;&gt;"",S18="",you_over_64="",sp_over_64=""),"Check box on Form 1040 Line 39a.",".   .   .   .   .   .   .   .   .   .   .   .   .   .   .   .   . ")</f>
        <v xml:space="preserve">.   .   .   .   .   .   .   .   .   .   .   .   .   .   .   .   . </v>
      </c>
      <c r="L15" s="322">
        <f>B14</f>
        <v>2</v>
      </c>
      <c r="M15" s="2798" t="str">
        <f>IF(P15&lt;&gt;"",P15,IF(NOT(O12),"",IF(AND(ItemizedDeduct,OR(you_over_64&lt;&gt;"",sp_over_64&lt;&gt;"")),MIN('Sch. A'!N20,M14*(Adj_Gross_Inc)),"")))</f>
        <v/>
      </c>
      <c r="N15" s="976"/>
      <c r="O15" s="332"/>
      <c r="P15" s="3105"/>
      <c r="Q15" s="617"/>
      <c r="R15" s="2711" t="s">
        <v>1627</v>
      </c>
      <c r="S15" s="3066"/>
      <c r="T15" s="3067"/>
      <c r="U15" s="3068" t="s">
        <v>0</v>
      </c>
      <c r="V15" s="3069" t="s">
        <v>2184</v>
      </c>
      <c r="W15" s="3067"/>
      <c r="X15" s="3067"/>
      <c r="Y15" s="3067"/>
      <c r="Z15" s="3067"/>
      <c r="AA15" s="3067"/>
      <c r="AB15" s="3067"/>
      <c r="AC15" s="3067"/>
      <c r="AD15" s="3067"/>
      <c r="AE15" s="2825"/>
      <c r="AF15" s="3071"/>
    </row>
    <row r="16" spans="1:33" ht="15" customHeight="1">
      <c r="A16" s="112"/>
      <c r="B16" s="237">
        <f>B14+1</f>
        <v>3</v>
      </c>
      <c r="C16" s="507" t="s">
        <v>1152</v>
      </c>
      <c r="D16" s="244"/>
      <c r="E16" s="298"/>
      <c r="F16" s="298"/>
      <c r="G16" s="299"/>
      <c r="H16" s="299"/>
      <c r="I16" s="299"/>
      <c r="J16" s="299"/>
      <c r="K16" s="807" t="s">
        <v>995</v>
      </c>
      <c r="L16" s="322">
        <f>B16</f>
        <v>3</v>
      </c>
      <c r="M16" s="2798" t="str">
        <f>IF(P16&lt;&gt;"",P16,IF(NOT(O12),"",IF(ItemizedDeduct,'Sch. A'!N29,"")))</f>
        <v/>
      </c>
      <c r="N16" s="976"/>
      <c r="O16" s="332"/>
      <c r="P16" s="3106"/>
      <c r="Q16" s="617"/>
      <c r="R16" s="2113"/>
      <c r="S16" s="3066"/>
      <c r="T16" s="3067"/>
      <c r="U16" s="3067"/>
      <c r="V16" s="3069" t="str">
        <f>TEXT(AG16,"0.0%")&amp;" ("&amp;TEXT(AG16,".000")&amp;") of the amount on Form 1040, line 38. If zero or less, enter -0-"</f>
        <v>2.5% (.025) of the amount on Form 1040, line 38. If zero or less, enter -0-</v>
      </c>
      <c r="W16" s="3067"/>
      <c r="X16" s="3067"/>
      <c r="Y16" s="3067"/>
      <c r="Z16" s="3067"/>
      <c r="AA16" s="3067"/>
      <c r="AB16" s="3067"/>
      <c r="AC16" s="3017" t="str">
        <f>IF(AND(U13="X",OR(you_over_64="X",sp_over_64="X")),MIN('Sch. A'!N20,ROUND(AG16*Adj_Gross_Inc,0)),"")</f>
        <v/>
      </c>
      <c r="AD16" s="3067"/>
      <c r="AE16" s="3067"/>
      <c r="AF16" s="3071"/>
      <c r="AG16" s="3060">
        <v>2.5000000000000001E-2</v>
      </c>
    </row>
    <row r="17" spans="1:33" ht="15" customHeight="1">
      <c r="A17" s="112"/>
      <c r="B17" s="237">
        <f>B16+1</f>
        <v>4</v>
      </c>
      <c r="C17" s="507" t="s">
        <v>2144</v>
      </c>
      <c r="D17" s="507"/>
      <c r="E17" s="298"/>
      <c r="F17" s="298"/>
      <c r="G17" s="299"/>
      <c r="H17" s="299"/>
      <c r="I17" s="299"/>
      <c r="J17" s="299"/>
      <c r="K17" s="807"/>
      <c r="L17" s="322">
        <f>B17</f>
        <v>4</v>
      </c>
      <c r="M17" s="2799"/>
      <c r="N17" s="976"/>
      <c r="O17" s="332"/>
      <c r="P17" s="823"/>
      <c r="Q17" s="617"/>
      <c r="R17" s="2113"/>
      <c r="S17" s="3066"/>
      <c r="T17" s="3067"/>
      <c r="U17" s="3067"/>
      <c r="V17" s="3069"/>
      <c r="W17" s="3067"/>
      <c r="X17" s="3067"/>
      <c r="Y17" s="3067"/>
      <c r="Z17" s="3067"/>
      <c r="AA17" s="3067"/>
      <c r="AB17" s="3067"/>
      <c r="AC17" s="3067"/>
      <c r="AD17" s="3067"/>
      <c r="AE17" s="3067"/>
      <c r="AF17" s="3071"/>
    </row>
    <row r="18" spans="1:33" ht="15" customHeight="1">
      <c r="A18" s="112"/>
      <c r="B18" s="237">
        <f>B17+1</f>
        <v>5</v>
      </c>
      <c r="C18" s="507" t="s">
        <v>800</v>
      </c>
      <c r="D18" s="244"/>
      <c r="E18" s="298"/>
      <c r="F18" s="298"/>
      <c r="G18" s="299"/>
      <c r="H18" s="299"/>
      <c r="I18" s="299"/>
      <c r="J18" s="299"/>
      <c r="K18" s="807" t="s">
        <v>996</v>
      </c>
      <c r="L18" s="322">
        <f>B18</f>
        <v>5</v>
      </c>
      <c r="M18" s="2798" t="str">
        <f>IF(P18&lt;&gt;"",P18,IF(NOT(O12),"",IF(ItemizedDeduct,'Sch. A'!N59,"")))</f>
        <v/>
      </c>
      <c r="N18" s="976"/>
      <c r="O18" s="332"/>
      <c r="P18" s="638"/>
      <c r="Q18" s="617"/>
      <c r="R18" s="2113"/>
      <c r="S18" s="3093"/>
      <c r="T18" s="3067"/>
      <c r="U18" s="3068" t="s">
        <v>1</v>
      </c>
      <c r="V18" s="3069" t="s">
        <v>2163</v>
      </c>
      <c r="W18" s="3067"/>
      <c r="X18" s="3067"/>
      <c r="Y18" s="3067"/>
      <c r="Z18" s="3067"/>
      <c r="AA18" s="3067"/>
      <c r="AB18" s="3067"/>
      <c r="AC18" s="3017" t="str">
        <f>IF(U13="X",SUM('Sch. A'!N29,'Sch. A'!N59),"")</f>
        <v/>
      </c>
      <c r="AD18" s="3067"/>
      <c r="AE18" s="3067"/>
      <c r="AF18" s="3071"/>
    </row>
    <row r="19" spans="1:33" ht="15" customHeight="1">
      <c r="A19" s="112"/>
      <c r="B19" s="237">
        <f>B18+1</f>
        <v>6</v>
      </c>
      <c r="C19" s="507" t="str">
        <f>"If Form 1040, line 38, is "&amp;TEXT('1040'!AK78,"$0,000")&amp;" or less, enter -0-. Otherwise, see instructions"</f>
        <v>If Form 1040, line 38, is $155,650 or less, enter -0-. Otherwise, see instructions</v>
      </c>
      <c r="D19" s="507"/>
      <c r="E19" s="298"/>
      <c r="F19" s="298"/>
      <c r="G19" s="299"/>
      <c r="H19" s="299"/>
      <c r="I19" s="507"/>
      <c r="J19" s="299"/>
      <c r="K19" s="2476" t="s">
        <v>260</v>
      </c>
      <c r="L19" s="322">
        <f t="shared" ref="L19:L40" si="0">B19</f>
        <v>6</v>
      </c>
      <c r="M19" s="2798" t="str">
        <f>IF(P19&lt;&gt;"",P19,IF(NOT(O12),"",IF(Adj_Gross_Inc&lt;'1040'!AK78,0,IF(ISERROR(-Item_Deduct_Wks_L9),"",-Item_Deduct_Wks_L9))))</f>
        <v/>
      </c>
      <c r="N19" s="975"/>
      <c r="O19" s="331"/>
      <c r="P19" s="638"/>
      <c r="Q19" s="617"/>
      <c r="R19" s="2113"/>
      <c r="S19" s="3066"/>
      <c r="T19" s="3067"/>
      <c r="U19" s="3067"/>
      <c r="V19" s="3069"/>
      <c r="W19" s="3067"/>
      <c r="X19" s="3067"/>
      <c r="Y19" s="3067"/>
      <c r="Z19" s="3067"/>
      <c r="AA19" s="3067"/>
      <c r="AB19" s="3067"/>
      <c r="AC19" s="3067"/>
      <c r="AD19" s="3067"/>
      <c r="AE19" s="3067"/>
      <c r="AF19" s="3071"/>
    </row>
    <row r="20" spans="1:33" ht="15" customHeight="1">
      <c r="A20" s="112"/>
      <c r="B20" s="237">
        <f t="shared" ref="B20:B40" si="1">B19+1</f>
        <v>7</v>
      </c>
      <c r="C20" s="507" t="s">
        <v>926</v>
      </c>
      <c r="D20" s="244"/>
      <c r="E20" s="298"/>
      <c r="F20" s="298"/>
      <c r="G20" s="299"/>
      <c r="H20" s="299"/>
      <c r="I20" s="888" t="str">
        <f>IF(AND(M19&lt;&gt;"",M19&gt;0),"(Line 6 must be a negative amount.)",IF(AND(M20&lt;&gt;"",M20&gt;0),"(Line 7 must be a negative amount.)",IF(M24&gt;0,"(Enter Line 11 as a negative amount.)",".   .   .   .   .   .   .   .   .   .   .   .   .   .   .")))</f>
        <v>.   .   .   .   .   .   .   .   .   .   .   .   .   .   .</v>
      </c>
      <c r="J20" s="299"/>
      <c r="K20" s="807" t="s">
        <v>997</v>
      </c>
      <c r="L20" s="322">
        <f t="shared" si="0"/>
        <v>7</v>
      </c>
      <c r="M20" s="2798" t="str">
        <f>IF(P20&lt;&gt;"",P20,IF(F1040_Line10="","",-F1040_Line10))</f>
        <v/>
      </c>
      <c r="N20" s="976"/>
      <c r="O20" s="332"/>
      <c r="P20" s="638"/>
      <c r="Q20" s="1239" t="str">
        <f>IF(ISERROR(FIND("tax",'1040'!T54,1)),"",'1040'!AB54)</f>
        <v/>
      </c>
      <c r="R20" s="2113"/>
      <c r="S20" s="3066"/>
      <c r="T20" s="3067"/>
      <c r="U20" s="3068" t="s">
        <v>642</v>
      </c>
      <c r="V20" s="3069" t="s">
        <v>1762</v>
      </c>
      <c r="W20" s="3067"/>
      <c r="X20" s="3067"/>
      <c r="Y20" s="3067"/>
      <c r="Z20" s="3067"/>
      <c r="AA20" s="3067"/>
      <c r="AB20" s="3067"/>
      <c r="AC20" s="3017">
        <f>IF(U13="X",SUM(AC13,AC16,AC18),Adj_Gross_Inc)</f>
        <v>0</v>
      </c>
      <c r="AD20" s="3067"/>
      <c r="AE20" s="3067"/>
      <c r="AF20" s="3071"/>
    </row>
    <row r="21" spans="1:33" ht="15" customHeight="1">
      <c r="A21" s="112"/>
      <c r="B21" s="237">
        <f t="shared" si="1"/>
        <v>8</v>
      </c>
      <c r="C21" s="507" t="s">
        <v>308</v>
      </c>
      <c r="D21" s="244"/>
      <c r="E21" s="298"/>
      <c r="F21" s="298"/>
      <c r="G21" s="299"/>
      <c r="H21" s="299"/>
      <c r="I21" s="299"/>
      <c r="J21" s="299"/>
      <c r="K21" s="807" t="s">
        <v>927</v>
      </c>
      <c r="L21" s="322">
        <f t="shared" si="0"/>
        <v>8</v>
      </c>
      <c r="M21" s="2799"/>
      <c r="N21" s="976"/>
      <c r="O21" s="332"/>
      <c r="P21" s="823"/>
      <c r="Q21" s="617"/>
      <c r="R21" s="2113"/>
      <c r="S21" s="3066"/>
      <c r="T21" s="3067"/>
      <c r="U21" s="3067"/>
      <c r="V21" s="3069"/>
      <c r="W21" s="3067"/>
      <c r="X21" s="3067"/>
      <c r="Y21" s="3067"/>
      <c r="Z21" s="3067"/>
      <c r="AA21" s="3067"/>
      <c r="AB21" s="3067"/>
      <c r="AC21" s="3067"/>
      <c r="AD21" s="3067"/>
      <c r="AE21" s="3067"/>
      <c r="AF21" s="3071"/>
    </row>
    <row r="22" spans="1:33" ht="15" customHeight="1">
      <c r="A22" s="112"/>
      <c r="B22" s="237">
        <f t="shared" si="1"/>
        <v>9</v>
      </c>
      <c r="C22" s="507" t="s">
        <v>309</v>
      </c>
      <c r="D22" s="244"/>
      <c r="E22" s="298"/>
      <c r="F22" s="298"/>
      <c r="G22" s="299"/>
      <c r="H22" s="299"/>
      <c r="I22" s="299"/>
      <c r="J22" s="299"/>
      <c r="K22" s="807" t="s">
        <v>998</v>
      </c>
      <c r="L22" s="322">
        <f t="shared" si="0"/>
        <v>9</v>
      </c>
      <c r="M22" s="2799"/>
      <c r="N22" s="976"/>
      <c r="O22" s="332"/>
      <c r="P22" s="2739" t="s">
        <v>1654</v>
      </c>
      <c r="Q22" s="617"/>
      <c r="R22" s="2113"/>
      <c r="S22" s="3066"/>
      <c r="T22" s="3067"/>
      <c r="U22" s="3068" t="s">
        <v>53</v>
      </c>
      <c r="V22" s="3069" t="s">
        <v>2164</v>
      </c>
      <c r="W22" s="3067"/>
      <c r="X22" s="3067"/>
      <c r="Y22" s="3067"/>
      <c r="Z22" s="3077"/>
      <c r="AA22" s="2888"/>
      <c r="AB22" s="3067"/>
      <c r="AC22" s="3017">
        <f>SUM(F1040_Line10,AA22)</f>
        <v>0</v>
      </c>
      <c r="AD22" s="3067"/>
      <c r="AE22" s="3067"/>
      <c r="AF22" s="3071"/>
      <c r="AG22" s="3060">
        <v>2.5000000000000001E-2</v>
      </c>
    </row>
    <row r="23" spans="1:33" ht="15" customHeight="1">
      <c r="A23" s="112"/>
      <c r="B23" s="237">
        <f t="shared" si="1"/>
        <v>10</v>
      </c>
      <c r="C23" s="507" t="s">
        <v>169</v>
      </c>
      <c r="D23" s="244"/>
      <c r="E23" s="298"/>
      <c r="F23" s="298"/>
      <c r="G23" s="836" t="s">
        <v>170</v>
      </c>
      <c r="H23" s="299"/>
      <c r="I23" s="30"/>
      <c r="J23" s="299"/>
      <c r="K23" s="807" t="s">
        <v>928</v>
      </c>
      <c r="L23" s="322">
        <f t="shared" si="0"/>
        <v>10</v>
      </c>
      <c r="M23" s="2799"/>
      <c r="N23" s="976"/>
      <c r="O23" s="332"/>
      <c r="P23" s="2740" t="s">
        <v>1642</v>
      </c>
      <c r="Q23" s="617"/>
      <c r="R23" s="2113"/>
      <c r="S23" s="3066"/>
      <c r="T23" s="3067"/>
      <c r="U23" s="3067"/>
      <c r="V23" s="3069"/>
      <c r="W23" s="3067"/>
      <c r="X23" s="3067"/>
      <c r="Y23" s="3067"/>
      <c r="Z23" s="3067"/>
      <c r="AA23" s="3077" t="s">
        <v>2185</v>
      </c>
      <c r="AB23" s="3067"/>
      <c r="AC23" s="3067"/>
      <c r="AD23" s="3067"/>
      <c r="AE23" s="3067"/>
      <c r="AF23" s="3071"/>
      <c r="AG23" s="3060">
        <f>AG22*Adj_Gross_Inc</f>
        <v>0</v>
      </c>
    </row>
    <row r="24" spans="1:33" ht="15" customHeight="1">
      <c r="A24" s="112"/>
      <c r="B24" s="237">
        <f t="shared" si="1"/>
        <v>11</v>
      </c>
      <c r="C24" s="507" t="s">
        <v>228</v>
      </c>
      <c r="D24" s="244"/>
      <c r="E24" s="298"/>
      <c r="F24" s="298"/>
      <c r="G24" s="299"/>
      <c r="H24" s="299"/>
      <c r="I24" s="299"/>
      <c r="J24" s="299"/>
      <c r="K24" s="807" t="s">
        <v>688</v>
      </c>
      <c r="L24" s="322">
        <f t="shared" si="0"/>
        <v>11</v>
      </c>
      <c r="M24" s="2799"/>
      <c r="N24" s="976"/>
      <c r="O24" s="332"/>
      <c r="P24" s="2717" t="s">
        <v>1643</v>
      </c>
      <c r="Q24" s="617"/>
      <c r="R24" s="2113"/>
      <c r="S24" s="3066"/>
      <c r="T24" s="3067"/>
      <c r="U24" s="3068" t="s">
        <v>122</v>
      </c>
      <c r="V24" s="3069" t="s">
        <v>2165</v>
      </c>
      <c r="W24" s="3067"/>
      <c r="X24" s="3067"/>
      <c r="Y24" s="3067"/>
      <c r="Z24" s="3067"/>
      <c r="AA24" s="3067"/>
      <c r="AB24" s="3067"/>
      <c r="AC24" s="3067"/>
      <c r="AD24" s="3067"/>
      <c r="AE24" s="3067"/>
      <c r="AF24" s="3071"/>
    </row>
    <row r="25" spans="1:33" ht="15" customHeight="1">
      <c r="A25" s="112"/>
      <c r="B25" s="237">
        <f t="shared" si="1"/>
        <v>12</v>
      </c>
      <c r="C25" s="507" t="s">
        <v>226</v>
      </c>
      <c r="D25" s="244"/>
      <c r="E25" s="298"/>
      <c r="F25" s="298"/>
      <c r="G25" s="299"/>
      <c r="H25" s="299"/>
      <c r="I25" s="299"/>
      <c r="J25" s="299"/>
      <c r="K25" s="807" t="s">
        <v>999</v>
      </c>
      <c r="L25" s="322">
        <f t="shared" si="0"/>
        <v>12</v>
      </c>
      <c r="M25" s="2799"/>
      <c r="N25" s="976"/>
      <c r="O25" s="332"/>
      <c r="P25" s="2717" t="s">
        <v>1644</v>
      </c>
      <c r="Q25" s="617"/>
      <c r="R25" s="2113"/>
      <c r="S25" s="3066"/>
      <c r="T25" s="3067"/>
      <c r="U25" s="3067"/>
      <c r="V25" s="3069" t="s">
        <v>2166</v>
      </c>
      <c r="W25" s="3067"/>
      <c r="X25" s="3067"/>
      <c r="Y25" s="3067"/>
      <c r="Z25" s="3067"/>
      <c r="AA25" s="3067"/>
      <c r="AB25" s="3067"/>
      <c r="AC25" s="3017" t="str">
        <f>Item_Deduct_Wks_L9</f>
        <v/>
      </c>
      <c r="AD25" s="3067"/>
      <c r="AE25" s="3067"/>
      <c r="AF25" s="3071"/>
    </row>
    <row r="26" spans="1:33" ht="15" customHeight="1">
      <c r="A26" s="112"/>
      <c r="B26" s="237">
        <f t="shared" si="1"/>
        <v>13</v>
      </c>
      <c r="C26" s="507" t="s">
        <v>247</v>
      </c>
      <c r="D26" s="244"/>
      <c r="E26" s="298"/>
      <c r="F26" s="298"/>
      <c r="G26" s="299"/>
      <c r="H26" s="299"/>
      <c r="I26" s="299"/>
      <c r="J26" s="299"/>
      <c r="K26" s="807" t="s">
        <v>260</v>
      </c>
      <c r="L26" s="322">
        <f t="shared" si="0"/>
        <v>13</v>
      </c>
      <c r="M26" s="2799"/>
      <c r="N26" s="976"/>
      <c r="O26" s="332"/>
      <c r="P26" s="2717" t="s">
        <v>1645</v>
      </c>
      <c r="Q26" s="617"/>
      <c r="R26" s="2113"/>
      <c r="S26" s="3066"/>
      <c r="T26" s="3067"/>
      <c r="U26" s="3067"/>
      <c r="V26" s="3069"/>
      <c r="W26" s="3067"/>
      <c r="X26" s="3067"/>
      <c r="Y26" s="3067"/>
      <c r="Z26" s="3067"/>
      <c r="AA26" s="3067"/>
      <c r="AB26" s="3067"/>
      <c r="AC26" s="3067"/>
      <c r="AD26" s="3067"/>
      <c r="AE26" s="3067"/>
      <c r="AF26" s="3071"/>
      <c r="AG26" s="3061">
        <f>SUM('Sch. A'!$L$22:$L$23,'Sch. A'!$L$25,'Sch. A'!$L$28,'Sch. A'!$N$59)</f>
        <v>0</v>
      </c>
    </row>
    <row r="27" spans="1:33" ht="15" customHeight="1">
      <c r="A27" s="112"/>
      <c r="B27" s="237">
        <f t="shared" si="1"/>
        <v>14</v>
      </c>
      <c r="C27" s="507" t="s">
        <v>178</v>
      </c>
      <c r="D27" s="244"/>
      <c r="E27" s="298"/>
      <c r="F27" s="298"/>
      <c r="G27" s="299"/>
      <c r="H27" s="299"/>
      <c r="I27" s="299"/>
      <c r="J27" s="299"/>
      <c r="K27" s="807" t="s">
        <v>997</v>
      </c>
      <c r="L27" s="322">
        <f t="shared" si="0"/>
        <v>14</v>
      </c>
      <c r="M27" s="2799"/>
      <c r="N27" s="976"/>
      <c r="O27" s="332"/>
      <c r="P27" s="2717" t="str">
        <f>TEXT(P36,"$0,000")&amp;", you must include an"</f>
        <v>$247,450, you must include an</v>
      </c>
      <c r="Q27" s="617"/>
      <c r="R27" s="2113"/>
      <c r="S27" s="3066"/>
      <c r="T27" s="3067"/>
      <c r="U27" s="3068" t="s">
        <v>123</v>
      </c>
      <c r="V27" s="3069" t="s">
        <v>2167</v>
      </c>
      <c r="W27" s="3067"/>
      <c r="X27" s="3067"/>
      <c r="Y27" s="3067"/>
      <c r="Z27" s="3067"/>
      <c r="AA27" s="3067"/>
      <c r="AB27" s="3067"/>
      <c r="AC27" s="3017">
        <f>SUM(AC22,AC25)</f>
        <v>0</v>
      </c>
      <c r="AD27" s="3067"/>
      <c r="AE27" s="3067"/>
      <c r="AF27" s="3071"/>
    </row>
    <row r="28" spans="1:33" ht="15" customHeight="1">
      <c r="A28" s="112"/>
      <c r="B28" s="237">
        <f t="shared" si="1"/>
        <v>15</v>
      </c>
      <c r="C28" s="507" t="s">
        <v>302</v>
      </c>
      <c r="D28" s="244"/>
      <c r="E28" s="298"/>
      <c r="F28" s="298"/>
      <c r="G28" s="299"/>
      <c r="H28" s="299"/>
      <c r="I28" s="299"/>
      <c r="J28" s="299"/>
      <c r="K28" s="807" t="s">
        <v>1000</v>
      </c>
      <c r="L28" s="322">
        <f t="shared" si="0"/>
        <v>15</v>
      </c>
      <c r="M28" s="2799"/>
      <c r="N28" s="976"/>
      <c r="O28" s="332"/>
      <c r="P28" s="2717" t="s">
        <v>1646</v>
      </c>
      <c r="Q28" s="617"/>
      <c r="R28" s="2113"/>
      <c r="S28" s="3066"/>
      <c r="T28" s="3067"/>
      <c r="U28" s="3067"/>
      <c r="V28" s="3069"/>
      <c r="W28" s="3067"/>
      <c r="X28" s="3067"/>
      <c r="Y28" s="3067"/>
      <c r="Z28" s="3067"/>
      <c r="AA28" s="3067"/>
      <c r="AB28" s="3067"/>
      <c r="AC28" s="3067"/>
      <c r="AD28" s="3067"/>
      <c r="AE28" s="3067"/>
      <c r="AF28" s="3071"/>
    </row>
    <row r="29" spans="1:33" ht="15" customHeight="1">
      <c r="A29" s="112"/>
      <c r="B29" s="237">
        <f t="shared" si="1"/>
        <v>16</v>
      </c>
      <c r="C29" s="507" t="s">
        <v>929</v>
      </c>
      <c r="D29" s="244"/>
      <c r="E29" s="298"/>
      <c r="F29" s="298"/>
      <c r="G29" s="299"/>
      <c r="H29" s="299"/>
      <c r="I29" s="299"/>
      <c r="J29" s="299"/>
      <c r="K29" s="807" t="s">
        <v>1001</v>
      </c>
      <c r="L29" s="322">
        <f t="shared" si="0"/>
        <v>16</v>
      </c>
      <c r="M29" s="2799"/>
      <c r="N29" s="976"/>
      <c r="O29" s="332"/>
      <c r="P29" s="2717" t="str">
        <f>TEXT(P37,"$0,000")&amp;" or more, include an additional"</f>
        <v>$415,050 or more, include an additional</v>
      </c>
      <c r="Q29" s="617"/>
      <c r="R29" s="2113"/>
      <c r="S29" s="3066"/>
      <c r="T29" s="3067"/>
      <c r="U29" s="3068" t="s">
        <v>338</v>
      </c>
      <c r="V29" s="3069" t="s">
        <v>2168</v>
      </c>
      <c r="W29" s="3067"/>
      <c r="X29" s="3067"/>
      <c r="Y29" s="3067"/>
      <c r="Z29" s="3067"/>
      <c r="AA29" s="3067"/>
      <c r="AB29" s="3067"/>
      <c r="AC29" s="3017">
        <f>SUM(AC20,-AC27)</f>
        <v>0</v>
      </c>
      <c r="AD29" s="3067"/>
      <c r="AE29" s="3067"/>
      <c r="AF29" s="3071"/>
    </row>
    <row r="30" spans="1:33" ht="15" customHeight="1">
      <c r="A30" s="112"/>
      <c r="B30" s="237">
        <f t="shared" si="1"/>
        <v>17</v>
      </c>
      <c r="C30" s="507" t="s">
        <v>347</v>
      </c>
      <c r="D30" s="244"/>
      <c r="E30" s="298"/>
      <c r="F30" s="298"/>
      <c r="G30" s="299"/>
      <c r="H30" s="299"/>
      <c r="I30" s="299"/>
      <c r="J30" s="299"/>
      <c r="K30" s="807" t="s">
        <v>1001</v>
      </c>
      <c r="L30" s="322">
        <f t="shared" si="0"/>
        <v>17</v>
      </c>
      <c r="M30" s="2799"/>
      <c r="N30" s="976"/>
      <c r="O30" s="332"/>
      <c r="P30" s="2717" t="str">
        <f>TEXT(P38,"$0,000")&amp;". Otherwise, include "&amp;TEXT(P39,"0%")&amp;" of the"</f>
        <v>$41,900. Otherwise, include 25% of the</v>
      </c>
      <c r="Q30" s="617"/>
      <c r="R30" s="2113"/>
      <c r="S30" s="3066"/>
      <c r="T30" s="3067"/>
      <c r="U30" s="3067"/>
      <c r="V30" s="3069"/>
      <c r="W30" s="3067"/>
      <c r="X30" s="3067"/>
      <c r="Y30" s="3067"/>
      <c r="Z30" s="3067"/>
      <c r="AA30" s="3067"/>
      <c r="AB30" s="3067"/>
      <c r="AC30" s="3067"/>
      <c r="AD30" s="3067"/>
      <c r="AE30" s="3067"/>
      <c r="AF30" s="3071"/>
    </row>
    <row r="31" spans="1:33" ht="15" customHeight="1">
      <c r="A31" s="112"/>
      <c r="B31" s="237">
        <f t="shared" si="1"/>
        <v>18</v>
      </c>
      <c r="C31" s="507" t="s">
        <v>597</v>
      </c>
      <c r="D31" s="244"/>
      <c r="E31" s="298"/>
      <c r="F31" s="298"/>
      <c r="G31" s="299"/>
      <c r="H31" s="299"/>
      <c r="I31" s="299"/>
      <c r="J31" s="299"/>
      <c r="K31" s="807" t="s">
        <v>1002</v>
      </c>
      <c r="L31" s="322">
        <f t="shared" si="0"/>
        <v>18</v>
      </c>
      <c r="M31" s="2799"/>
      <c r="N31" s="976"/>
      <c r="O31" s="332"/>
      <c r="P31" s="2717" t="s">
        <v>1647</v>
      </c>
      <c r="Q31" s="617"/>
      <c r="R31" s="2113"/>
      <c r="S31" s="3066"/>
      <c r="T31" s="3067"/>
      <c r="U31" s="3068" t="s">
        <v>339</v>
      </c>
      <c r="V31" s="3069" t="s">
        <v>2169</v>
      </c>
      <c r="W31" s="3067"/>
      <c r="X31" s="3067"/>
      <c r="Y31" s="3067"/>
      <c r="Z31" s="3067"/>
      <c r="AA31" s="3067"/>
      <c r="AB31" s="3067"/>
      <c r="AC31" s="3067"/>
      <c r="AD31" s="3067"/>
      <c r="AE31" s="3067"/>
      <c r="AF31" s="3071"/>
    </row>
    <row r="32" spans="1:33" ht="15" customHeight="1">
      <c r="A32" s="112"/>
      <c r="B32" s="237">
        <f t="shared" si="1"/>
        <v>19</v>
      </c>
      <c r="C32" s="507" t="s">
        <v>930</v>
      </c>
      <c r="D32" s="244"/>
      <c r="E32" s="298"/>
      <c r="F32" s="298"/>
      <c r="G32" s="299"/>
      <c r="H32" s="299"/>
      <c r="I32" s="299"/>
      <c r="J32" s="299"/>
      <c r="K32" s="807" t="s">
        <v>260</v>
      </c>
      <c r="L32" s="322">
        <f t="shared" si="0"/>
        <v>19</v>
      </c>
      <c r="M32" s="2799"/>
      <c r="N32" s="976"/>
      <c r="O32" s="332"/>
      <c r="P32" s="2717" t="str">
        <f>TEXT(P36,"$0,000")&amp;". For example, if the amount"</f>
        <v>$247,450. For example, if the amount</v>
      </c>
      <c r="Q32" s="617"/>
      <c r="R32" s="2113"/>
      <c r="S32" s="3066"/>
      <c r="T32" s="3067"/>
      <c r="U32" s="3069" t="s">
        <v>231</v>
      </c>
      <c r="V32" s="3069" t="str">
        <f>"Single or head of household -- "&amp;TEXT(I46,"$0,000")</f>
        <v>Single or head of household -- $53,900</v>
      </c>
      <c r="W32" s="3067"/>
      <c r="X32" s="3067"/>
      <c r="Y32" s="3067"/>
      <c r="Z32" s="3067"/>
      <c r="AA32" s="3078"/>
      <c r="AB32" s="3067"/>
      <c r="AC32" s="3017" t="str">
        <f>IF(OR(File_Single&lt;&gt;"",File_Head&lt;&gt;""),I46,IF(OR(File_Marr_Joint&lt;&gt;"",File_Qual_Widow&lt;&gt;""),I47,IF(File_Marr_Sep&lt;&gt;"",I48,"Filing status?")))</f>
        <v>Filing status?</v>
      </c>
      <c r="AD32" s="3067"/>
      <c r="AE32" s="3067"/>
      <c r="AF32" s="3071"/>
    </row>
    <row r="33" spans="1:33" ht="15" customHeight="1">
      <c r="A33" s="112"/>
      <c r="B33" s="237">
        <f t="shared" si="1"/>
        <v>20</v>
      </c>
      <c r="C33" s="507" t="s">
        <v>682</v>
      </c>
      <c r="D33" s="244"/>
      <c r="E33" s="298"/>
      <c r="F33" s="298"/>
      <c r="G33" s="299"/>
      <c r="H33" s="299"/>
      <c r="I33" s="299"/>
      <c r="J33" s="299"/>
      <c r="K33" s="807" t="s">
        <v>1003</v>
      </c>
      <c r="L33" s="322">
        <f t="shared" si="0"/>
        <v>20</v>
      </c>
      <c r="M33" s="2799"/>
      <c r="N33" s="976"/>
      <c r="O33" s="332"/>
      <c r="P33" s="2717" t="str">
        <f>"on line 28 is "&amp;TEXT(P36+R33,"$0,000")&amp;", enter "&amp;TEXT(P36+R33+5000,"$0,000")</f>
        <v>on line 28 is $267,450, enter $272,450</v>
      </c>
      <c r="Q33" s="617"/>
      <c r="R33" s="2113">
        <v>20000</v>
      </c>
      <c r="S33" s="3066"/>
      <c r="T33" s="3067"/>
      <c r="U33" s="3069" t="s">
        <v>231</v>
      </c>
      <c r="V33" s="3069" t="str">
        <f>"Married filing jointly or qualifying widow(er) -- "&amp;TEXT(I47,"$0,000")</f>
        <v>Married filing jointly or qualifying widow(er) -- $83,800</v>
      </c>
      <c r="W33" s="3067"/>
      <c r="X33" s="3067"/>
      <c r="Y33" s="3067"/>
      <c r="Z33" s="3067"/>
      <c r="AA33" s="3078"/>
      <c r="AB33" s="3067"/>
      <c r="AC33" s="3067"/>
      <c r="AD33" s="3067"/>
      <c r="AE33" s="3067"/>
      <c r="AF33" s="3071"/>
    </row>
    <row r="34" spans="1:33" ht="15" customHeight="1">
      <c r="A34" s="112"/>
      <c r="B34" s="237">
        <f t="shared" si="1"/>
        <v>21</v>
      </c>
      <c r="C34" s="507" t="s">
        <v>681</v>
      </c>
      <c r="D34" s="244"/>
      <c r="E34" s="298"/>
      <c r="F34" s="298"/>
      <c r="G34" s="299"/>
      <c r="H34" s="299"/>
      <c r="I34" s="299"/>
      <c r="J34" s="299"/>
      <c r="K34" s="807" t="s">
        <v>981</v>
      </c>
      <c r="L34" s="322">
        <f t="shared" si="0"/>
        <v>21</v>
      </c>
      <c r="M34" s="2799"/>
      <c r="N34" s="976"/>
      <c r="O34" s="332"/>
      <c r="P34" s="2717" t="str">
        <f>"instead—the additional "&amp;TEXT(P39*R33,"$0,000")&amp;" is "&amp;TEXT(P39,"0%")</f>
        <v>instead—the additional $5,000 is 25%</v>
      </c>
      <c r="Q34" s="617"/>
      <c r="R34" s="2113"/>
      <c r="S34" s="3066"/>
      <c r="T34" s="3067"/>
      <c r="U34" s="3069" t="s">
        <v>231</v>
      </c>
      <c r="V34" s="3069" t="str">
        <f>"Married filing separately -- "&amp;TEXT(I48,"$0,000")</f>
        <v>Married filing separately -- $41,900</v>
      </c>
      <c r="W34" s="3067"/>
      <c r="X34" s="3067"/>
      <c r="Y34" s="3067"/>
      <c r="Z34" s="3067"/>
      <c r="AA34" s="3078"/>
      <c r="AB34" s="3067"/>
      <c r="AC34" s="3067"/>
      <c r="AD34" s="3067"/>
      <c r="AE34" s="3067"/>
      <c r="AF34" s="3071"/>
    </row>
    <row r="35" spans="1:33" ht="15" customHeight="1">
      <c r="A35" s="112"/>
      <c r="B35" s="237">
        <f t="shared" si="1"/>
        <v>22</v>
      </c>
      <c r="C35" s="507" t="s">
        <v>680</v>
      </c>
      <c r="D35" s="244"/>
      <c r="E35" s="298"/>
      <c r="F35" s="298"/>
      <c r="G35" s="299"/>
      <c r="H35" s="299"/>
      <c r="I35" s="299"/>
      <c r="J35" s="299"/>
      <c r="K35" s="807" t="s">
        <v>927</v>
      </c>
      <c r="L35" s="322">
        <f t="shared" si="0"/>
        <v>22</v>
      </c>
      <c r="M35" s="2799"/>
      <c r="N35" s="976"/>
      <c r="O35" s="332"/>
      <c r="P35" s="2717" t="str">
        <f>"of "&amp;TEXT(R33,"$0,000")&amp;" ("&amp;TEXT(P36+R33,"$0,000")&amp;" minus "&amp;TEXT(P36,"$0,000")&amp;")."</f>
        <v>of $20,000 ($267,450 minus $247,450).</v>
      </c>
      <c r="Q35" s="617"/>
      <c r="R35" s="2113"/>
      <c r="S35" s="3066"/>
      <c r="T35" s="3067"/>
      <c r="U35" s="3067"/>
      <c r="V35" s="3069"/>
      <c r="W35" s="3067"/>
      <c r="X35" s="3067"/>
      <c r="Y35" s="3067"/>
      <c r="Z35" s="3067"/>
      <c r="AA35" s="3067"/>
      <c r="AB35" s="3067"/>
      <c r="AC35" s="3067"/>
      <c r="AD35" s="3067"/>
      <c r="AE35" s="3067"/>
      <c r="AF35" s="3071"/>
    </row>
    <row r="36" spans="1:33" ht="15" customHeight="1">
      <c r="A36" s="112"/>
      <c r="B36" s="237">
        <f t="shared" si="1"/>
        <v>23</v>
      </c>
      <c r="C36" s="507" t="s">
        <v>491</v>
      </c>
      <c r="D36" s="244"/>
      <c r="E36" s="298"/>
      <c r="F36" s="298"/>
      <c r="G36" s="299"/>
      <c r="H36" s="299"/>
      <c r="I36" s="299"/>
      <c r="J36" s="299"/>
      <c r="K36" s="807" t="s">
        <v>995</v>
      </c>
      <c r="L36" s="322">
        <f t="shared" si="0"/>
        <v>23</v>
      </c>
      <c r="M36" s="2799"/>
      <c r="N36" s="976"/>
      <c r="O36" s="332"/>
      <c r="P36" s="2716">
        <v>247450</v>
      </c>
      <c r="Q36" s="617"/>
      <c r="R36" s="4533"/>
      <c r="S36" s="3066"/>
      <c r="T36" s="3067"/>
      <c r="U36" s="3068" t="s">
        <v>477</v>
      </c>
      <c r="V36" s="3069" t="s">
        <v>2170</v>
      </c>
      <c r="W36" s="3067"/>
      <c r="X36" s="3067"/>
      <c r="Y36" s="3067"/>
      <c r="Z36" s="3067"/>
      <c r="AA36" s="3067"/>
      <c r="AB36" s="3067"/>
      <c r="AC36" s="3067"/>
      <c r="AD36" s="3067"/>
      <c r="AE36" s="3067"/>
      <c r="AF36" s="3071"/>
    </row>
    <row r="37" spans="1:33" ht="15" customHeight="1" thickBot="1">
      <c r="A37" s="112"/>
      <c r="B37" s="237">
        <f t="shared" si="1"/>
        <v>24</v>
      </c>
      <c r="C37" s="507" t="s">
        <v>700</v>
      </c>
      <c r="D37" s="244"/>
      <c r="E37" s="298"/>
      <c r="F37" s="298"/>
      <c r="G37" s="299"/>
      <c r="H37" s="299"/>
      <c r="I37" s="299"/>
      <c r="J37" s="299"/>
      <c r="K37" s="807" t="s">
        <v>1004</v>
      </c>
      <c r="L37" s="322">
        <f t="shared" si="0"/>
        <v>24</v>
      </c>
      <c r="M37" s="2799"/>
      <c r="N37" s="976"/>
      <c r="O37" s="332"/>
      <c r="P37" s="2716">
        <v>415050</v>
      </c>
      <c r="Q37" s="617"/>
      <c r="R37" s="4533"/>
      <c r="S37" s="3066"/>
      <c r="T37" s="3067"/>
      <c r="U37" s="3067"/>
      <c r="V37" s="3069"/>
      <c r="W37" s="3067"/>
      <c r="X37" s="3067"/>
      <c r="Y37" s="3067"/>
      <c r="Z37" s="3067"/>
      <c r="AA37" s="3067"/>
      <c r="AB37" s="3067"/>
      <c r="AC37" s="3067"/>
      <c r="AD37" s="3067"/>
      <c r="AE37" s="3067"/>
      <c r="AF37" s="3071"/>
    </row>
    <row r="38" spans="1:33" ht="15" customHeight="1" thickBot="1">
      <c r="A38" s="112"/>
      <c r="B38" s="237">
        <f t="shared" si="1"/>
        <v>25</v>
      </c>
      <c r="C38" s="507" t="s">
        <v>755</v>
      </c>
      <c r="D38" s="244"/>
      <c r="E38" s="298"/>
      <c r="F38" s="298"/>
      <c r="G38" s="299"/>
      <c r="H38" s="299"/>
      <c r="I38" s="888"/>
      <c r="J38" s="299"/>
      <c r="K38" s="888" t="str">
        <f>IF($M$38&gt;0,"(Enter as negative amount)",".   .   .   .   .   .   .   .   .   .   .   .   .   .   .   .   .   . ")</f>
        <v xml:space="preserve">.   .   .   .   .   .   .   .   .   .   .   .   .   .   .   .   .   . </v>
      </c>
      <c r="L38" s="322">
        <f t="shared" si="0"/>
        <v>25</v>
      </c>
      <c r="M38" s="2799"/>
      <c r="N38" s="976"/>
      <c r="O38" s="332"/>
      <c r="P38" s="2716">
        <f>I48</f>
        <v>41900</v>
      </c>
      <c r="Q38" s="617"/>
      <c r="R38" s="4533"/>
      <c r="S38" s="3066"/>
      <c r="T38" s="3067"/>
      <c r="U38" s="3094" t="str">
        <f>IF(AC29&gt;AC32,"","X")</f>
        <v>X</v>
      </c>
      <c r="V38" s="3069" t="s">
        <v>666</v>
      </c>
      <c r="W38" s="3069" t="s">
        <v>2171</v>
      </c>
      <c r="X38" s="3067"/>
      <c r="Y38" s="3067"/>
      <c r="Z38" s="3067"/>
      <c r="AA38" s="3067"/>
      <c r="AB38" s="3067"/>
      <c r="AC38" s="3067"/>
      <c r="AD38" s="3067"/>
      <c r="AE38" s="3067"/>
      <c r="AF38" s="3071"/>
    </row>
    <row r="39" spans="1:33" ht="15" customHeight="1" thickBot="1">
      <c r="A39" s="112"/>
      <c r="B39" s="237">
        <f t="shared" si="1"/>
        <v>26</v>
      </c>
      <c r="C39" s="507" t="s">
        <v>754</v>
      </c>
      <c r="D39" s="244"/>
      <c r="E39" s="298"/>
      <c r="F39" s="298"/>
      <c r="G39" s="299"/>
      <c r="H39" s="299"/>
      <c r="I39" s="299"/>
      <c r="J39" s="299"/>
      <c r="K39" s="2476" t="s">
        <v>2197</v>
      </c>
      <c r="L39" s="322">
        <f t="shared" si="0"/>
        <v>26</v>
      </c>
      <c r="M39" s="2799"/>
      <c r="N39" s="976"/>
      <c r="O39" s="332"/>
      <c r="P39" s="2717">
        <v>0.25</v>
      </c>
      <c r="Q39" s="617"/>
      <c r="R39" s="4533"/>
      <c r="S39" s="3066"/>
      <c r="T39" s="3067"/>
      <c r="U39" s="3067"/>
      <c r="V39" s="3069"/>
      <c r="W39" s="3067"/>
      <c r="X39" s="3067"/>
      <c r="Y39" s="3067"/>
      <c r="Z39" s="3067"/>
      <c r="AA39" s="3067"/>
      <c r="AB39" s="3067"/>
      <c r="AC39" s="3067"/>
      <c r="AD39" s="3067"/>
      <c r="AE39" s="3067"/>
      <c r="AF39" s="3071"/>
    </row>
    <row r="40" spans="1:33" ht="15" customHeight="1" thickBot="1">
      <c r="A40" s="112"/>
      <c r="B40" s="237">
        <f t="shared" si="1"/>
        <v>27</v>
      </c>
      <c r="C40" s="507" t="s">
        <v>753</v>
      </c>
      <c r="D40" s="244"/>
      <c r="E40" s="298"/>
      <c r="F40" s="298"/>
      <c r="G40" s="299"/>
      <c r="H40" s="299"/>
      <c r="I40" s="299"/>
      <c r="J40" s="299"/>
      <c r="K40" s="807" t="s">
        <v>925</v>
      </c>
      <c r="L40" s="322">
        <f t="shared" si="0"/>
        <v>27</v>
      </c>
      <c r="M40" s="2799"/>
      <c r="N40" s="976"/>
      <c r="O40" s="332"/>
      <c r="P40" s="2719">
        <f>SUM(M13,M15,M16,M17,M18,M19,M20,SUM(M21:M40))</f>
        <v>0</v>
      </c>
      <c r="Q40" s="617"/>
      <c r="R40" s="2720" t="s">
        <v>1648</v>
      </c>
      <c r="S40" s="3066"/>
      <c r="T40" s="3067"/>
      <c r="U40" s="3094" t="str">
        <f>IF(AC29&gt;AC32,"X","")</f>
        <v/>
      </c>
      <c r="V40" s="3069" t="s">
        <v>668</v>
      </c>
      <c r="W40" s="3067" t="s">
        <v>2172</v>
      </c>
      <c r="X40" s="3067"/>
      <c r="Y40" s="3067"/>
      <c r="Z40" s="3067"/>
      <c r="AA40" s="3067"/>
      <c r="AB40" s="3067"/>
      <c r="AC40" s="3017" t="str">
        <f>IF(U38="X","",SUM(AC29,-AC32))</f>
        <v/>
      </c>
      <c r="AD40" s="3067"/>
      <c r="AE40" s="3067"/>
      <c r="AF40" s="3071"/>
    </row>
    <row r="41" spans="1:33" ht="15" customHeight="1">
      <c r="A41" s="112"/>
      <c r="B41" s="237">
        <f>B40+1</f>
        <v>28</v>
      </c>
      <c r="C41" s="224" t="s">
        <v>1641</v>
      </c>
      <c r="D41" s="224"/>
      <c r="E41" s="298"/>
      <c r="F41" s="298"/>
      <c r="G41" s="299"/>
      <c r="H41" s="299"/>
      <c r="I41" s="299"/>
      <c r="J41" s="299"/>
      <c r="K41" s="835"/>
      <c r="L41" s="292"/>
      <c r="M41" s="2718">
        <f>SUM(P40,P41)</f>
        <v>0</v>
      </c>
      <c r="N41" s="975"/>
      <c r="O41" s="331"/>
      <c r="P41" s="4501">
        <f>IF(P40&gt;P37,P38,IF(P40&gt;P36,ROUND(P39*(SUM(P40,-P36)),0),0))</f>
        <v>0</v>
      </c>
      <c r="Q41" s="617"/>
      <c r="R41" s="2720" t="s">
        <v>3759</v>
      </c>
      <c r="S41" s="3066"/>
      <c r="T41" s="3067"/>
      <c r="U41" s="3067"/>
      <c r="V41" s="3069"/>
      <c r="W41" s="3067"/>
      <c r="X41" s="3067"/>
      <c r="Y41" s="3067"/>
      <c r="Z41" s="3067"/>
      <c r="AA41" s="3067"/>
      <c r="AB41" s="3067"/>
      <c r="AC41" s="3067"/>
      <c r="AD41" s="3067"/>
      <c r="AE41" s="3067"/>
      <c r="AF41" s="3071"/>
    </row>
    <row r="42" spans="1:33" ht="15" customHeight="1">
      <c r="A42" s="112"/>
      <c r="B42" s="237"/>
      <c r="C42" s="507" t="str">
        <f>"28 is more than "&amp;TEXT(P36,"$0,000")&amp;", see instructions.)"</f>
        <v>28 is more than $247,450, see instructions.)</v>
      </c>
      <c r="D42" s="244"/>
      <c r="E42" s="298"/>
      <c r="F42" s="298"/>
      <c r="G42" s="299"/>
      <c r="H42" s="299"/>
      <c r="I42" s="299"/>
      <c r="J42" s="299"/>
      <c r="K42" s="2476" t="s">
        <v>688</v>
      </c>
      <c r="L42" s="292">
        <f>B41</f>
        <v>28</v>
      </c>
      <c r="M42" s="2798">
        <f>IF(P42&lt;&gt;"",P42,IF(AND(File_Marr_Sep&lt;&gt;"",P40&gt;P36),M41,P40))</f>
        <v>0</v>
      </c>
      <c r="N42" s="975"/>
      <c r="O42" s="331"/>
      <c r="P42" s="638"/>
      <c r="Q42" s="617"/>
      <c r="R42" s="2722"/>
      <c r="S42" s="3066"/>
      <c r="T42" s="3067"/>
      <c r="U42" s="3068" t="s">
        <v>478</v>
      </c>
      <c r="V42" s="3069" t="s">
        <v>314</v>
      </c>
      <c r="W42" s="3067"/>
      <c r="X42" s="3067"/>
      <c r="Y42" s="3067"/>
      <c r="Z42" s="3067"/>
      <c r="AA42" s="3067"/>
      <c r="AB42" s="3067"/>
      <c r="AC42" s="3067"/>
      <c r="AD42" s="3067"/>
      <c r="AE42" s="3067"/>
      <c r="AF42" s="3071"/>
    </row>
    <row r="43" spans="1:33" ht="12" customHeight="1">
      <c r="A43" s="112"/>
      <c r="B43" s="839" t="s">
        <v>194</v>
      </c>
      <c r="C43" s="6267" t="s">
        <v>13</v>
      </c>
      <c r="D43" s="6267"/>
      <c r="E43" s="6268"/>
      <c r="F43" s="6268"/>
      <c r="G43" s="6268"/>
      <c r="H43" s="6268"/>
      <c r="I43" s="6268"/>
      <c r="J43" s="6268"/>
      <c r="K43" s="6268"/>
      <c r="L43" s="6268"/>
      <c r="M43" s="6268"/>
      <c r="N43" s="977"/>
      <c r="O43" s="840"/>
      <c r="P43" s="841"/>
      <c r="Q43" s="575"/>
      <c r="R43" s="2722"/>
      <c r="S43" s="3066"/>
      <c r="T43" s="3067"/>
      <c r="U43" s="3069" t="s">
        <v>231</v>
      </c>
      <c r="V43" s="3069" t="str">
        <f>"Single or head of household -- "&amp;TEXT(G46,"$0,000")</f>
        <v>Single or head of household -- $119,700</v>
      </c>
      <c r="W43" s="3067"/>
      <c r="X43" s="3067"/>
      <c r="Y43" s="3067"/>
      <c r="Z43" s="3067"/>
      <c r="AA43" s="3078"/>
      <c r="AB43" s="3067"/>
      <c r="AC43" s="3067"/>
      <c r="AD43" s="3067"/>
      <c r="AE43" s="3067"/>
      <c r="AF43" s="3071"/>
    </row>
    <row r="44" spans="1:33" ht="13.5" customHeight="1" thickBot="1">
      <c r="A44" s="112"/>
      <c r="B44" s="302">
        <f>B41+1</f>
        <v>29</v>
      </c>
      <c r="C44" s="507" t="str">
        <f>"Exemption. (If you were under age 24 at the end of "&amp;TaxYear&amp;", see instructions.)"</f>
        <v>Exemption. (If you were under age 24 at the end of 2016, see instructions.)</v>
      </c>
      <c r="D44" s="2472"/>
      <c r="E44" s="2473"/>
      <c r="F44" s="2473"/>
      <c r="G44" s="299"/>
      <c r="H44" s="299"/>
      <c r="I44" s="299"/>
      <c r="J44" s="299"/>
      <c r="K44" s="2476" t="s">
        <v>1160</v>
      </c>
      <c r="L44" s="292">
        <f>B44</f>
        <v>29</v>
      </c>
      <c r="M44" s="2798" t="str">
        <f>IF(P44&lt;&gt;"",P44,IF('1040'!AI22=0,"",IF(ChildUnder24&lt;&gt;"",AC119,IF(AND(OR(File_Single&lt;&gt;"",File_Head&lt;&gt;""),AltMinTaxInc&lt;=G46),I46,IF(AND(OR(File_Marr_Joint&lt;&gt;"",File_Qual_Widow&lt;&gt;""),AltMinTaxInc&lt;=G47),I47,IF(AND(File_Marr_Sep&lt;&gt;"",AltMinTaxInc&lt;=G48),I48,AC113))))))</f>
        <v/>
      </c>
      <c r="N44" s="978"/>
      <c r="O44" s="331"/>
      <c r="P44" s="638"/>
      <c r="Q44" s="56"/>
      <c r="R44" s="2722"/>
      <c r="S44" s="3066"/>
      <c r="T44" s="3067"/>
      <c r="U44" s="3069" t="s">
        <v>231</v>
      </c>
      <c r="V44" s="3069" t="str">
        <f>"Married filing jointly or qualifying widow(er) -- "&amp;TEXT(G47,"$0,000")</f>
        <v>Married filing jointly or qualifying widow(er) -- $159,700</v>
      </c>
      <c r="W44" s="3067"/>
      <c r="X44" s="3067"/>
      <c r="Y44" s="3067"/>
      <c r="Z44" s="3067"/>
      <c r="AA44" s="3078"/>
      <c r="AB44" s="3067"/>
      <c r="AC44" s="3017" t="str">
        <f>IF(U38="X","",IF(OR(File_Single&lt;&gt;"",File_Head&lt;&gt;""),G46,IF(OR(File_Marr_Joint&lt;&gt;"",File_Qual_Widow&lt;&gt;""),G47,IF(File_Marr_Sep&lt;&gt;"",G48,"Filing status?"))))</f>
        <v/>
      </c>
      <c r="AD44" s="3067"/>
      <c r="AE44" s="3067"/>
      <c r="AF44" s="3071"/>
    </row>
    <row r="45" spans="1:33" ht="18.75" customHeight="1" thickBot="1">
      <c r="A45" s="112"/>
      <c r="B45" s="302"/>
      <c r="C45" s="224" t="s">
        <v>1649</v>
      </c>
      <c r="D45" s="2708"/>
      <c r="E45" s="2709"/>
      <c r="F45" s="2709"/>
      <c r="G45" s="303" t="s">
        <v>1652</v>
      </c>
      <c r="H45" s="299"/>
      <c r="I45" s="303" t="s">
        <v>1653</v>
      </c>
      <c r="J45" s="299"/>
      <c r="K45" s="2476"/>
      <c r="L45" s="237"/>
      <c r="M45" s="2910"/>
      <c r="N45" s="978"/>
      <c r="O45" s="3661"/>
      <c r="P45" s="3662" t="str">
        <f>IF(O45="","Check if this form is for a 'child' under age 24. (See instructions.)",IF(AA87=0,"Question must be answered."&amp;"
"&amp;"(See Cell Z77.)","Line 29 Worksheet completed for person under 24."))</f>
        <v>Check if this form is for a 'child' under age 24. (See instructions.)</v>
      </c>
      <c r="Q45" s="3095" t="b">
        <f>IF(AND(O45&lt;&gt;"",AA87=0),TRUE,FALSE)</f>
        <v>0</v>
      </c>
      <c r="R45" s="2722"/>
      <c r="S45" s="3066"/>
      <c r="T45" s="3067"/>
      <c r="U45" s="3069" t="s">
        <v>231</v>
      </c>
      <c r="V45" s="3069" t="str">
        <f>"Married filing separately -- "&amp;TEXT(G48,"$0,000")</f>
        <v>Married filing separately -- $79,850</v>
      </c>
      <c r="W45" s="3067"/>
      <c r="X45" s="3067"/>
      <c r="Y45" s="3067"/>
      <c r="Z45" s="3067"/>
      <c r="AA45" s="3078"/>
      <c r="AB45" s="3067"/>
      <c r="AC45" s="3067"/>
      <c r="AD45" s="3067"/>
      <c r="AE45" s="3067"/>
      <c r="AF45" s="3071"/>
    </row>
    <row r="46" spans="1:33" ht="13.5" customHeight="1">
      <c r="A46" s="112"/>
      <c r="B46" s="302"/>
      <c r="C46" s="507" t="s">
        <v>1650</v>
      </c>
      <c r="D46" s="2708"/>
      <c r="E46" s="2709"/>
      <c r="F46" s="2709"/>
      <c r="G46" s="2721">
        <v>119700</v>
      </c>
      <c r="H46" s="2747" t="str">
        <f>".   .   .   .   ."</f>
        <v>.   .   .   .   .</v>
      </c>
      <c r="I46" s="2721">
        <v>53900</v>
      </c>
      <c r="J46" s="299"/>
      <c r="K46" s="2476"/>
      <c r="L46" s="237"/>
      <c r="M46" s="2910"/>
      <c r="N46" s="978"/>
      <c r="O46" s="332"/>
      <c r="P46" s="1511"/>
      <c r="Q46" s="56"/>
      <c r="R46" s="2722"/>
      <c r="S46" s="3066"/>
      <c r="T46" s="3067"/>
      <c r="U46" s="3067"/>
      <c r="V46" s="3069"/>
      <c r="W46" s="3067"/>
      <c r="X46" s="3067"/>
      <c r="Y46" s="3067"/>
      <c r="Z46" s="3067"/>
      <c r="AA46" s="3078"/>
      <c r="AB46" s="3067"/>
      <c r="AC46" s="3067"/>
      <c r="AD46" s="3067"/>
      <c r="AE46" s="3067"/>
      <c r="AF46" s="3071"/>
      <c r="AG46" s="2722">
        <v>335300</v>
      </c>
    </row>
    <row r="47" spans="1:33" ht="13.5" customHeight="1">
      <c r="A47" s="112"/>
      <c r="B47" s="302"/>
      <c r="C47" s="507" t="s">
        <v>1038</v>
      </c>
      <c r="D47" s="2708"/>
      <c r="E47" s="2709"/>
      <c r="F47" s="2709"/>
      <c r="G47" s="927">
        <v>159700</v>
      </c>
      <c r="H47" s="2747" t="str">
        <f>".   .   .   .   ."</f>
        <v>.   .   .   .   .</v>
      </c>
      <c r="I47" s="927">
        <v>83800</v>
      </c>
      <c r="J47" s="299"/>
      <c r="K47" s="2476"/>
      <c r="L47" s="237"/>
      <c r="M47" s="2910"/>
      <c r="N47" s="978"/>
      <c r="O47" s="332"/>
      <c r="P47" s="1511"/>
      <c r="Q47" s="56"/>
      <c r="R47" s="2722"/>
      <c r="S47" s="3066"/>
      <c r="T47" s="3067"/>
      <c r="U47" s="3068" t="s">
        <v>479</v>
      </c>
      <c r="V47" s="3069" t="s">
        <v>2173</v>
      </c>
      <c r="W47" s="3067"/>
      <c r="X47" s="3067"/>
      <c r="Y47" s="3067"/>
      <c r="Z47" s="3067"/>
      <c r="AA47" s="3067"/>
      <c r="AB47" s="3067"/>
      <c r="AC47" s="3067"/>
      <c r="AD47" s="3067"/>
      <c r="AE47" s="3067"/>
      <c r="AF47" s="3071"/>
      <c r="AG47" s="2722">
        <v>494900</v>
      </c>
    </row>
    <row r="48" spans="1:33" ht="13.5" customHeight="1" thickBot="1">
      <c r="A48" s="112"/>
      <c r="B48" s="302"/>
      <c r="C48" s="507" t="s">
        <v>438</v>
      </c>
      <c r="D48" s="2708"/>
      <c r="E48" s="2709"/>
      <c r="F48" s="285" t="s">
        <v>1660</v>
      </c>
      <c r="G48" s="927">
        <v>79850</v>
      </c>
      <c r="H48" s="2747" t="str">
        <f>".   .   .   .   ."</f>
        <v>.   .   .   .   .</v>
      </c>
      <c r="I48" s="927">
        <v>41900</v>
      </c>
      <c r="J48" s="299"/>
      <c r="K48" s="2476"/>
      <c r="L48" s="237"/>
      <c r="M48" s="2910"/>
      <c r="N48" s="978"/>
      <c r="O48" s="333"/>
      <c r="P48" s="1511"/>
      <c r="Q48" s="56"/>
      <c r="R48" s="2722"/>
      <c r="S48" s="3066"/>
      <c r="T48" s="3067"/>
      <c r="U48" s="3067"/>
      <c r="V48" s="3069"/>
      <c r="W48" s="3067"/>
      <c r="X48" s="3067"/>
      <c r="Y48" s="3067"/>
      <c r="Z48" s="3067"/>
      <c r="AA48" s="3067"/>
      <c r="AB48" s="3067"/>
      <c r="AC48" s="3067"/>
      <c r="AD48" s="3067"/>
      <c r="AE48" s="3067"/>
      <c r="AF48" s="3071"/>
      <c r="AG48" s="2722">
        <v>247450</v>
      </c>
    </row>
    <row r="49" spans="1:35" ht="13.5" customHeight="1" thickBot="1">
      <c r="A49" s="112"/>
      <c r="B49" s="302"/>
      <c r="C49" s="507" t="s">
        <v>1651</v>
      </c>
      <c r="D49" s="2708"/>
      <c r="E49" s="2709"/>
      <c r="F49" s="2709"/>
      <c r="G49" s="299"/>
      <c r="H49" s="299"/>
      <c r="I49" s="299"/>
      <c r="J49" s="299"/>
      <c r="K49" s="2476"/>
      <c r="L49" s="237"/>
      <c r="M49" s="2910"/>
      <c r="N49" s="978"/>
      <c r="O49" s="331"/>
      <c r="P49" s="823"/>
      <c r="Q49" s="56"/>
      <c r="R49" s="3889"/>
      <c r="S49" s="3066"/>
      <c r="T49" s="3067"/>
      <c r="U49" s="3094" t="str">
        <f>IF(U38="X","",IF(AC29&gt;AC44,"","X"))</f>
        <v/>
      </c>
      <c r="V49" s="3069" t="s">
        <v>666</v>
      </c>
      <c r="W49" s="3069" t="s">
        <v>2174</v>
      </c>
      <c r="X49" s="3067"/>
      <c r="Y49" s="3067"/>
      <c r="Z49" s="3067"/>
      <c r="AA49" s="3067"/>
      <c r="AB49" s="3067"/>
      <c r="AC49" s="3079" t="str">
        <f>IF(U49="X","Go to Line 15.","")</f>
        <v/>
      </c>
      <c r="AD49" s="3067"/>
      <c r="AE49" s="3067"/>
      <c r="AF49" s="3071"/>
      <c r="AG49" s="2113" t="str">
        <f>IF(OR(AND(OR(File_Single&lt;&gt;"",File_Head&lt;&gt;""),AltMinTaxInc&gt;=$AG$46),AND(OR(File_Marr_Joint&lt;&gt;"",File_Qual_Widow&lt;&gt;""),AltMinTaxInc&gt;=$AG$47),AND(File_Marr_Sep&lt;&gt;"",AltMinTaxInc&gt;=$AG$48)),"No","Yes")</f>
        <v>Yes</v>
      </c>
    </row>
    <row r="50" spans="1:35" ht="15" customHeight="1" thickBot="1">
      <c r="A50" s="112"/>
      <c r="B50" s="237">
        <f>B44+1</f>
        <v>30</v>
      </c>
      <c r="C50" s="507" t="s">
        <v>2063</v>
      </c>
      <c r="D50" s="244"/>
      <c r="E50" s="298"/>
      <c r="F50" s="298"/>
      <c r="G50" s="299"/>
      <c r="H50" s="299"/>
      <c r="I50" s="299"/>
      <c r="J50" s="299"/>
      <c r="K50" s="843"/>
      <c r="L50" s="550"/>
      <c r="M50" s="2910"/>
      <c r="N50" s="976"/>
      <c r="O50" s="331"/>
      <c r="P50" s="823"/>
      <c r="Q50" s="617"/>
      <c r="R50" s="4530"/>
      <c r="S50" s="3066"/>
      <c r="T50" s="3067"/>
      <c r="U50" s="3067"/>
      <c r="V50" s="3069"/>
      <c r="W50" s="3067"/>
      <c r="X50" s="3067"/>
      <c r="Y50" s="3067"/>
      <c r="Z50" s="3067"/>
      <c r="AA50" s="3067"/>
      <c r="AB50" s="3067"/>
      <c r="AC50" s="3067"/>
      <c r="AD50" s="3067"/>
      <c r="AE50" s="3067"/>
      <c r="AF50" s="3071"/>
    </row>
    <row r="51" spans="1:35" ht="13.5" customHeight="1" thickBot="1">
      <c r="A51" s="112"/>
      <c r="B51" s="237"/>
      <c r="C51" s="507" t="s">
        <v>2064</v>
      </c>
      <c r="D51" s="244"/>
      <c r="E51" s="298"/>
      <c r="F51" s="298"/>
      <c r="G51" s="299"/>
      <c r="H51" s="299"/>
      <c r="I51" s="299"/>
      <c r="J51" s="299"/>
      <c r="K51" s="2476" t="s">
        <v>1657</v>
      </c>
      <c r="L51" s="292">
        <f>B50</f>
        <v>30</v>
      </c>
      <c r="M51" s="2798" t="str">
        <f>IF(P51&lt;&gt;"",P51,IF(OR(Q45,'1040'!AI22=0),"",IF(AMTExemptionFlag="No",MAX(AltMinTaxInc,0),IF(SUM(AltMinTaxInc,-M44)&lt;0,0,SUM(AltMinTaxInc,-M44)))))</f>
        <v/>
      </c>
      <c r="N51" s="976"/>
      <c r="O51" s="333"/>
      <c r="P51" s="638"/>
      <c r="Q51" s="617"/>
      <c r="R51" s="4530"/>
      <c r="S51" s="3066"/>
      <c r="T51" s="3067"/>
      <c r="U51" s="3094" t="str">
        <f>IF(U38="X","",IF(AC29&gt;AC44,"X",""))</f>
        <v/>
      </c>
      <c r="V51" s="3069" t="s">
        <v>668</v>
      </c>
      <c r="W51" s="3069" t="s">
        <v>2175</v>
      </c>
      <c r="X51" s="3067"/>
      <c r="Y51" s="3067"/>
      <c r="Z51" s="3067"/>
      <c r="AA51" s="3067"/>
      <c r="AB51" s="3067"/>
      <c r="AC51" s="3017" t="str">
        <f>IF(U38="X","",IF(U49="X",0,SUM(AC29,-AC44)))</f>
        <v/>
      </c>
      <c r="AD51" s="3067"/>
      <c r="AE51" s="3067"/>
      <c r="AF51" s="3071"/>
    </row>
    <row r="52" spans="1:35" ht="13.5" customHeight="1">
      <c r="A52" s="112"/>
      <c r="B52" s="302">
        <f>B50+1</f>
        <v>31</v>
      </c>
      <c r="C52" s="298" t="s">
        <v>1153</v>
      </c>
      <c r="D52" s="991"/>
      <c r="E52" s="298"/>
      <c r="F52" s="298"/>
      <c r="G52" s="299"/>
      <c r="H52" s="299"/>
      <c r="I52" s="299"/>
      <c r="J52" s="299"/>
      <c r="K52" s="752"/>
      <c r="L52" s="312"/>
      <c r="M52" s="2725" t="b">
        <f>IF(SchD_NotReqd&lt;&gt;"",TRUE,FALSE)</f>
        <v>0</v>
      </c>
      <c r="N52" s="978"/>
      <c r="O52" s="331"/>
      <c r="P52" s="823"/>
      <c r="Q52" s="56"/>
      <c r="R52" s="2113"/>
      <c r="S52" s="3066"/>
      <c r="T52" s="3067"/>
      <c r="U52" s="3067"/>
      <c r="V52" s="3069"/>
      <c r="W52" s="3067"/>
      <c r="X52" s="3067"/>
      <c r="Y52" s="3067"/>
      <c r="Z52" s="3067"/>
      <c r="AA52" s="3067"/>
      <c r="AB52" s="3067"/>
      <c r="AC52" s="3067"/>
      <c r="AD52" s="3067"/>
      <c r="AE52" s="3067"/>
      <c r="AF52" s="3071"/>
    </row>
    <row r="53" spans="1:35">
      <c r="A53" s="112"/>
      <c r="B53" s="302"/>
      <c r="C53" s="298" t="s">
        <v>1492</v>
      </c>
      <c r="D53" s="991"/>
      <c r="E53" s="298"/>
      <c r="F53" s="298"/>
      <c r="G53" s="299"/>
      <c r="H53" s="299"/>
      <c r="I53" s="299"/>
      <c r="J53" s="299"/>
      <c r="K53" s="752"/>
      <c r="L53" s="313"/>
      <c r="M53" s="2726" t="b">
        <f>IF(Qualified_Dividends&lt;&gt;0,TRUE,FALSE)</f>
        <v>0</v>
      </c>
      <c r="N53" s="978"/>
      <c r="O53" s="332"/>
      <c r="P53" s="823"/>
      <c r="Q53" s="56"/>
      <c r="R53" s="2113"/>
      <c r="S53" s="3066"/>
      <c r="T53" s="3067"/>
      <c r="U53" s="3068" t="s">
        <v>695</v>
      </c>
      <c r="V53" s="3069" t="str">
        <f>"Multiply line 12 by "&amp;TEXT(AG53,"0%")&amp;" ("&amp;TEXT(AG53,".00")&amp;") and enter the smaller of the result or line 9"</f>
        <v>Multiply line 12 by 25% (.25) and enter the smaller of the result or line 9</v>
      </c>
      <c r="W53" s="3067"/>
      <c r="X53" s="3067"/>
      <c r="Y53" s="3067"/>
      <c r="Z53" s="3067"/>
      <c r="AA53" s="3067"/>
      <c r="AB53" s="3067"/>
      <c r="AC53" s="3017" t="str">
        <f>IF(U38="X","",MIN(ROUND(AG53*AC51,0),AC32))</f>
        <v/>
      </c>
      <c r="AD53" s="3067"/>
      <c r="AE53" s="3067"/>
      <c r="AF53" s="3071"/>
      <c r="AG53" s="3060">
        <v>0.25</v>
      </c>
    </row>
    <row r="54" spans="1:35" ht="12" customHeight="1">
      <c r="A54" s="112"/>
      <c r="B54" s="302"/>
      <c r="C54" s="507" t="s">
        <v>1491</v>
      </c>
      <c r="D54" s="507"/>
      <c r="E54" s="298"/>
      <c r="F54" s="298"/>
      <c r="G54" s="299"/>
      <c r="H54" s="299"/>
      <c r="I54" s="303"/>
      <c r="J54" s="303"/>
      <c r="K54" s="753"/>
      <c r="L54" s="550"/>
      <c r="M54" s="2726" t="b">
        <f>IF(AND(SchDLine15&gt;0,SchDLine16&gt;0),TRUE,FALSE)</f>
        <v>0</v>
      </c>
      <c r="N54" s="975"/>
      <c r="O54" s="332"/>
      <c r="P54" s="823"/>
      <c r="Q54" s="56"/>
      <c r="R54" s="2113"/>
      <c r="S54" s="3066"/>
      <c r="T54" s="3067"/>
      <c r="U54" s="3067"/>
      <c r="V54" s="3069"/>
      <c r="W54" s="3067"/>
      <c r="X54" s="3067"/>
      <c r="Y54" s="3067"/>
      <c r="Z54" s="3067"/>
      <c r="AA54" s="3067"/>
      <c r="AB54" s="3067"/>
      <c r="AC54" s="3067"/>
      <c r="AD54" s="3067"/>
      <c r="AE54" s="3072"/>
      <c r="AF54" s="3071"/>
    </row>
    <row r="55" spans="1:35" ht="12.75" customHeight="1">
      <c r="A55" s="112"/>
      <c r="B55" s="302"/>
      <c r="C55" s="507" t="s">
        <v>2461</v>
      </c>
      <c r="D55" s="507"/>
      <c r="E55" s="298"/>
      <c r="F55" s="298"/>
      <c r="G55" s="299"/>
      <c r="H55" s="299"/>
      <c r="I55" s="303"/>
      <c r="J55" s="303"/>
      <c r="K55" s="2476" t="s">
        <v>1142</v>
      </c>
      <c r="L55" s="322">
        <f>B52</f>
        <v>31</v>
      </c>
      <c r="M55" s="2798" t="str">
        <f>IF(P55&lt;&gt;"",P55,IF(Form2555_Used,AC148,IF(OR(R57="Stop",'1040'!AI22=0),"",IF(F6251_PIII,M126,IF(M51&lt;=R63,M51*R67,SUM((M51*R69),-R66))))))</f>
        <v/>
      </c>
      <c r="N55" s="975"/>
      <c r="O55" s="332"/>
      <c r="P55" s="638"/>
      <c r="Q55" s="56"/>
      <c r="R55" s="4534" t="b">
        <f>IF(OR(Q69&lt;&gt;"",R56),TRUE,FALSE)</f>
        <v>0</v>
      </c>
      <c r="S55" s="3066"/>
      <c r="T55" s="3067"/>
      <c r="U55" s="3068" t="s">
        <v>696</v>
      </c>
      <c r="V55" s="3069" t="s">
        <v>2176</v>
      </c>
      <c r="W55" s="3067"/>
      <c r="X55" s="3067"/>
      <c r="Y55" s="3067"/>
      <c r="Z55" s="3067"/>
      <c r="AA55" s="3067"/>
      <c r="AB55" s="3067"/>
      <c r="AC55" s="3017" t="str">
        <f>IF(U38="X","",SUM(AC40,AC53))</f>
        <v/>
      </c>
      <c r="AD55" s="3067"/>
      <c r="AE55" s="2814"/>
      <c r="AF55" s="3071"/>
    </row>
    <row r="56" spans="1:35">
      <c r="A56" s="112"/>
      <c r="B56" s="302"/>
      <c r="C56" s="298" t="s">
        <v>231</v>
      </c>
      <c r="D56" s="990" t="s">
        <v>132</v>
      </c>
      <c r="E56" s="298" t="str">
        <f>"If line "&amp;L51&amp;" is "&amp;TEXT(R61,"$0,000")&amp;" or less ("&amp;TEXT(R62,"$0,000")&amp;" if married filing separately), multiply line "&amp;L51&amp;" by "&amp;TEXT(R67,"0%")&amp;" ("&amp;TEXT(R67,"0.00")&amp;")."</f>
        <v>If line 30 is $186,300 or less ($93,150 if married filing separately), multiply line 30 by 26% (0.26).</v>
      </c>
      <c r="F56" s="298"/>
      <c r="G56" s="299"/>
      <c r="H56" s="299"/>
      <c r="I56" s="299"/>
      <c r="J56" s="299"/>
      <c r="K56" s="752"/>
      <c r="L56" s="550"/>
      <c r="M56" s="4184" t="str">
        <f>IF(AND($M$58&gt;0,AMT&gt;0,$O$56=""),"Verify Line 32","")</f>
        <v/>
      </c>
      <c r="N56" s="978"/>
      <c r="O56" s="4186"/>
      <c r="P56" s="4185" t="str">
        <f>IF(O56&lt;&gt;"","Line 32 is verified. Note hidden.",IF(AND($M$58&gt;0,AMT&gt;0,$O$56=""),"Check to verify Line 32.",""))</f>
        <v/>
      </c>
      <c r="Q56" s="56"/>
      <c r="R56" s="2113" t="b">
        <f>IF(OR(R58,R60,R59),TRUE,FALSE)</f>
        <v>0</v>
      </c>
      <c r="S56" s="3066"/>
      <c r="T56" s="3067"/>
      <c r="U56" s="3067"/>
      <c r="V56" s="3069"/>
      <c r="W56" s="3067"/>
      <c r="X56" s="3067"/>
      <c r="Y56" s="3067"/>
      <c r="Z56" s="3067"/>
      <c r="AA56" s="3067"/>
      <c r="AB56" s="3067"/>
      <c r="AC56" s="3067"/>
      <c r="AD56" s="3067"/>
      <c r="AE56" s="3070"/>
      <c r="AF56" s="3071"/>
      <c r="AI56" s="4"/>
    </row>
    <row r="57" spans="1:35">
      <c r="A57" s="112"/>
      <c r="B57" s="302"/>
      <c r="C57" s="966"/>
      <c r="D57" s="966" t="str">
        <f>"Otherwise, multiply line "&amp;L51&amp;" by "&amp;TEXT(R69,"0%")&amp;" ("&amp;TEXT(R69,"0.00")&amp;") and subtract "&amp;TEXT(R64,"$0,000")&amp;" ("&amp;TEXT(R65,"$0,000") &amp;" if married filing separately) from the result."</f>
        <v>Otherwise, multiply line 30 by 28% (0.28) and subtract $3,726 ($1,863 if married filing separately) from the result.</v>
      </c>
      <c r="E57" s="298"/>
      <c r="F57" s="298"/>
      <c r="G57" s="299"/>
      <c r="H57" s="299"/>
      <c r="I57" s="303"/>
      <c r="J57" s="303"/>
      <c r="K57" s="753"/>
      <c r="L57" s="550"/>
      <c r="M57" s="4184" t="str">
        <f>IF(AND($M$58&gt;0,AMT&gt;0,$O$56=""),"is correct.","")</f>
        <v/>
      </c>
      <c r="N57" s="975"/>
      <c r="O57" s="4187"/>
      <c r="P57" s="2629"/>
      <c r="Q57" s="56"/>
      <c r="R57" s="2113" t="str">
        <f>IF('1040'!AI22=0,"Stop",IF(ISERROR(AltMinTaxInc-M44),"Stop",IF(AltMinTaxInc-M44&lt;=0,"Stop","Continue")))</f>
        <v>Stop</v>
      </c>
      <c r="S57" s="3066"/>
      <c r="T57" s="3067"/>
      <c r="U57" s="3068" t="s">
        <v>697</v>
      </c>
      <c r="V57" s="3069" t="str">
        <f>"Is the amount on line 14 more than "&amp;TEXT(R61,"$0,000")&amp;" ("&amp;TEXT(R62,"$0,000")&amp;" if married filing separately)?"</f>
        <v>Is the amount on line 14 more than $186,300 ($93,150 if married filing separately)?</v>
      </c>
      <c r="W57" s="3067"/>
      <c r="X57" s="3067"/>
      <c r="Y57" s="3067"/>
      <c r="Z57" s="3067"/>
      <c r="AA57" s="3067"/>
      <c r="AB57" s="3067"/>
      <c r="AC57" s="3067"/>
      <c r="AD57" s="3067"/>
      <c r="AE57" s="3070"/>
      <c r="AF57" s="3071"/>
      <c r="AG57" s="3061"/>
    </row>
    <row r="58" spans="1:35" ht="15" customHeight="1" thickBot="1">
      <c r="A58" s="112"/>
      <c r="B58" s="237">
        <f>B52+1</f>
        <v>32</v>
      </c>
      <c r="C58" s="507" t="s">
        <v>1493</v>
      </c>
      <c r="D58" s="244"/>
      <c r="E58" s="298"/>
      <c r="F58" s="298"/>
      <c r="G58" s="299"/>
      <c r="H58" s="299"/>
      <c r="I58" s="299"/>
      <c r="J58" s="299"/>
      <c r="K58" s="2476" t="s">
        <v>730</v>
      </c>
      <c r="L58" s="322">
        <f>B58</f>
        <v>32</v>
      </c>
      <c r="M58" s="4522">
        <f>IF(P58&lt;&gt;"",ROUND(P58,0),Foreign_Tax_Credit)</f>
        <v>0</v>
      </c>
      <c r="N58" s="976"/>
      <c r="O58" s="332"/>
      <c r="P58" s="638"/>
      <c r="Q58" s="617"/>
      <c r="R58" s="2113" t="b">
        <f>IF(AND(SchD_NotReqd&lt;&gt;"",'1040'!AB46&gt;0),TRUE,FALSE)</f>
        <v>0</v>
      </c>
      <c r="S58" s="3066"/>
      <c r="T58" s="3067"/>
      <c r="U58" s="3067"/>
      <c r="V58" s="3069"/>
      <c r="W58" s="3067"/>
      <c r="X58" s="3067"/>
      <c r="Y58" s="3067"/>
      <c r="Z58" s="3067"/>
      <c r="AA58" s="3067"/>
      <c r="AB58" s="3067"/>
      <c r="AC58" s="3067"/>
      <c r="AD58" s="3067"/>
      <c r="AE58" s="2814"/>
      <c r="AF58" s="3071"/>
      <c r="AI58" s="4"/>
    </row>
    <row r="59" spans="1:35" ht="15" customHeight="1" thickBot="1">
      <c r="A59" s="112"/>
      <c r="B59" s="237">
        <f>B58+1</f>
        <v>33</v>
      </c>
      <c r="C59" s="507" t="str">
        <f>"Tentative minimum tax. Subtract line "&amp;L58&amp;" from line "&amp;L55</f>
        <v>Tentative minimum tax. Subtract line 32 from line 31</v>
      </c>
      <c r="D59" s="244"/>
      <c r="E59" s="298"/>
      <c r="F59" s="298"/>
      <c r="G59" s="299"/>
      <c r="H59" s="299"/>
      <c r="I59" s="299"/>
      <c r="J59" s="299"/>
      <c r="K59" s="2476" t="s">
        <v>1875</v>
      </c>
      <c r="L59" s="829">
        <f>B59</f>
        <v>33</v>
      </c>
      <c r="M59" s="2798" t="str">
        <f>IF(OR(Q45,'1040'!AI22=0),"",IF(R57="Stop",0,SUM(M55,-M58)))</f>
        <v/>
      </c>
      <c r="N59" s="976"/>
      <c r="O59" s="329"/>
      <c r="P59" s="2904" t="s">
        <v>375</v>
      </c>
      <c r="Q59" s="617"/>
      <c r="R59" s="2113" t="b">
        <f>IF(Qualified_Dividends&lt;&gt;"",TRUE,IF(Qualified_Dividends&gt;0,TRUE,FALSE))</f>
        <v>0</v>
      </c>
      <c r="S59" s="3066"/>
      <c r="T59" s="3067"/>
      <c r="U59" s="3094" t="str">
        <f>IF(U38="X","",IF(AC55&gt;AG59,"X",""))</f>
        <v/>
      </c>
      <c r="V59" s="3069" t="s">
        <v>668</v>
      </c>
      <c r="W59" s="3069" t="s">
        <v>2177</v>
      </c>
      <c r="X59" s="3067"/>
      <c r="Y59" s="3067"/>
      <c r="Z59" s="3067"/>
      <c r="AA59" s="3067"/>
      <c r="AB59" s="3067"/>
      <c r="AC59" s="3067"/>
      <c r="AD59" s="3067"/>
      <c r="AE59" s="2814"/>
      <c r="AF59" s="3071"/>
      <c r="AG59" s="3060">
        <f>IF(File_Marr_Sep&lt;&gt;"",R62,R61)</f>
        <v>186300</v>
      </c>
    </row>
    <row r="60" spans="1:35" ht="15" customHeight="1" thickBot="1">
      <c r="A60" s="112"/>
      <c r="B60" s="237">
        <f>B59+1</f>
        <v>34</v>
      </c>
      <c r="C60" s="507" t="s">
        <v>2066</v>
      </c>
      <c r="D60" s="507"/>
      <c r="E60" s="298"/>
      <c r="F60" s="298"/>
      <c r="G60" s="299"/>
      <c r="H60" s="299"/>
      <c r="I60" s="299"/>
      <c r="J60" s="299"/>
      <c r="K60" s="300"/>
      <c r="L60" s="1010"/>
      <c r="M60" s="754"/>
      <c r="N60" s="976"/>
      <c r="O60" s="30"/>
      <c r="P60" s="2905" t="s">
        <v>625</v>
      </c>
      <c r="Q60" s="617"/>
      <c r="R60" s="2114" t="b">
        <f>IF('Line 44'!R9,TRUE,FALSE)</f>
        <v>0</v>
      </c>
      <c r="S60" s="3066"/>
      <c r="T60" s="3067"/>
      <c r="U60" s="3067"/>
      <c r="V60" s="3069"/>
      <c r="W60" s="3067"/>
      <c r="X60" s="3067"/>
      <c r="Y60" s="3067"/>
      <c r="Z60" s="3067"/>
      <c r="AA60" s="3067"/>
      <c r="AB60" s="3067"/>
      <c r="AC60" s="3067"/>
      <c r="AD60" s="3067"/>
      <c r="AE60" s="2814"/>
      <c r="AF60" s="3071"/>
    </row>
    <row r="61" spans="1:35" ht="15" customHeight="1" thickBot="1">
      <c r="A61" s="112"/>
      <c r="B61" s="237"/>
      <c r="C61" s="507" t="s">
        <v>2067</v>
      </c>
      <c r="D61" s="507"/>
      <c r="E61" s="298"/>
      <c r="F61" s="298"/>
      <c r="G61" s="299"/>
      <c r="H61" s="299"/>
      <c r="I61" s="299"/>
      <c r="J61" s="299"/>
      <c r="K61" s="987"/>
      <c r="L61" s="292"/>
      <c r="M61" s="824"/>
      <c r="N61" s="976"/>
      <c r="O61" s="30"/>
      <c r="P61" s="2906"/>
      <c r="Q61" s="617"/>
      <c r="R61" s="2722">
        <v>186300</v>
      </c>
      <c r="S61" s="3066"/>
      <c r="T61" s="3067"/>
      <c r="U61" s="3094" t="str">
        <f>IF(U38="X","",IF(AC55&gt;AG59,"","X"))</f>
        <v/>
      </c>
      <c r="V61" s="3069" t="s">
        <v>666</v>
      </c>
      <c r="W61" s="3069" t="str">
        <f>"Multiply line 14 by "&amp;TEXT(AG61,"0%")&amp;" ("&amp;TEXT(AG61,".00")&amp;")"</f>
        <v>Multiply line 14 by 26% (.26)</v>
      </c>
      <c r="X61" s="3067"/>
      <c r="Y61" s="3067"/>
      <c r="Z61" s="3067"/>
      <c r="AA61" s="3067"/>
      <c r="AB61" s="3067"/>
      <c r="AC61" s="3017" t="str">
        <f>IF(OR(U59="X",U38="X"),"",ROUND(AC55*AG61,0))</f>
        <v/>
      </c>
      <c r="AD61" s="3067"/>
      <c r="AE61" s="2814"/>
      <c r="AF61" s="3071"/>
      <c r="AG61" s="3060">
        <v>0.26</v>
      </c>
    </row>
    <row r="62" spans="1:35" ht="15" customHeight="1">
      <c r="A62" s="112"/>
      <c r="B62" s="237"/>
      <c r="C62" s="507" t="s">
        <v>2065</v>
      </c>
      <c r="D62" s="507"/>
      <c r="E62" s="298"/>
      <c r="F62" s="298"/>
      <c r="G62" s="299"/>
      <c r="H62" s="299"/>
      <c r="I62" s="299"/>
      <c r="J62" s="299"/>
      <c r="K62" s="2476" t="s">
        <v>1380</v>
      </c>
      <c r="L62" s="322">
        <f>B60</f>
        <v>34</v>
      </c>
      <c r="M62" s="2800" t="str">
        <f>IF(P62&lt;&gt;"",P62,   IF('1040'!AI22=0,"",   IF(R57="Stop","", SUM(Tax,'1040'!AB83,-P61,-Foreign_Tax_Credit))))</f>
        <v/>
      </c>
      <c r="N62" s="976"/>
      <c r="O62" s="330"/>
      <c r="P62" s="638"/>
      <c r="Q62" s="617"/>
      <c r="R62" s="2722">
        <v>93150</v>
      </c>
      <c r="S62" s="3066"/>
      <c r="T62" s="3067"/>
      <c r="U62" s="3067"/>
      <c r="V62" s="3069"/>
      <c r="W62" s="3067"/>
      <c r="X62" s="3067"/>
      <c r="Y62" s="3067"/>
      <c r="Z62" s="3067"/>
      <c r="AA62" s="3067"/>
      <c r="AB62" s="3067"/>
      <c r="AC62" s="3067"/>
      <c r="AD62" s="3067"/>
      <c r="AE62" s="3067"/>
      <c r="AF62" s="3071"/>
    </row>
    <row r="63" spans="1:35" ht="15" customHeight="1" thickBot="1">
      <c r="A63" s="112"/>
      <c r="B63" s="237">
        <f>B60+1</f>
        <v>35</v>
      </c>
      <c r="C63" s="224" t="s">
        <v>2068</v>
      </c>
      <c r="D63" s="507"/>
      <c r="E63" s="262"/>
      <c r="F63" s="262"/>
      <c r="G63" s="262"/>
      <c r="H63" s="262"/>
      <c r="I63" s="262"/>
      <c r="J63" s="262"/>
      <c r="K63" s="2476" t="s">
        <v>1002</v>
      </c>
      <c r="L63" s="292">
        <f>B63</f>
        <v>35</v>
      </c>
      <c r="M63" s="2801" t="str">
        <f>IF(P63&lt;&gt;"",P63,IF(OR(Q45,'1040'!AI22=0),"",IF(M51=0,0,IF(SUM(M59,-M62)&lt;=0,0,SUM(M59,-M62)))))</f>
        <v/>
      </c>
      <c r="N63" s="975"/>
      <c r="O63" s="330"/>
      <c r="P63" s="638"/>
      <c r="Q63" s="79"/>
      <c r="R63" s="2723">
        <f>IF(File_Marr_Sep&lt;&gt;"",R62,R61)</f>
        <v>186300</v>
      </c>
      <c r="S63" s="3066"/>
      <c r="T63" s="3067"/>
      <c r="U63" s="3068" t="s">
        <v>315</v>
      </c>
      <c r="V63" s="3069" t="s">
        <v>2178</v>
      </c>
      <c r="W63" s="3067"/>
      <c r="X63" s="3067"/>
      <c r="Y63" s="3067"/>
      <c r="Z63" s="3067"/>
      <c r="AA63" s="3067"/>
      <c r="AB63" s="3067"/>
      <c r="AC63" s="3067"/>
      <c r="AD63" s="3067"/>
      <c r="AE63" s="3067"/>
      <c r="AF63" s="3071"/>
    </row>
    <row r="64" spans="1:35">
      <c r="A64" s="112"/>
      <c r="B64" s="220" t="s">
        <v>779</v>
      </c>
      <c r="C64" s="341"/>
      <c r="D64" s="341"/>
      <c r="E64" s="341"/>
      <c r="F64" s="341"/>
      <c r="G64" s="825"/>
      <c r="H64" s="826"/>
      <c r="I64" s="826" t="s">
        <v>328</v>
      </c>
      <c r="J64" s="825"/>
      <c r="K64" s="825"/>
      <c r="L64" s="827" t="s">
        <v>206</v>
      </c>
      <c r="M64" s="828" t="str">
        <f>"("&amp;TaxYear&amp;")"</f>
        <v>(2016)</v>
      </c>
      <c r="N64" s="979"/>
      <c r="O64" s="331"/>
      <c r="P64" s="823"/>
      <c r="Q64" s="56"/>
      <c r="R64" s="2722">
        <v>3726</v>
      </c>
      <c r="S64" s="3066"/>
      <c r="T64" s="3067"/>
      <c r="U64" s="3067"/>
      <c r="V64" s="3069" t="s">
        <v>2179</v>
      </c>
      <c r="W64" s="3067"/>
      <c r="X64" s="3067"/>
      <c r="Y64" s="3067"/>
      <c r="Z64" s="3067"/>
      <c r="AA64" s="3067"/>
      <c r="AB64" s="3067"/>
      <c r="AC64" s="3067"/>
      <c r="AD64" s="3067"/>
      <c r="AE64" s="2814"/>
      <c r="AF64" s="3071"/>
    </row>
    <row r="65" spans="1:33" ht="14.25" customHeight="1">
      <c r="A65" s="112"/>
      <c r="B65" s="222"/>
      <c r="C65" s="294"/>
      <c r="D65" s="294"/>
      <c r="E65" s="294"/>
      <c r="F65" s="294"/>
      <c r="G65" s="295"/>
      <c r="H65" s="296"/>
      <c r="I65" s="295"/>
      <c r="J65" s="295"/>
      <c r="K65" s="295"/>
      <c r="L65" s="30"/>
      <c r="M65" s="984"/>
      <c r="N65" s="979"/>
      <c r="O65" s="3058"/>
      <c r="P65" s="823"/>
      <c r="Q65" s="56"/>
      <c r="R65" s="2722">
        <v>1863</v>
      </c>
      <c r="S65" s="3066"/>
      <c r="T65" s="3067"/>
      <c r="U65" s="3067"/>
      <c r="V65" s="3069" t="s">
        <v>2180</v>
      </c>
      <c r="W65" s="3067"/>
      <c r="X65" s="3067"/>
      <c r="Y65" s="3067"/>
      <c r="Z65" s="3067"/>
      <c r="AA65" s="2888"/>
      <c r="AB65" s="3067"/>
      <c r="AC65" s="3017" t="str">
        <f>IF(OR(U59="X",U38="X"),"",SUM(Tax,'1040'!AB83,-AA65))</f>
        <v/>
      </c>
      <c r="AD65" s="3067"/>
      <c r="AE65" s="2814"/>
      <c r="AF65" s="3071"/>
    </row>
    <row r="66" spans="1:33" ht="13.5" thickBot="1">
      <c r="A66" s="112"/>
      <c r="B66" s="219" t="str">
        <f>"Form 6251  ("&amp;TaxYear&amp;")"</f>
        <v>Form 6251  (2016)</v>
      </c>
      <c r="C66" s="320"/>
      <c r="D66" s="320"/>
      <c r="E66" s="320"/>
      <c r="F66" s="320"/>
      <c r="G66" s="1000"/>
      <c r="H66" s="1000"/>
      <c r="I66" s="1000"/>
      <c r="J66" s="1000"/>
      <c r="K66" s="1001"/>
      <c r="L66" s="1002"/>
      <c r="M66" s="750" t="s">
        <v>498</v>
      </c>
      <c r="N66" s="980"/>
      <c r="O66" s="3059"/>
      <c r="P66" s="823"/>
      <c r="Q66" s="56"/>
      <c r="R66" s="2722">
        <f>IF(File_Marr_Sep&lt;&gt;"",R65,R64)</f>
        <v>3726</v>
      </c>
      <c r="S66" s="3066"/>
      <c r="T66" s="3067"/>
      <c r="U66" s="3067"/>
      <c r="V66" s="3069"/>
      <c r="W66" s="3067"/>
      <c r="X66" s="3067"/>
      <c r="Y66" s="3067"/>
      <c r="Z66" s="3067"/>
      <c r="AA66" s="3077" t="s">
        <v>2186</v>
      </c>
      <c r="AB66" s="3067"/>
      <c r="AC66" s="3067"/>
      <c r="AD66" s="3067"/>
      <c r="AE66" s="2814"/>
      <c r="AF66" s="3071"/>
    </row>
    <row r="67" spans="1:33">
      <c r="A67" s="112"/>
      <c r="B67" s="422"/>
      <c r="C67" s="341"/>
      <c r="D67" s="341"/>
      <c r="E67" s="341"/>
      <c r="F67" s="341"/>
      <c r="G67" s="825"/>
      <c r="H67" s="825"/>
      <c r="I67" s="825"/>
      <c r="J67" s="825"/>
      <c r="K67" s="1005"/>
      <c r="L67" s="1006"/>
      <c r="M67" s="827"/>
      <c r="N67" s="980"/>
      <c r="O67" s="332"/>
      <c r="P67" s="823"/>
      <c r="Q67" s="56"/>
      <c r="R67" s="2724">
        <v>0.26</v>
      </c>
      <c r="S67" s="3073"/>
      <c r="T67" s="3067"/>
      <c r="U67" s="3069" t="s">
        <v>2181</v>
      </c>
      <c r="V67" s="3069"/>
      <c r="W67" s="3067"/>
      <c r="X67" s="3067"/>
      <c r="Y67" s="3067"/>
      <c r="Z67" s="3067"/>
      <c r="AA67" s="3067"/>
      <c r="AB67" s="3067"/>
      <c r="AC67" s="3067"/>
      <c r="AD67" s="3067"/>
      <c r="AE67" s="2814"/>
      <c r="AF67" s="3071"/>
    </row>
    <row r="68" spans="1:33" ht="12.75" customHeight="1" thickBot="1">
      <c r="A68" s="112"/>
      <c r="B68" s="520" t="s">
        <v>514</v>
      </c>
      <c r="C68" s="1007" t="s">
        <v>79</v>
      </c>
      <c r="D68" s="355"/>
      <c r="E68" s="423"/>
      <c r="F68" s="423"/>
      <c r="G68" s="999"/>
      <c r="H68" s="999"/>
      <c r="I68" s="999"/>
      <c r="J68" s="999"/>
      <c r="K68" s="999"/>
      <c r="L68" s="999"/>
      <c r="M68" s="330"/>
      <c r="N68" s="981"/>
      <c r="O68" s="332"/>
      <c r="P68" s="2738" t="str">
        <f>IF(F6251_PIII,"Part III is used","Part III is NOT used.")</f>
        <v>Part III is NOT used.</v>
      </c>
      <c r="Q68" s="79"/>
      <c r="R68" s="2724"/>
      <c r="S68" s="3073"/>
      <c r="T68" s="3067"/>
      <c r="U68" s="3067"/>
      <c r="V68" s="3069"/>
      <c r="W68" s="3067"/>
      <c r="X68" s="3067"/>
      <c r="Y68" s="3067"/>
      <c r="Z68" s="3067"/>
      <c r="AA68" s="3067"/>
      <c r="AB68" s="3067"/>
      <c r="AC68" s="3067"/>
      <c r="AD68" s="3067"/>
      <c r="AE68" s="2814"/>
      <c r="AF68" s="3071"/>
    </row>
    <row r="69" spans="1:33" ht="12.75" customHeight="1" thickBot="1">
      <c r="A69" s="112"/>
      <c r="B69" s="762"/>
      <c r="C69" s="960"/>
      <c r="D69" s="323" t="s">
        <v>1156</v>
      </c>
      <c r="E69" s="424"/>
      <c r="F69" s="424"/>
      <c r="G69" s="1003"/>
      <c r="H69" s="1003"/>
      <c r="I69" s="1003"/>
      <c r="J69" s="1003"/>
      <c r="K69" s="1003"/>
      <c r="L69" s="1003"/>
      <c r="M69" s="1004"/>
      <c r="N69" s="981"/>
      <c r="O69" s="332"/>
      <c r="P69" s="3057" t="str">
        <f>IF(F6251_PIII,"OVERRIDE","Place 'X' to override --&gt;")</f>
        <v>Place 'X' to override --&gt;</v>
      </c>
      <c r="Q69" s="2727"/>
      <c r="R69" s="2724">
        <v>0.28000000000000003</v>
      </c>
      <c r="S69" s="3073"/>
      <c r="T69" s="3067"/>
      <c r="U69" s="3094" t="str">
        <f>IF(OR(U59="X",U38="X"),"",IF(AC61&gt;AC65,"X",""))</f>
        <v/>
      </c>
      <c r="V69" s="3069" t="s">
        <v>668</v>
      </c>
      <c r="W69" s="3069" t="s">
        <v>2177</v>
      </c>
      <c r="X69" s="3067"/>
      <c r="Y69" s="3067"/>
      <c r="Z69" s="3067"/>
      <c r="AA69" s="3067"/>
      <c r="AB69" s="3067"/>
      <c r="AC69" s="3067"/>
      <c r="AD69" s="3067"/>
      <c r="AE69" s="3074"/>
      <c r="AF69" s="3071"/>
    </row>
    <row r="70" spans="1:33" ht="12.75" customHeight="1" thickBot="1">
      <c r="A70" s="112"/>
      <c r="B70" s="237">
        <f>B63+1</f>
        <v>36</v>
      </c>
      <c r="C70" s="507" t="str">
        <f>"Enter the amount from Form 6251, line "&amp;L51&amp;". If you are filing Form 2555 or 2555-EZ, enter the amount from"</f>
        <v>Enter the amount from Form 6251, line 30. If you are filing Form 2555 or 2555-EZ, enter the amount from</v>
      </c>
      <c r="D70" s="838"/>
      <c r="E70" s="298"/>
      <c r="F70" s="298"/>
      <c r="G70" s="299"/>
      <c r="H70" s="299"/>
      <c r="I70" s="303"/>
      <c r="J70" s="303"/>
      <c r="K70" s="753"/>
      <c r="L70" s="988"/>
      <c r="M70" s="756"/>
      <c r="N70" s="975"/>
      <c r="O70" s="332"/>
      <c r="P70" s="1417"/>
      <c r="Q70" s="56"/>
      <c r="R70" s="2722"/>
      <c r="S70" s="3073"/>
      <c r="T70" s="3067"/>
      <c r="U70" s="3067"/>
      <c r="V70" s="3069"/>
      <c r="W70" s="3067"/>
      <c r="X70" s="3067"/>
      <c r="Y70" s="3067"/>
      <c r="Z70" s="3067"/>
      <c r="AA70" s="3067"/>
      <c r="AB70" s="3067"/>
      <c r="AC70" s="3067"/>
      <c r="AD70" s="3067"/>
      <c r="AE70" s="3074"/>
      <c r="AF70" s="3071"/>
    </row>
    <row r="71" spans="1:33" ht="15" customHeight="1" thickBot="1">
      <c r="A71" s="112"/>
      <c r="B71" s="237"/>
      <c r="C71" s="1512" t="s">
        <v>3084</v>
      </c>
      <c r="D71" s="244"/>
      <c r="E71" s="298"/>
      <c r="F71" s="298"/>
      <c r="G71" s="299"/>
      <c r="H71" s="299"/>
      <c r="I71" s="299"/>
      <c r="J71" s="299"/>
      <c r="K71" s="2476" t="s">
        <v>1875</v>
      </c>
      <c r="L71" s="322">
        <f>B70</f>
        <v>36</v>
      </c>
      <c r="M71" s="2798" t="str">
        <f>IF(P71&lt;&gt;"",P71,IF(AND(Form2555_Used,AC139),AC134,IF(AND(F6251_PIII,M51=""),0,IF(F6251_PIII,M51,""))))</f>
        <v/>
      </c>
      <c r="N71" s="976"/>
      <c r="O71" s="332"/>
      <c r="P71" s="638"/>
      <c r="Q71" s="56"/>
      <c r="R71" s="2722"/>
      <c r="S71" s="3073"/>
      <c r="T71" s="3075"/>
      <c r="U71" s="3094" t="str">
        <f>IF(OR(U59="X",U38="X"),"",IF(AC61&gt;AC65,"","X"))</f>
        <v/>
      </c>
      <c r="V71" s="3069" t="s">
        <v>666</v>
      </c>
      <c r="W71" s="3069" t="s">
        <v>2182</v>
      </c>
      <c r="X71" s="3067"/>
      <c r="Y71" s="3067"/>
      <c r="Z71" s="3067"/>
      <c r="AA71" s="3067"/>
      <c r="AB71" s="3067"/>
      <c r="AC71" s="3067"/>
      <c r="AD71" s="3067"/>
      <c r="AE71" s="3074"/>
      <c r="AF71" s="3071"/>
      <c r="AG71" s="2591"/>
    </row>
    <row r="72" spans="1:33" ht="15" customHeight="1" thickBot="1">
      <c r="A72" s="112"/>
      <c r="B72" s="302">
        <f>B70+1</f>
        <v>37</v>
      </c>
      <c r="C72" s="549" t="s">
        <v>2070</v>
      </c>
      <c r="D72" s="244"/>
      <c r="E72" s="298"/>
      <c r="F72" s="298"/>
      <c r="G72" s="299"/>
      <c r="H72" s="302"/>
      <c r="I72" s="302"/>
      <c r="J72" s="299"/>
      <c r="K72" s="2476"/>
      <c r="L72" s="996"/>
      <c r="M72" s="755"/>
      <c r="N72" s="976"/>
      <c r="O72" s="332"/>
      <c r="P72" s="823"/>
      <c r="Q72" s="56"/>
      <c r="R72" s="2722"/>
      <c r="S72" s="3897"/>
      <c r="T72" s="3898"/>
      <c r="U72" s="3899"/>
      <c r="V72" s="3900"/>
      <c r="W72" s="3901"/>
      <c r="X72" s="3901"/>
      <c r="Y72" s="3901"/>
      <c r="Z72" s="3901"/>
      <c r="AA72" s="3901"/>
      <c r="AB72" s="3901"/>
      <c r="AC72" s="3901"/>
      <c r="AD72" s="3901"/>
      <c r="AE72" s="3902"/>
      <c r="AF72" s="3903"/>
      <c r="AG72" s="2591"/>
    </row>
    <row r="73" spans="1:33" ht="15" customHeight="1" thickBot="1">
      <c r="A73" s="112"/>
      <c r="B73" s="302"/>
      <c r="C73" s="3666" t="s">
        <v>2071</v>
      </c>
      <c r="D73" s="244"/>
      <c r="E73" s="298"/>
      <c r="F73" s="298"/>
      <c r="G73" s="299"/>
      <c r="H73" s="302"/>
      <c r="I73" s="302"/>
      <c r="J73" s="299"/>
      <c r="K73" s="2476"/>
      <c r="L73" s="997"/>
      <c r="M73" s="755"/>
      <c r="N73" s="976"/>
      <c r="O73" s="332"/>
      <c r="P73" s="823"/>
      <c r="Q73" s="56"/>
      <c r="R73" s="2722"/>
      <c r="S73" s="3733"/>
      <c r="T73" s="3734"/>
      <c r="U73" s="3735"/>
      <c r="V73" s="3111"/>
      <c r="W73" s="3736"/>
      <c r="X73" s="3736"/>
      <c r="Y73" s="3736"/>
      <c r="Z73" s="3736"/>
      <c r="AA73" s="3736"/>
      <c r="AB73" s="3736"/>
      <c r="AC73" s="3736"/>
      <c r="AD73" s="3736"/>
      <c r="AE73" s="3737"/>
      <c r="AF73" s="3737"/>
      <c r="AG73" s="2591"/>
    </row>
    <row r="74" spans="1:33" ht="15" customHeight="1">
      <c r="A74" s="112"/>
      <c r="B74" s="302"/>
      <c r="C74" s="549" t="s">
        <v>2072</v>
      </c>
      <c r="D74" s="244"/>
      <c r="E74" s="298"/>
      <c r="F74" s="298"/>
      <c r="G74" s="299"/>
      <c r="H74" s="302"/>
      <c r="I74" s="302"/>
      <c r="J74" s="299"/>
      <c r="K74" s="2476"/>
      <c r="L74" s="997"/>
      <c r="M74" s="755"/>
      <c r="N74" s="976"/>
      <c r="O74" s="332"/>
      <c r="P74" s="823"/>
      <c r="Q74" s="56"/>
      <c r="R74" s="2722"/>
      <c r="S74" s="3733"/>
      <c r="T74" s="3734"/>
      <c r="U74" s="3735"/>
      <c r="V74" s="2480"/>
      <c r="W74" s="2481"/>
      <c r="X74" s="2482"/>
      <c r="Y74" s="2482"/>
      <c r="Z74" s="2482"/>
      <c r="AA74" s="2483"/>
      <c r="AB74" s="3736"/>
      <c r="AC74" s="3736"/>
      <c r="AD74" s="3736"/>
      <c r="AE74" s="3737"/>
      <c r="AF74" s="3737"/>
      <c r="AG74" s="2591"/>
    </row>
    <row r="75" spans="1:33" ht="15" customHeight="1">
      <c r="A75" s="112"/>
      <c r="B75" s="302"/>
      <c r="C75" s="549" t="s">
        <v>2073</v>
      </c>
      <c r="D75" s="244"/>
      <c r="E75" s="298"/>
      <c r="F75" s="298"/>
      <c r="G75" s="299"/>
      <c r="H75" s="302"/>
      <c r="I75" s="2735"/>
      <c r="J75" s="299"/>
      <c r="K75" s="2476" t="s">
        <v>1001</v>
      </c>
      <c r="L75" s="830">
        <f>B72</f>
        <v>37</v>
      </c>
      <c r="M75" s="2798" t="str">
        <f>IF(P75&lt;&gt;"",P75,IF(NOT(F6251_PIII),"",IF(AND(SchDTW_Used,'Line 44'!C14=""),'Sch. D WS'!P92,IF(CGTW,'Line 44'!L36,0))))</f>
        <v/>
      </c>
      <c r="N75" s="976"/>
      <c r="O75" s="332"/>
      <c r="P75" s="638"/>
      <c r="Q75" s="56"/>
      <c r="R75" s="2113"/>
      <c r="S75" s="3733"/>
      <c r="T75" s="3734"/>
      <c r="U75" s="3735"/>
      <c r="V75" s="2484"/>
      <c r="W75" s="2485"/>
      <c r="X75" s="2486" t="s">
        <v>1489</v>
      </c>
      <c r="Y75" s="2487"/>
      <c r="Z75" s="2487"/>
      <c r="AA75" s="2488"/>
      <c r="AB75" s="3736"/>
      <c r="AC75" s="3736"/>
      <c r="AD75" s="3736"/>
      <c r="AE75" s="3737"/>
      <c r="AF75" s="3737"/>
      <c r="AG75" s="2591"/>
    </row>
    <row r="76" spans="1:33" ht="15" customHeight="1">
      <c r="A76" s="112"/>
      <c r="B76" s="302">
        <f>B72+1</f>
        <v>38</v>
      </c>
      <c r="C76" s="507" t="s">
        <v>2074</v>
      </c>
      <c r="D76" s="244"/>
      <c r="E76" s="298"/>
      <c r="F76" s="298"/>
      <c r="G76" s="299"/>
      <c r="H76" s="302"/>
      <c r="I76" s="302"/>
      <c r="J76" s="299"/>
      <c r="K76" s="2476"/>
      <c r="L76" s="997"/>
      <c r="M76" s="755"/>
      <c r="N76" s="976"/>
      <c r="O76" s="332"/>
      <c r="P76" s="823"/>
      <c r="Q76" s="56"/>
      <c r="R76" s="3889"/>
      <c r="S76" s="3733"/>
      <c r="T76" s="3734"/>
      <c r="U76" s="3735"/>
      <c r="V76" s="2484"/>
      <c r="W76" s="2485"/>
      <c r="X76" s="2487"/>
      <c r="Y76" s="2487"/>
      <c r="Z76" s="2487"/>
      <c r="AA76" s="2488"/>
      <c r="AB76" s="3736"/>
      <c r="AC76" s="3736"/>
      <c r="AD76" s="3736"/>
      <c r="AE76" s="3737"/>
      <c r="AF76" s="3737"/>
      <c r="AG76" s="2591"/>
    </row>
    <row r="77" spans="1:33" ht="15" customHeight="1">
      <c r="A77" s="112"/>
      <c r="B77" s="302"/>
      <c r="C77" s="507" t="s">
        <v>2069</v>
      </c>
      <c r="D77" s="244"/>
      <c r="E77" s="298"/>
      <c r="F77" s="298"/>
      <c r="G77" s="299"/>
      <c r="H77" s="302"/>
      <c r="I77" s="237"/>
      <c r="J77" s="299"/>
      <c r="K77" s="2476" t="s">
        <v>1000</v>
      </c>
      <c r="L77" s="830">
        <f>B76</f>
        <v>38</v>
      </c>
      <c r="M77" s="2798" t="str">
        <f>IF(P77&lt;&gt;"",P77,IF(NOT(F6251_PIII),"",IF(AND(F6251_PIII,CGTW),SchDLine19,0)))</f>
        <v/>
      </c>
      <c r="N77" s="976"/>
      <c r="O77" s="332"/>
      <c r="P77" s="638"/>
      <c r="Q77" s="56"/>
      <c r="R77" s="3889"/>
      <c r="S77" s="3733"/>
      <c r="T77" s="3734"/>
      <c r="U77" s="3735"/>
      <c r="V77" s="2489"/>
      <c r="W77" s="2485"/>
      <c r="X77" s="3715"/>
      <c r="Y77" s="2493" t="str">
        <f>"You were under age 18 at the end of "&amp;TaxYear&amp;".  "</f>
        <v xml:space="preserve">You were under age 18 at the end of 2016.  </v>
      </c>
      <c r="Z77" s="2479"/>
      <c r="AA77" s="3979">
        <f>IF(Z77="",0,1)</f>
        <v>0</v>
      </c>
      <c r="AB77" s="3736"/>
      <c r="AC77" s="3736"/>
      <c r="AD77" s="3736"/>
      <c r="AE77" s="3737"/>
      <c r="AF77" s="3737"/>
      <c r="AG77" s="2591"/>
    </row>
    <row r="78" spans="1:33" ht="15" customHeight="1">
      <c r="A78" s="112"/>
      <c r="B78" s="302">
        <f>B76+1</f>
        <v>39</v>
      </c>
      <c r="C78" s="507" t="s">
        <v>2075</v>
      </c>
      <c r="D78" s="244"/>
      <c r="E78" s="298"/>
      <c r="F78" s="298"/>
      <c r="G78" s="299"/>
      <c r="H78" s="302"/>
      <c r="I78" s="302"/>
      <c r="J78" s="299"/>
      <c r="K78" s="2476"/>
      <c r="L78" s="997"/>
      <c r="M78" s="755"/>
      <c r="N78" s="976"/>
      <c r="O78" s="332"/>
      <c r="P78" s="823"/>
      <c r="Q78" s="56"/>
      <c r="R78" s="3889"/>
      <c r="S78" s="3733"/>
      <c r="T78" s="3734"/>
      <c r="U78" s="3735"/>
      <c r="V78" s="2489"/>
      <c r="W78" s="2485"/>
      <c r="X78" s="3715"/>
      <c r="Y78" s="2493"/>
      <c r="Z78" s="2491"/>
      <c r="AA78" s="2490"/>
      <c r="AB78" s="3736"/>
      <c r="AC78" s="3736"/>
      <c r="AD78" s="3736"/>
      <c r="AE78" s="3737"/>
      <c r="AF78" s="3737"/>
      <c r="AG78" s="2591"/>
    </row>
    <row r="79" spans="1:33" ht="15" customHeight="1">
      <c r="A79" s="112"/>
      <c r="B79" s="302"/>
      <c r="C79" s="507" t="s">
        <v>2076</v>
      </c>
      <c r="D79" s="244"/>
      <c r="E79" s="298"/>
      <c r="F79" s="298"/>
      <c r="G79" s="299"/>
      <c r="H79" s="302"/>
      <c r="I79" s="302"/>
      <c r="J79" s="299"/>
      <c r="K79" s="2476"/>
      <c r="L79" s="997"/>
      <c r="M79" s="755"/>
      <c r="N79" s="976"/>
      <c r="O79" s="332"/>
      <c r="P79" s="823"/>
      <c r="Q79" s="56"/>
      <c r="R79" s="3889"/>
      <c r="S79" s="3733"/>
      <c r="T79" s="3734"/>
      <c r="U79" s="3735"/>
      <c r="V79" s="2492"/>
      <c r="W79" s="3977"/>
      <c r="X79" s="3977"/>
      <c r="Y79" s="2493" t="str">
        <f>"You were age 18 at the end of "&amp;TaxYear&amp;" and   "</f>
        <v xml:space="preserve">You were age 18 at the end of 2016 and   </v>
      </c>
      <c r="Z79" s="2494"/>
      <c r="AA79" s="2490"/>
      <c r="AB79" s="3736"/>
      <c r="AC79" s="3736"/>
      <c r="AD79" s="3736"/>
      <c r="AE79" s="3737"/>
      <c r="AF79" s="3737"/>
      <c r="AG79" s="2591"/>
    </row>
    <row r="80" spans="1:33" ht="15" customHeight="1">
      <c r="A80" s="112"/>
      <c r="B80" s="302"/>
      <c r="C80" s="507" t="s">
        <v>2077</v>
      </c>
      <c r="D80" s="244"/>
      <c r="E80" s="298"/>
      <c r="F80" s="298"/>
      <c r="G80" s="299"/>
      <c r="H80" s="302"/>
      <c r="I80" s="302"/>
      <c r="J80" s="299"/>
      <c r="K80" s="2476"/>
      <c r="L80" s="997"/>
      <c r="M80" s="755"/>
      <c r="N80" s="976"/>
      <c r="O80" s="331"/>
      <c r="P80" s="823"/>
      <c r="Q80" s="56"/>
      <c r="R80" s="3889"/>
      <c r="S80" s="3733"/>
      <c r="T80" s="3734"/>
      <c r="U80" s="3735"/>
      <c r="V80" s="2492"/>
      <c r="W80" s="3977"/>
      <c r="X80" s="3977"/>
      <c r="Y80" s="2493" t="s">
        <v>1486</v>
      </c>
      <c r="Z80" s="2479"/>
      <c r="AA80" s="3979">
        <f>IF(Z80="",0,1)</f>
        <v>0</v>
      </c>
      <c r="AB80" s="3736"/>
      <c r="AC80" s="3736"/>
      <c r="AD80" s="3736"/>
      <c r="AE80" s="3737"/>
      <c r="AF80" s="3737"/>
      <c r="AG80" s="2591"/>
    </row>
    <row r="81" spans="1:33" ht="15" customHeight="1">
      <c r="A81" s="112"/>
      <c r="B81" s="302"/>
      <c r="C81" s="507" t="s">
        <v>1494</v>
      </c>
      <c r="D81" s="244"/>
      <c r="E81" s="298"/>
      <c r="F81" s="298"/>
      <c r="G81" s="299"/>
      <c r="H81" s="302"/>
      <c r="I81" s="237"/>
      <c r="J81" s="299"/>
      <c r="K81" s="2476" t="s">
        <v>1875</v>
      </c>
      <c r="L81" s="830">
        <f>B78</f>
        <v>39</v>
      </c>
      <c r="M81" s="2798" t="str">
        <f>IF(P81&lt;&gt;"",P81,IF(NOT(F6251_PIII),"",IF(NOT(SchDTW_Used),M75,MIN(SUM(M75,M77),'Sch. D WS'!L89))))</f>
        <v/>
      </c>
      <c r="N81" s="976"/>
      <c r="O81" s="331"/>
      <c r="P81" s="638"/>
      <c r="Q81" s="56"/>
      <c r="R81" s="3889"/>
      <c r="S81" s="3733"/>
      <c r="T81" s="3734"/>
      <c r="U81" s="3735"/>
      <c r="V81" s="2484"/>
      <c r="W81" s="2485"/>
      <c r="X81" s="2487"/>
      <c r="Y81" s="3978"/>
      <c r="Z81" s="2491"/>
      <c r="AA81" s="2490"/>
      <c r="AB81" s="3736"/>
      <c r="AC81" s="3736"/>
      <c r="AD81" s="3736"/>
      <c r="AE81" s="3737"/>
      <c r="AF81" s="3737"/>
      <c r="AG81" s="2591"/>
    </row>
    <row r="82" spans="1:33" ht="15" customHeight="1">
      <c r="A82" s="112"/>
      <c r="B82" s="237">
        <f>B78+1</f>
        <v>40</v>
      </c>
      <c r="C82" s="507" t="s">
        <v>934</v>
      </c>
      <c r="D82" s="244"/>
      <c r="E82" s="298"/>
      <c r="F82" s="298"/>
      <c r="G82" s="299"/>
      <c r="H82" s="299"/>
      <c r="I82" s="299"/>
      <c r="J82" s="299"/>
      <c r="K82" s="2476" t="s">
        <v>483</v>
      </c>
      <c r="L82" s="322">
        <f>B82</f>
        <v>40</v>
      </c>
      <c r="M82" s="2798" t="str">
        <f>IF(NOT(F6251_PIII),"",MIN(M71,M81))</f>
        <v/>
      </c>
      <c r="N82" s="976"/>
      <c r="O82" s="331"/>
      <c r="P82" s="823"/>
      <c r="Q82" s="617"/>
      <c r="R82" s="3889"/>
      <c r="S82" s="3733"/>
      <c r="T82" s="3734"/>
      <c r="U82" s="3735"/>
      <c r="V82" s="2484"/>
      <c r="W82" s="2485"/>
      <c r="X82" s="2487"/>
      <c r="Y82" s="2493" t="s">
        <v>1487</v>
      </c>
      <c r="Z82" s="2495"/>
      <c r="AA82" s="2490"/>
      <c r="AB82" s="3736"/>
      <c r="AC82" s="3736"/>
      <c r="AD82" s="3736"/>
      <c r="AE82" s="3737"/>
      <c r="AF82" s="3737"/>
      <c r="AG82" s="2591"/>
    </row>
    <row r="83" spans="1:33" ht="15" customHeight="1">
      <c r="A83" s="112"/>
      <c r="B83" s="237">
        <f>B82+1</f>
        <v>41</v>
      </c>
      <c r="C83" s="507" t="str">
        <f>"Subtract line "&amp;L82&amp;" from line "&amp;L71</f>
        <v>Subtract line 40 from line 36</v>
      </c>
      <c r="D83" s="244"/>
      <c r="E83" s="298"/>
      <c r="F83" s="298"/>
      <c r="G83" s="299"/>
      <c r="H83" s="299"/>
      <c r="I83" s="299"/>
      <c r="J83" s="299"/>
      <c r="K83" s="2476" t="s">
        <v>1878</v>
      </c>
      <c r="L83" s="322">
        <f>B83</f>
        <v>41</v>
      </c>
      <c r="M83" s="2798" t="str">
        <f>IF(P83&lt;&gt;"",P83,IF(NOT(F6251_PIII),"",SUM(M71,-M82)))</f>
        <v/>
      </c>
      <c r="N83" s="976"/>
      <c r="O83" s="331"/>
      <c r="P83" s="638"/>
      <c r="Q83" s="617"/>
      <c r="R83" s="3889"/>
      <c r="S83" s="3733"/>
      <c r="T83" s="3734"/>
      <c r="U83" s="3735"/>
      <c r="V83" s="2489"/>
      <c r="W83" s="2485"/>
      <c r="X83" s="3715"/>
      <c r="Y83" s="2493" t="str">
        <f>"under age 24 at the end of "&amp;TaxYear&amp;" and   "</f>
        <v xml:space="preserve">under age 24 at the end of 2016 and   </v>
      </c>
      <c r="Z83" s="2479"/>
      <c r="AA83" s="3979">
        <f>IF(Z83="",0,1)</f>
        <v>0</v>
      </c>
      <c r="AB83" s="3736"/>
      <c r="AC83" s="3736"/>
      <c r="AD83" s="3736"/>
      <c r="AE83" s="3737"/>
      <c r="AF83" s="3737"/>
      <c r="AG83" s="2591"/>
    </row>
    <row r="84" spans="1:33" ht="15" customHeight="1">
      <c r="A84" s="112"/>
      <c r="B84" s="237">
        <f>B83+1</f>
        <v>42</v>
      </c>
      <c r="C84" s="507" t="str">
        <f>"If line "&amp;L83&amp;" is "&amp;TEXT(R61,"$0,000")&amp;" or less ("&amp;TEXT(R62,"$0,000")&amp;" or less if married filing separately), multiply line "&amp;L83&amp;" by "&amp;TEXT(R67,"0%")&amp;" ("&amp;TEXT(R67,"0.00")&amp;").  Otherwise,"</f>
        <v>If line 41 is $186,300 or less ($93,150 or less if married filing separately), multiply line 41 by 26% (0.26).  Otherwise,</v>
      </c>
      <c r="D84" s="507"/>
      <c r="E84" s="298"/>
      <c r="F84" s="298"/>
      <c r="G84" s="299"/>
      <c r="H84" s="299"/>
      <c r="I84" s="299"/>
      <c r="J84" s="299"/>
      <c r="K84" s="237"/>
      <c r="L84" s="292"/>
      <c r="M84" s="754"/>
      <c r="N84" s="975"/>
      <c r="O84" s="332"/>
      <c r="P84" s="823"/>
      <c r="Q84" s="617"/>
      <c r="R84" s="3889"/>
      <c r="S84" s="3733"/>
      <c r="T84" s="3734"/>
      <c r="U84" s="3735"/>
      <c r="V84" s="2492"/>
      <c r="W84" s="3977"/>
      <c r="X84" s="3977"/>
      <c r="Y84" s="2493" t="s">
        <v>1486</v>
      </c>
      <c r="Z84" s="2487"/>
      <c r="AA84" s="2490"/>
      <c r="AB84" s="3736"/>
      <c r="AC84" s="3736"/>
      <c r="AD84" s="3736"/>
      <c r="AE84" s="3737"/>
      <c r="AF84" s="3737"/>
    </row>
    <row r="85" spans="1:33" ht="15" customHeight="1">
      <c r="A85" s="112"/>
      <c r="B85" s="237"/>
      <c r="C85" s="998" t="str">
        <f>"multiply line "&amp;L83&amp;" by "&amp;TEXT(R69,"0%")&amp;" ("&amp;TEXT(R69,"0.00")&amp;") and subtract "&amp;TEXT(R64,"$0,000")&amp;" ("&amp;TEXT(R65,"$0,000")&amp;" if married filing separately) from the result."</f>
        <v>multiply line 41 by 28% (0.28) and subtract $3,726 ($1,863 if married filing separately) from the result.</v>
      </c>
      <c r="D85" s="507"/>
      <c r="E85" s="298"/>
      <c r="F85" s="298"/>
      <c r="G85" s="299"/>
      <c r="H85" s="299"/>
      <c r="I85" s="299"/>
      <c r="J85" s="299"/>
      <c r="K85" s="302" t="s">
        <v>1159</v>
      </c>
      <c r="L85" s="322">
        <f>B84</f>
        <v>42</v>
      </c>
      <c r="M85" s="2798" t="str">
        <f>IF(P85&lt;&gt;"",P85,IF(NOT(F6251_PIII),"",IF(M83&lt;=R63,ROUND(M83*R67,0),ROUND((M83*R69)-R66,0))))</f>
        <v/>
      </c>
      <c r="N85" s="975"/>
      <c r="O85" s="332"/>
      <c r="P85" s="638"/>
      <c r="Q85" s="617"/>
      <c r="R85" s="3889"/>
      <c r="S85" s="3733"/>
      <c r="T85" s="3734"/>
      <c r="U85" s="3735"/>
      <c r="V85" s="2484"/>
      <c r="W85" s="2485"/>
      <c r="X85" s="2487"/>
      <c r="Y85" s="2487"/>
      <c r="Z85" s="2487"/>
      <c r="AA85" s="2490"/>
      <c r="AB85" s="3736"/>
      <c r="AC85" s="3736"/>
      <c r="AD85" s="3736"/>
      <c r="AE85" s="3737"/>
      <c r="AF85" s="3737"/>
    </row>
    <row r="86" spans="1:33" ht="13.5" customHeight="1">
      <c r="A86" s="112"/>
      <c r="B86" s="237">
        <f>B84+1</f>
        <v>43</v>
      </c>
      <c r="C86" s="507" t="s">
        <v>569</v>
      </c>
      <c r="D86" s="507"/>
      <c r="E86" s="298"/>
      <c r="F86" s="298"/>
      <c r="G86" s="299"/>
      <c r="H86" s="299"/>
      <c r="I86" s="299"/>
      <c r="J86" s="299"/>
      <c r="K86" s="2476"/>
      <c r="L86" s="996"/>
      <c r="M86" s="824"/>
      <c r="N86" s="975"/>
      <c r="O86" s="332"/>
      <c r="P86" s="823"/>
      <c r="Q86" s="617"/>
      <c r="R86" s="3889"/>
      <c r="S86" s="3733"/>
      <c r="T86" s="3734"/>
      <c r="U86" s="3735"/>
      <c r="V86" s="2489"/>
      <c r="W86" s="2485"/>
      <c r="X86" s="3715"/>
      <c r="Y86" s="2493" t="s">
        <v>1488</v>
      </c>
      <c r="Z86" s="2479"/>
      <c r="AA86" s="3979">
        <f>IF(Z86="",0,1)</f>
        <v>0</v>
      </c>
      <c r="AB86" s="3736"/>
      <c r="AC86" s="3736"/>
      <c r="AD86" s="3736"/>
      <c r="AE86" s="3737"/>
      <c r="AF86" s="3737"/>
    </row>
    <row r="87" spans="1:33" ht="14.25" customHeight="1" thickBot="1">
      <c r="A87" s="112"/>
      <c r="B87" s="237"/>
      <c r="C87" s="989" t="s">
        <v>549</v>
      </c>
      <c r="D87" s="507" t="str">
        <f>TEXT(R87,"$0,000")&amp;" if married filing jointly or qualifying widow(er),"</f>
        <v>$75,300 if married filing jointly or qualifying widow(er),</v>
      </c>
      <c r="E87" s="298"/>
      <c r="F87" s="298"/>
      <c r="G87" s="299"/>
      <c r="H87" s="299"/>
      <c r="I87" s="299"/>
      <c r="J87" s="299"/>
      <c r="K87" s="2476"/>
      <c r="L87" s="997"/>
      <c r="M87" s="824"/>
      <c r="N87" s="975"/>
      <c r="O87" s="332"/>
      <c r="P87" s="823"/>
      <c r="Q87" s="617"/>
      <c r="R87" s="2728">
        <v>75300</v>
      </c>
      <c r="S87" s="3733"/>
      <c r="T87" s="3734"/>
      <c r="U87" s="3735"/>
      <c r="V87" s="2496"/>
      <c r="W87" s="2497"/>
      <c r="X87" s="2498"/>
      <c r="Y87" s="2498"/>
      <c r="Z87" s="2498"/>
      <c r="AA87" s="3980">
        <f>SUM(AA77:AA86)</f>
        <v>0</v>
      </c>
      <c r="AB87" s="3736"/>
      <c r="AC87" s="3736"/>
      <c r="AD87" s="3736"/>
      <c r="AE87" s="3737"/>
      <c r="AF87" s="3737"/>
    </row>
    <row r="88" spans="1:33" ht="13.5" thickBot="1">
      <c r="A88" s="112"/>
      <c r="B88" s="237"/>
      <c r="C88" s="989" t="s">
        <v>549</v>
      </c>
      <c r="D88" s="507" t="str">
        <f>TEXT(R88,"$0,000")&amp;" if single or married filing separately, or"</f>
        <v>$37,650 if single or married filing separately, or</v>
      </c>
      <c r="E88" s="298"/>
      <c r="F88" s="298"/>
      <c r="G88" s="299"/>
      <c r="H88" s="299"/>
      <c r="I88" s="302"/>
      <c r="J88" s="299"/>
      <c r="K88" s="2476" t="s">
        <v>999</v>
      </c>
      <c r="L88" s="830">
        <f>B86</f>
        <v>43</v>
      </c>
      <c r="M88" s="2798" t="str">
        <f>IF(NOT(F6251_PIII),"",IF(OR(File_Marr_Joint&lt;&gt;"",File_Qual_Widow&lt;&gt;""),R87,IF(OR(File_Single&lt;&gt;"",File_Marr_Sep&lt;&gt;""),R88,IF(File_Head&lt;&gt;"",R89,"Filing Status?"))))</f>
        <v/>
      </c>
      <c r="N88" s="975"/>
      <c r="O88" s="332"/>
      <c r="P88" s="823"/>
      <c r="Q88" s="617"/>
      <c r="R88" s="2729">
        <v>37650</v>
      </c>
      <c r="S88" s="3733"/>
      <c r="T88" s="3734"/>
      <c r="U88" s="3735"/>
      <c r="V88" s="3111"/>
      <c r="W88" s="3736"/>
      <c r="X88" s="3736"/>
      <c r="Y88" s="3736"/>
      <c r="Z88" s="3736"/>
      <c r="AA88" s="3736"/>
      <c r="AB88" s="3736"/>
      <c r="AC88" s="3736"/>
      <c r="AD88" s="3736"/>
      <c r="AE88" s="3737"/>
      <c r="AF88" s="3737"/>
    </row>
    <row r="89" spans="1:33" ht="12.75" customHeight="1">
      <c r="A89" s="112"/>
      <c r="B89" s="237"/>
      <c r="C89" s="989" t="s">
        <v>549</v>
      </c>
      <c r="D89" s="507" t="str">
        <f>TEXT(R89,"$0,000")&amp;" if head of household."</f>
        <v>$50,400 if head of household.</v>
      </c>
      <c r="E89" s="298"/>
      <c r="F89" s="298"/>
      <c r="G89" s="299"/>
      <c r="H89" s="299"/>
      <c r="I89" s="299"/>
      <c r="J89" s="299"/>
      <c r="K89" s="2476"/>
      <c r="L89" s="311"/>
      <c r="M89" s="4528" t="b">
        <f>Form2555_Used</f>
        <v>0</v>
      </c>
      <c r="N89" s="975"/>
      <c r="O89" s="332"/>
      <c r="P89" s="823"/>
      <c r="Q89" s="56"/>
      <c r="R89" s="2729">
        <v>50400</v>
      </c>
      <c r="S89" s="337"/>
      <c r="T89" s="846"/>
      <c r="U89" s="338"/>
      <c r="V89" s="6288" t="s">
        <v>1480</v>
      </c>
      <c r="W89" s="6289"/>
      <c r="X89" s="6289"/>
      <c r="Y89" s="3938"/>
      <c r="Z89" s="3938"/>
      <c r="AA89" s="3938"/>
      <c r="AB89" s="3938"/>
      <c r="AC89" s="3938"/>
      <c r="AD89" s="3939"/>
      <c r="AE89" s="844"/>
      <c r="AF89" s="3737"/>
    </row>
    <row r="90" spans="1:33" ht="14.25" customHeight="1">
      <c r="A90" s="112"/>
      <c r="B90" s="302">
        <f>B86+1</f>
        <v>44</v>
      </c>
      <c r="C90" s="549" t="s">
        <v>2078</v>
      </c>
      <c r="D90" s="244"/>
      <c r="E90" s="298"/>
      <c r="F90" s="298"/>
      <c r="G90" s="299"/>
      <c r="H90" s="302"/>
      <c r="I90" s="302"/>
      <c r="J90" s="299"/>
      <c r="K90" s="2476"/>
      <c r="L90" s="311"/>
      <c r="M90" s="2898" t="b">
        <f>OR(SchDTW_Used,CGTW)</f>
        <v>0</v>
      </c>
      <c r="N90" s="976"/>
      <c r="O90" s="332"/>
      <c r="P90" s="823"/>
      <c r="Q90" s="56"/>
      <c r="R90" s="4535"/>
      <c r="S90" s="305"/>
      <c r="T90" s="847"/>
      <c r="U90" s="338"/>
      <c r="V90" s="6290"/>
      <c r="W90" s="6291"/>
      <c r="X90" s="6291"/>
      <c r="Y90" s="3940"/>
      <c r="Z90" s="3940"/>
      <c r="AA90" s="3940"/>
      <c r="AB90" s="3940"/>
      <c r="AC90" s="3940"/>
      <c r="AD90" s="3941"/>
      <c r="AE90" s="844"/>
      <c r="AF90" s="3737"/>
    </row>
    <row r="91" spans="1:33" ht="14.25" customHeight="1" thickBot="1">
      <c r="A91" s="112"/>
      <c r="B91" s="302"/>
      <c r="C91" s="3666" t="s">
        <v>2079</v>
      </c>
      <c r="D91" s="244"/>
      <c r="E91" s="298"/>
      <c r="F91" s="298"/>
      <c r="G91" s="299"/>
      <c r="H91" s="302"/>
      <c r="I91" s="302"/>
      <c r="J91" s="299"/>
      <c r="K91" s="2476"/>
      <c r="L91" s="311"/>
      <c r="M91" s="2898" t="b">
        <f>AND(M89,NOT(M90))</f>
        <v>0</v>
      </c>
      <c r="N91" s="976"/>
      <c r="O91" s="332"/>
      <c r="P91" s="823"/>
      <c r="Q91" s="56"/>
      <c r="R91" s="4535"/>
      <c r="S91" s="305"/>
      <c r="T91" s="1279"/>
      <c r="U91" s="1451"/>
      <c r="V91" s="6292"/>
      <c r="W91" s="6293"/>
      <c r="X91" s="6293"/>
      <c r="Y91" s="3942"/>
      <c r="Z91" s="3942"/>
      <c r="AA91" s="3942" t="s">
        <v>1481</v>
      </c>
      <c r="AB91" s="3942"/>
      <c r="AC91" s="3942"/>
      <c r="AD91" s="3943"/>
      <c r="AE91" s="844"/>
      <c r="AF91" s="3737"/>
    </row>
    <row r="92" spans="1:33" ht="14.25" customHeight="1">
      <c r="A92" s="112"/>
      <c r="B92" s="302"/>
      <c r="C92" s="3666" t="s">
        <v>2080</v>
      </c>
      <c r="D92" s="244"/>
      <c r="E92" s="298"/>
      <c r="F92" s="298"/>
      <c r="G92" s="299"/>
      <c r="H92" s="302"/>
      <c r="I92" s="302"/>
      <c r="J92" s="299"/>
      <c r="K92" s="2476"/>
      <c r="L92" s="311"/>
      <c r="M92" s="755"/>
      <c r="N92" s="976"/>
      <c r="O92" s="332"/>
      <c r="P92" s="3647" t="str">
        <f>IF(OR(P94&lt;&gt;"",$M$91,F6251_PIII),"Line 44 Source:","")</f>
        <v/>
      </c>
      <c r="Q92" s="56"/>
      <c r="R92" s="4535"/>
      <c r="S92" s="338"/>
      <c r="T92" s="337"/>
      <c r="U92" s="1452"/>
      <c r="V92" s="6294" t="str">
        <f>" Note: If Form 6251, line 28, is equal to or more than: "&amp;TEXT(AG46,"$0,000")&amp;" if single or head of household; "</f>
        <v xml:space="preserve"> Note: If Form 6251, line 28, is equal to or more than: $335,300 if single or head of household; </v>
      </c>
      <c r="W92" s="6295"/>
      <c r="X92" s="6295"/>
      <c r="Y92" s="6295"/>
      <c r="Z92" s="6295"/>
      <c r="AA92" s="6295"/>
      <c r="AB92" s="6295"/>
      <c r="AC92" s="6295"/>
      <c r="AD92" s="6296"/>
      <c r="AE92" s="844"/>
      <c r="AF92" s="3737"/>
    </row>
    <row r="93" spans="1:33" ht="14.25" customHeight="1">
      <c r="A93" s="112"/>
      <c r="B93" s="302"/>
      <c r="C93" s="3666" t="s">
        <v>2081</v>
      </c>
      <c r="D93" s="244"/>
      <c r="E93" s="298"/>
      <c r="F93" s="298"/>
      <c r="G93" s="299"/>
      <c r="H93" s="302"/>
      <c r="I93" s="302"/>
      <c r="J93" s="299"/>
      <c r="K93" s="2476"/>
      <c r="L93" s="311"/>
      <c r="M93" s="755"/>
      <c r="N93" s="976"/>
      <c r="O93" s="332"/>
      <c r="P93" s="3647" t="str">
        <f>IF(P94&lt;&gt;"","Manual override",IF($M$91,"Foreign Income Tax Workseet",IF(NOT(F6251_PIII),"",IF(SchDTW_Used,"Sch. D Tax WS",IF(CGTW,"CGTW_Line7",IF(Taxable_Inc&gt;0,"Form 1040, Line 38"))))))</f>
        <v/>
      </c>
      <c r="Q93" s="56"/>
      <c r="R93" s="3889"/>
      <c r="S93" s="338"/>
      <c r="T93" s="337"/>
      <c r="U93" s="1452"/>
      <c r="V93" s="6297" t="str">
        <f>"  "&amp;TEXT(AG47,"$0,000")&amp;" if married filing jointly or qualifying widow(er); or "&amp;TEXT(AG48,"$0,000")&amp;" if married filing separately; your "</f>
        <v xml:space="preserve">  $494,900 if married filing jointly or qualifying widow(er); or $247,450 if married filing separately; your </v>
      </c>
      <c r="W93" s="6298"/>
      <c r="X93" s="6298"/>
      <c r="Y93" s="6298"/>
      <c r="Z93" s="6298"/>
      <c r="AA93" s="6298"/>
      <c r="AB93" s="6298"/>
      <c r="AC93" s="6298"/>
      <c r="AD93" s="6299"/>
      <c r="AE93" s="844"/>
      <c r="AF93" s="3737"/>
    </row>
    <row r="94" spans="1:33" ht="14.25" customHeight="1">
      <c r="A94" s="112"/>
      <c r="B94" s="302"/>
      <c r="C94" s="3666" t="s">
        <v>2082</v>
      </c>
      <c r="D94" s="244"/>
      <c r="E94" s="298"/>
      <c r="F94" s="298"/>
      <c r="G94" s="299"/>
      <c r="H94" s="302"/>
      <c r="I94" s="807"/>
      <c r="J94" s="299"/>
      <c r="K94" s="2476" t="s">
        <v>260</v>
      </c>
      <c r="L94" s="830">
        <f>B90</f>
        <v>44</v>
      </c>
      <c r="M94" s="2798">
        <f>IF(P94&lt;&gt;"",P94,IF($M$91,AC148,IF(NOT(F6251_PIII),0,IF(SchDTW_Used,'Sch. D WS'!P93,IF(CGTW,CGTW_Line7,IF(Taxable_Inc&gt;0,Taxable_Inc,0))))))</f>
        <v>0</v>
      </c>
      <c r="N94" s="976"/>
      <c r="O94" s="332"/>
      <c r="P94" s="638"/>
      <c r="Q94" s="56"/>
      <c r="R94" s="3889"/>
      <c r="S94" s="305"/>
      <c r="T94" s="305"/>
      <c r="U94" s="338"/>
      <c r="V94" s="6297" t="s">
        <v>1490</v>
      </c>
      <c r="W94" s="6298"/>
      <c r="X94" s="6298"/>
      <c r="Y94" s="6298"/>
      <c r="Z94" s="6298"/>
      <c r="AA94" s="6298"/>
      <c r="AB94" s="6298"/>
      <c r="AC94" s="6298"/>
      <c r="AD94" s="6299"/>
      <c r="AE94" s="844"/>
      <c r="AF94" s="3737"/>
    </row>
    <row r="95" spans="1:33" ht="14.25" customHeight="1">
      <c r="A95" s="112"/>
      <c r="B95" s="302">
        <f>B90+1</f>
        <v>45</v>
      </c>
      <c r="C95" s="507" t="s">
        <v>937</v>
      </c>
      <c r="D95" s="244"/>
      <c r="E95" s="298"/>
      <c r="F95" s="298"/>
      <c r="G95" s="299"/>
      <c r="H95" s="302"/>
      <c r="I95" s="237"/>
      <c r="J95" s="299"/>
      <c r="K95" s="2476" t="s">
        <v>1875</v>
      </c>
      <c r="L95" s="830">
        <f>B95</f>
        <v>45</v>
      </c>
      <c r="M95" s="2798" t="str">
        <f>IF(NOT(F6251_PIII),"",IF(ISERROR(SUM(M88,-M94)),M88,IF(SUM(M88,-M94)&lt;0,0,SUM(M88,-M94))))</f>
        <v/>
      </c>
      <c r="N95" s="976"/>
      <c r="O95" s="331"/>
      <c r="P95" s="823"/>
      <c r="Q95" s="56"/>
      <c r="R95" s="3889"/>
      <c r="S95" s="305"/>
      <c r="T95" s="305"/>
      <c r="U95" s="338"/>
      <c r="V95" s="6297" t="s">
        <v>1482</v>
      </c>
      <c r="W95" s="6298"/>
      <c r="X95" s="6298"/>
      <c r="Y95" s="6298"/>
      <c r="Z95" s="6298"/>
      <c r="AA95" s="6298"/>
      <c r="AB95" s="6298"/>
      <c r="AC95" s="6298"/>
      <c r="AD95" s="6299"/>
      <c r="AE95" s="844"/>
      <c r="AF95" s="3737"/>
    </row>
    <row r="96" spans="1:33" ht="14.25" customHeight="1" thickBot="1">
      <c r="A96" s="112"/>
      <c r="B96" s="302">
        <f>B95+1</f>
        <v>46</v>
      </c>
      <c r="C96" s="507" t="s">
        <v>938</v>
      </c>
      <c r="D96" s="244"/>
      <c r="E96" s="298"/>
      <c r="F96" s="298"/>
      <c r="G96" s="299"/>
      <c r="H96" s="302"/>
      <c r="I96" s="302"/>
      <c r="J96" s="299"/>
      <c r="K96" s="2476" t="s">
        <v>278</v>
      </c>
      <c r="L96" s="830">
        <f t="shared" ref="L96:L104" si="2">B96</f>
        <v>46</v>
      </c>
      <c r="M96" s="2798" t="str">
        <f>IF(NOT(F6251_PIII),"",MIN(M71,M75))</f>
        <v/>
      </c>
      <c r="N96" s="976"/>
      <c r="O96" s="332"/>
      <c r="P96" s="834"/>
      <c r="Q96" s="56"/>
      <c r="R96" s="3889"/>
      <c r="S96" s="305"/>
      <c r="T96" s="305"/>
      <c r="U96" s="338"/>
      <c r="V96" s="6276" t="str">
        <f>IF(AMTExemptionFlag="No","Your AMT Exemption is zero.  See NOTE above.","")</f>
        <v/>
      </c>
      <c r="W96" s="6277"/>
      <c r="X96" s="6277"/>
      <c r="Y96" s="6277"/>
      <c r="Z96" s="6277"/>
      <c r="AA96" s="6277"/>
      <c r="AB96" s="6277"/>
      <c r="AC96" s="6277"/>
      <c r="AD96" s="6278"/>
      <c r="AE96" s="844"/>
      <c r="AF96" s="3737"/>
    </row>
    <row r="97" spans="1:43" ht="14.25" customHeight="1">
      <c r="A97" s="112"/>
      <c r="B97" s="302">
        <f t="shared" ref="B97:B99" si="3">B96+1</f>
        <v>47</v>
      </c>
      <c r="C97" s="507" t="s">
        <v>2156</v>
      </c>
      <c r="D97" s="244"/>
      <c r="E97" s="298"/>
      <c r="F97" s="298"/>
      <c r="G97" s="299"/>
      <c r="H97" s="302"/>
      <c r="I97" s="237"/>
      <c r="J97" s="299"/>
      <c r="K97" s="2476" t="s">
        <v>596</v>
      </c>
      <c r="L97" s="830">
        <f t="shared" si="2"/>
        <v>47</v>
      </c>
      <c r="M97" s="2798" t="str">
        <f>IF(NOT(F6251_PIII),"",MIN(M95,M96))</f>
        <v/>
      </c>
      <c r="N97" s="976"/>
      <c r="O97" s="332"/>
      <c r="P97" s="834"/>
      <c r="Q97" s="56"/>
      <c r="R97" s="3889"/>
      <c r="S97" s="305"/>
      <c r="T97" s="338"/>
      <c r="U97" s="338"/>
      <c r="V97" s="3907">
        <v>1</v>
      </c>
      <c r="W97" s="2485" t="str">
        <f>"Enter: "&amp;TEXT(I46,"$0,000")&amp;" if single or head of household; "&amp;TEXT(I47,"$0,000")&amp;" if married"</f>
        <v>Enter: $53,900 if single or head of household; $83,800 if married</v>
      </c>
      <c r="X97" s="2814"/>
      <c r="Y97" s="2814"/>
      <c r="Z97" s="3908"/>
      <c r="AA97" s="3911"/>
      <c r="AB97" s="3912"/>
      <c r="AC97" s="3927"/>
      <c r="AD97" s="2488"/>
      <c r="AE97" s="844"/>
      <c r="AF97" s="3737"/>
    </row>
    <row r="98" spans="1:43" ht="14.25" customHeight="1">
      <c r="A98" s="112"/>
      <c r="B98" s="302">
        <f t="shared" si="3"/>
        <v>48</v>
      </c>
      <c r="C98" s="507" t="s">
        <v>1656</v>
      </c>
      <c r="D98" s="244"/>
      <c r="E98" s="298"/>
      <c r="F98" s="298"/>
      <c r="G98" s="299"/>
      <c r="H98" s="302"/>
      <c r="I98" s="237"/>
      <c r="J98" s="299"/>
      <c r="K98" s="2476" t="s">
        <v>1158</v>
      </c>
      <c r="L98" s="830">
        <f t="shared" si="2"/>
        <v>48</v>
      </c>
      <c r="M98" s="3056" t="str">
        <f>IF(NOT(F6251_PIII),"",SUM(M96,-M97))</f>
        <v/>
      </c>
      <c r="N98" s="976"/>
      <c r="O98" s="332"/>
      <c r="P98" s="834"/>
      <c r="Q98" s="56"/>
      <c r="R98" s="3889"/>
      <c r="S98" s="305"/>
      <c r="T98" s="305"/>
      <c r="U98" s="338"/>
      <c r="V98" s="2484"/>
      <c r="W98" s="2485" t="str">
        <f>"filing jointly or qualifying widow(er); "&amp;TEXT(I48,"$0,000")&amp;" if married filing"</f>
        <v>filing jointly or qualifying widow(er); $41,900 if married filing</v>
      </c>
      <c r="X98" s="2814"/>
      <c r="Y98" s="2814"/>
      <c r="Z98" s="3908"/>
      <c r="AA98" s="3911"/>
      <c r="AB98" s="3911"/>
      <c r="AC98" s="3911"/>
      <c r="AD98" s="2488"/>
      <c r="AF98" s="3737"/>
    </row>
    <row r="99" spans="1:43" ht="14.25" customHeight="1">
      <c r="A99" s="112"/>
      <c r="B99" s="302">
        <f t="shared" si="3"/>
        <v>49</v>
      </c>
      <c r="C99" s="507" t="s">
        <v>569</v>
      </c>
      <c r="D99" s="2708"/>
      <c r="E99" s="2709"/>
      <c r="F99" s="2709"/>
      <c r="G99" s="299"/>
      <c r="H99" s="302"/>
      <c r="I99" s="237"/>
      <c r="J99" s="299"/>
      <c r="K99" s="2476"/>
      <c r="L99" s="997"/>
      <c r="M99" s="824"/>
      <c r="N99" s="976"/>
      <c r="O99" s="332"/>
      <c r="P99" s="834"/>
      <c r="Q99" s="56"/>
      <c r="R99" s="3889"/>
      <c r="S99" s="305"/>
      <c r="T99" s="305"/>
      <c r="U99" s="338"/>
      <c r="V99" s="2484"/>
      <c r="W99" s="2485" t="s">
        <v>942</v>
      </c>
      <c r="X99" s="2814"/>
      <c r="Y99" s="2814"/>
      <c r="Z99" s="3908"/>
      <c r="AA99" s="3909" t="s">
        <v>935</v>
      </c>
      <c r="AB99" s="3910">
        <f>V97</f>
        <v>1</v>
      </c>
      <c r="AC99" s="3904" t="str">
        <f>IF(AMTExemptionFlag="No","",IF(OR(File_Single&lt;&gt;"",File_Head&lt;&gt;""),I46,IF(OR(File_Marr_Joint&lt;&gt;"",File_Qual_Widow&lt;&gt;""),I47,IF(File_Marr_Sep&lt;&gt;"",I48,""))))</f>
        <v/>
      </c>
      <c r="AD99" s="2488"/>
      <c r="AF99" s="3737"/>
    </row>
    <row r="100" spans="1:43" ht="14.25" customHeight="1">
      <c r="A100" s="112"/>
      <c r="B100" s="237"/>
      <c r="C100" s="989" t="s">
        <v>549</v>
      </c>
      <c r="D100" s="507" t="str">
        <f>TEXT(R100,"$0,000")&amp;" if single,"</f>
        <v>$415,050 if single,</v>
      </c>
      <c r="E100" s="3107"/>
      <c r="F100" s="3107"/>
      <c r="G100" s="299"/>
      <c r="H100" s="299"/>
      <c r="I100" s="299"/>
      <c r="J100" s="299"/>
      <c r="K100" s="2476"/>
      <c r="L100" s="997"/>
      <c r="M100" s="824"/>
      <c r="N100" s="975"/>
      <c r="O100" s="332"/>
      <c r="P100" s="823"/>
      <c r="Q100" s="617"/>
      <c r="R100" s="2728">
        <v>415050</v>
      </c>
      <c r="S100" s="305"/>
      <c r="T100" s="305"/>
      <c r="U100" s="338"/>
      <c r="V100" s="3907">
        <v>2</v>
      </c>
      <c r="W100" s="3715" t="s">
        <v>940</v>
      </c>
      <c r="X100" s="2814"/>
      <c r="Y100" s="2814"/>
      <c r="Z100" s="3912"/>
      <c r="AA100" s="3911"/>
      <c r="AB100" s="3912"/>
      <c r="AC100" s="3927"/>
      <c r="AD100" s="2488"/>
      <c r="AF100" s="3737"/>
    </row>
    <row r="101" spans="1:43" ht="14.25" customHeight="1">
      <c r="A101" s="112"/>
      <c r="B101" s="237"/>
      <c r="C101" s="989" t="s">
        <v>549</v>
      </c>
      <c r="D101" s="507" t="str">
        <f>TEXT(R101,"$0,000")&amp;" if married filing separately"</f>
        <v>$233,475 if married filing separately</v>
      </c>
      <c r="E101" s="3107"/>
      <c r="F101" s="3107"/>
      <c r="G101" s="299"/>
      <c r="H101" s="299"/>
      <c r="I101" s="299"/>
      <c r="J101" s="299"/>
      <c r="K101" s="2476"/>
      <c r="L101" s="997"/>
      <c r="M101" s="824"/>
      <c r="N101" s="975"/>
      <c r="O101" s="332"/>
      <c r="P101" s="823"/>
      <c r="Q101" s="617"/>
      <c r="R101" s="2728">
        <v>233475</v>
      </c>
      <c r="S101" s="305"/>
      <c r="T101" s="305"/>
      <c r="U101" s="338"/>
      <c r="V101" s="3914"/>
      <c r="W101" s="3915" t="s">
        <v>941</v>
      </c>
      <c r="X101" s="2834"/>
      <c r="Y101" s="2834"/>
      <c r="Z101" s="3916">
        <f>V100</f>
        <v>2</v>
      </c>
      <c r="AA101" s="3905">
        <f>IF(AMTExemptionFlag="No","",AltMinTaxInc)</f>
        <v>0</v>
      </c>
      <c r="AB101" s="3929"/>
      <c r="AC101" s="3931"/>
      <c r="AD101" s="3932"/>
      <c r="AF101" s="3737"/>
    </row>
    <row r="102" spans="1:43" ht="14.25" customHeight="1">
      <c r="A102" s="112"/>
      <c r="B102" s="237"/>
      <c r="C102" s="989" t="s">
        <v>549</v>
      </c>
      <c r="D102" s="507" t="str">
        <f>TEXT(R102,"$0,000")&amp;" if married filing jointly or qualifying widow(er)"</f>
        <v>$466,950 if married filing jointly or qualifying widow(er)</v>
      </c>
      <c r="E102" s="3107"/>
      <c r="F102" s="3107"/>
      <c r="G102" s="299"/>
      <c r="H102" s="299"/>
      <c r="I102" s="302"/>
      <c r="J102" s="299"/>
      <c r="K102" s="2476" t="s">
        <v>999</v>
      </c>
      <c r="L102" s="830">
        <f>B99</f>
        <v>49</v>
      </c>
      <c r="M102" s="2798" t="str">
        <f>IF(P102&lt;&gt;"",P102,IF(NOT(F6251_PIII),"",IF(File_Single&lt;&gt;"",R100,IF(File_Marr_Sep&lt;&gt;"",R101,IF(OR(File_Marr_Joint&lt;&gt;"",File_Qual_Widow&lt;&gt;""),R102,IF(File_Head&lt;&gt;"",R103,"Filing Status?"))))))</f>
        <v/>
      </c>
      <c r="N102" s="975"/>
      <c r="O102" s="332"/>
      <c r="P102" s="638"/>
      <c r="Q102" s="617"/>
      <c r="R102" s="2729">
        <v>466950</v>
      </c>
      <c r="S102" s="305"/>
      <c r="T102" s="305"/>
      <c r="U102" s="338"/>
      <c r="V102" s="3924"/>
      <c r="W102" s="2485"/>
      <c r="X102" s="2814"/>
      <c r="Y102" s="2814"/>
      <c r="Z102" s="3925"/>
      <c r="AA102" s="3927"/>
      <c r="AB102" s="3928"/>
      <c r="AC102" s="3927"/>
      <c r="AD102" s="2488"/>
      <c r="AF102" s="3737"/>
    </row>
    <row r="103" spans="1:43" ht="14.25" customHeight="1">
      <c r="A103" s="112"/>
      <c r="B103" s="237"/>
      <c r="C103" s="989" t="s">
        <v>549</v>
      </c>
      <c r="D103" s="507" t="str">
        <f>TEXT(R103,"$0,000")&amp;" if head of household"</f>
        <v>$441,000 if head of household</v>
      </c>
      <c r="E103" s="3107"/>
      <c r="F103" s="3107"/>
      <c r="G103" s="299"/>
      <c r="H103" s="299"/>
      <c r="I103" s="299"/>
      <c r="J103" s="299"/>
      <c r="K103" s="2476"/>
      <c r="L103" s="311"/>
      <c r="M103" s="824"/>
      <c r="N103" s="975"/>
      <c r="O103" s="332"/>
      <c r="P103" s="823"/>
      <c r="Q103" s="56"/>
      <c r="R103" s="2729">
        <v>441000</v>
      </c>
      <c r="S103" s="305"/>
      <c r="T103" s="305"/>
      <c r="U103" s="338"/>
      <c r="V103" s="3907">
        <v>3</v>
      </c>
      <c r="W103" s="2485" t="str">
        <f>"Enter: "&amp;TEXT(G46,"$0,000")&amp;" if single or head of household;"</f>
        <v>Enter: $119,700 if single or head of household;</v>
      </c>
      <c r="X103" s="2814"/>
      <c r="Y103" s="2814"/>
      <c r="Z103" s="3912"/>
      <c r="AA103" s="3911"/>
      <c r="AB103" s="3912"/>
      <c r="AC103" s="3927"/>
      <c r="AD103" s="2488"/>
      <c r="AF103" s="3737"/>
    </row>
    <row r="104" spans="1:43" ht="14.25" customHeight="1">
      <c r="A104" s="112"/>
      <c r="B104" s="302">
        <f>B99+1</f>
        <v>50</v>
      </c>
      <c r="C104" s="507" t="s">
        <v>2454</v>
      </c>
      <c r="D104" s="2708"/>
      <c r="E104" s="2709"/>
      <c r="F104" s="2709"/>
      <c r="G104" s="299"/>
      <c r="H104" s="302"/>
      <c r="I104" s="237"/>
      <c r="J104" s="299"/>
      <c r="K104" s="2476" t="s">
        <v>2455</v>
      </c>
      <c r="L104" s="830">
        <f t="shared" si="2"/>
        <v>50</v>
      </c>
      <c r="M104" s="2798" t="str">
        <f>IF(NOT(F6251_PIII),"",M95)</f>
        <v/>
      </c>
      <c r="N104" s="976"/>
      <c r="O104" s="332"/>
      <c r="P104" s="834"/>
      <c r="Q104" s="56"/>
      <c r="R104" s="3889"/>
      <c r="S104" s="305"/>
      <c r="T104" s="305"/>
      <c r="U104" s="338"/>
      <c r="V104" s="2484"/>
      <c r="W104" s="2485" t="str">
        <f>TEXT(G47,"$0,000")&amp;" if married filing jointly or qualifying widow(er); "</f>
        <v xml:space="preserve">$159,700 if married filing jointly or qualifying widow(er); </v>
      </c>
      <c r="X104" s="2814"/>
      <c r="Y104" s="2814"/>
      <c r="Z104" s="3912"/>
      <c r="AA104" s="3911"/>
      <c r="AB104" s="3912"/>
      <c r="AC104" s="3927"/>
      <c r="AD104" s="2488"/>
      <c r="AF104" s="3737"/>
      <c r="AI104" s="2068"/>
      <c r="AJ104" s="3637"/>
      <c r="AK104" s="4"/>
      <c r="AL104" s="4"/>
      <c r="AM104" s="4"/>
      <c r="AN104" s="4"/>
      <c r="AO104" s="4"/>
      <c r="AP104" s="4"/>
      <c r="AQ104" s="4"/>
    </row>
    <row r="105" spans="1:43" ht="14.25" customHeight="1">
      <c r="A105" s="112"/>
      <c r="B105" s="302">
        <v>51</v>
      </c>
      <c r="C105" s="549" t="s">
        <v>2078</v>
      </c>
      <c r="D105" s="3011"/>
      <c r="E105" s="3012"/>
      <c r="F105" s="3012"/>
      <c r="G105" s="299"/>
      <c r="H105" s="302"/>
      <c r="I105" s="302"/>
      <c r="J105" s="302"/>
      <c r="K105" s="302"/>
      <c r="L105" s="2748"/>
      <c r="M105" s="2730"/>
      <c r="N105" s="976"/>
      <c r="O105" s="332"/>
      <c r="P105" s="834"/>
      <c r="Q105" s="56"/>
      <c r="R105" s="3889"/>
      <c r="S105" s="305"/>
      <c r="T105" s="305"/>
      <c r="U105" s="338"/>
      <c r="V105" s="3926"/>
      <c r="W105" s="3915" t="str">
        <f>TEXT(G48,"$0,000")&amp;" if married filing separately"</f>
        <v>$79,850 if married filing separately</v>
      </c>
      <c r="X105" s="2834"/>
      <c r="Y105" s="2834"/>
      <c r="Z105" s="3916">
        <f>V103</f>
        <v>3</v>
      </c>
      <c r="AA105" s="3905" t="str">
        <f>IF(AMTExemptionFlag="No","",IF(OR(File_Single&lt;&gt;"",File_Head&lt;&gt;""),G46,IF(OR(File_Marr_Joint&lt;&gt;"",File_Qual_Widow&lt;&gt;""),G47,IF(File_Marr_Sep&lt;&gt;"",G48,""))))</f>
        <v/>
      </c>
      <c r="AB105" s="3930"/>
      <c r="AC105" s="3931"/>
      <c r="AD105" s="3932"/>
      <c r="AF105" s="3737"/>
      <c r="AI105" s="2068"/>
      <c r="AJ105" s="3637"/>
      <c r="AK105" s="4"/>
      <c r="AL105" s="4"/>
      <c r="AM105" s="4"/>
      <c r="AN105" s="4"/>
      <c r="AO105" s="4"/>
      <c r="AP105" s="4"/>
      <c r="AQ105" s="4"/>
    </row>
    <row r="106" spans="1:43" ht="14.25" customHeight="1">
      <c r="A106" s="112"/>
      <c r="B106" s="302"/>
      <c r="C106" s="549" t="s">
        <v>2083</v>
      </c>
      <c r="D106" s="3011"/>
      <c r="E106" s="3012"/>
      <c r="F106" s="3012"/>
      <c r="G106" s="299"/>
      <c r="H106" s="302"/>
      <c r="I106" s="302"/>
      <c r="J106" s="302"/>
      <c r="K106" s="302"/>
      <c r="L106" s="2748"/>
      <c r="M106" s="2730"/>
      <c r="N106" s="976"/>
      <c r="O106" s="332"/>
      <c r="P106" s="834"/>
      <c r="Q106" s="56"/>
      <c r="R106" s="3889"/>
      <c r="S106" s="305"/>
      <c r="T106" s="305"/>
      <c r="U106" s="338"/>
      <c r="V106" s="3907">
        <v>4</v>
      </c>
      <c r="W106" s="3715" t="s">
        <v>762</v>
      </c>
      <c r="X106" s="2814"/>
      <c r="Y106" s="2814"/>
      <c r="Z106" s="3912"/>
      <c r="AA106" s="3911"/>
      <c r="AB106" s="3912"/>
      <c r="AC106" s="3927"/>
      <c r="AD106" s="2488"/>
      <c r="AF106" s="3737"/>
      <c r="AI106" s="2068"/>
      <c r="AJ106" s="3637"/>
      <c r="AK106" s="4"/>
      <c r="AL106" s="4"/>
      <c r="AM106" s="4"/>
      <c r="AN106" s="4"/>
      <c r="AO106" s="4"/>
      <c r="AP106" s="4"/>
      <c r="AQ106" s="4"/>
    </row>
    <row r="107" spans="1:43" ht="14.25" customHeight="1">
      <c r="A107" s="112"/>
      <c r="B107" s="302"/>
      <c r="C107" s="549" t="s">
        <v>2084</v>
      </c>
      <c r="D107" s="3011"/>
      <c r="E107" s="3012"/>
      <c r="F107" s="3012"/>
      <c r="G107" s="299"/>
      <c r="H107" s="302"/>
      <c r="I107" s="302"/>
      <c r="J107" s="302"/>
      <c r="K107" s="302"/>
      <c r="L107" s="2748"/>
      <c r="M107" s="2730"/>
      <c r="N107" s="976"/>
      <c r="O107" s="331"/>
      <c r="P107" s="834"/>
      <c r="Q107" s="56"/>
      <c r="R107" s="3889"/>
      <c r="S107" s="338"/>
      <c r="T107" s="305"/>
      <c r="U107" s="338"/>
      <c r="V107" s="3924"/>
      <c r="W107" s="2485" t="s">
        <v>719</v>
      </c>
      <c r="X107" s="2814"/>
      <c r="Y107" s="2814"/>
      <c r="Z107" s="3925">
        <f>V106</f>
        <v>4</v>
      </c>
      <c r="AA107" s="3905" t="str">
        <f>IF(OR(AMTExemptionFlag="No",AA105=""),"",IF(AA101-AA105&lt;=0,0,AA101-AA105))</f>
        <v/>
      </c>
      <c r="AB107" s="3928"/>
      <c r="AC107" s="3927"/>
      <c r="AD107" s="2488"/>
      <c r="AF107" s="3737"/>
      <c r="AI107" s="2068"/>
      <c r="AJ107" s="3637"/>
      <c r="AK107" s="4"/>
      <c r="AL107" s="4"/>
      <c r="AM107" s="4"/>
      <c r="AN107" s="4"/>
      <c r="AO107" s="4"/>
      <c r="AP107" s="4"/>
      <c r="AQ107" s="4"/>
    </row>
    <row r="108" spans="1:43" ht="13.5" customHeight="1">
      <c r="A108" s="112"/>
      <c r="B108" s="302"/>
      <c r="C108" s="549" t="s">
        <v>2085</v>
      </c>
      <c r="D108" s="3011"/>
      <c r="E108" s="3012"/>
      <c r="F108" s="3012"/>
      <c r="G108" s="299"/>
      <c r="H108" s="302"/>
      <c r="I108" s="302"/>
      <c r="J108" s="302"/>
      <c r="K108" s="302"/>
      <c r="L108" s="2748"/>
      <c r="M108" s="2730"/>
      <c r="N108" s="976"/>
      <c r="O108" s="332"/>
      <c r="P108" s="834"/>
      <c r="Q108" s="56"/>
      <c r="R108" s="3889"/>
      <c r="S108" s="338"/>
      <c r="T108" s="305"/>
      <c r="U108" s="338"/>
      <c r="V108" s="3907">
        <v>5</v>
      </c>
      <c r="W108" s="3715" t="str">
        <f>"Multiply line 4 by "&amp;TEXT(AF108,"0%")&amp;" ("&amp;TEXT(AF108,"0.00")&amp;")"</f>
        <v>Multiply line 4 by 25% (0.25)</v>
      </c>
      <c r="X108" s="2814"/>
      <c r="Y108" s="2814"/>
      <c r="Z108" s="3908"/>
      <c r="AA108" s="3909" t="s">
        <v>1483</v>
      </c>
      <c r="AB108" s="3910">
        <f>V108</f>
        <v>5</v>
      </c>
      <c r="AC108" s="3904" t="str">
        <f>IF(AA105="","",IF(AMTExemptionFlag="No","",ROUND(AF108*AA107,0)))</f>
        <v/>
      </c>
      <c r="AD108" s="2488"/>
      <c r="AF108" s="3060">
        <v>0.25</v>
      </c>
      <c r="AI108" s="2068"/>
      <c r="AJ108" s="3637"/>
      <c r="AK108" s="4"/>
      <c r="AL108" s="4"/>
      <c r="AM108" s="4"/>
      <c r="AN108" s="4"/>
      <c r="AO108" s="4"/>
      <c r="AP108" s="4"/>
      <c r="AQ108" s="4"/>
    </row>
    <row r="109" spans="1:43" ht="12.75" customHeight="1">
      <c r="A109" s="112"/>
      <c r="B109" s="302"/>
      <c r="C109" s="549" t="s">
        <v>2086</v>
      </c>
      <c r="D109" s="244"/>
      <c r="E109" s="298"/>
      <c r="F109" s="298"/>
      <c r="G109" s="299"/>
      <c r="H109" s="302"/>
      <c r="I109" s="640"/>
      <c r="J109" s="640"/>
      <c r="K109" s="2476" t="s">
        <v>2087</v>
      </c>
      <c r="L109" s="322">
        <f>B105</f>
        <v>51</v>
      </c>
      <c r="M109" s="2798">
        <f>IF(P109&lt;&gt;"",P109,IF(NOT(F6251_PIII),0,IF(M91,M94,IF(SchDTW_Used,'Sch. D WS'!N101,IF(CGTW,'Line 44'!L37,IF(Taxable_Inc&gt;0,Taxable_Inc,0))))))</f>
        <v>0</v>
      </c>
      <c r="N109" s="975"/>
      <c r="O109" s="2734" t="b">
        <f>IF(NOT(F6251_PIII),FALSE,IF(M71=K110,TRUE,FALSE))</f>
        <v>0</v>
      </c>
      <c r="P109" s="638"/>
      <c r="Q109" s="56"/>
      <c r="R109" s="3889"/>
      <c r="S109" s="994"/>
      <c r="T109" s="305"/>
      <c r="U109" s="338"/>
      <c r="V109" s="3907">
        <v>6</v>
      </c>
      <c r="W109" s="3715" t="s">
        <v>111</v>
      </c>
      <c r="X109" s="2814"/>
      <c r="Y109" s="2814"/>
      <c r="Z109" s="3715"/>
      <c r="AA109" s="3911"/>
      <c r="AB109" s="3912"/>
      <c r="AC109" s="3933"/>
      <c r="AD109" s="2488"/>
      <c r="AF109"/>
    </row>
    <row r="110" spans="1:43" ht="14.25" customHeight="1">
      <c r="A110" s="112"/>
      <c r="B110" s="302">
        <f>B105+1</f>
        <v>52</v>
      </c>
      <c r="C110" s="507" t="s">
        <v>2145</v>
      </c>
      <c r="D110" s="2708"/>
      <c r="E110" s="2709"/>
      <c r="F110" s="2709"/>
      <c r="G110" s="299"/>
      <c r="H110" s="302"/>
      <c r="I110" s="237" t="s">
        <v>2087</v>
      </c>
      <c r="J110" s="830">
        <f>B110</f>
        <v>52</v>
      </c>
      <c r="K110" s="2798" t="str">
        <f>IF(NOT(F6251_PIII),"",SUM(M104,M109))</f>
        <v/>
      </c>
      <c r="L110" s="997"/>
      <c r="M110" s="2730"/>
      <c r="N110" s="976"/>
      <c r="O110" s="332"/>
      <c r="P110" s="1511"/>
      <c r="Q110" s="56"/>
      <c r="R110" s="3889"/>
      <c r="S110" s="994"/>
      <c r="T110" s="305"/>
      <c r="U110" s="338"/>
      <c r="V110" s="3907"/>
      <c r="W110" s="3715" t="s">
        <v>368</v>
      </c>
      <c r="X110" s="2814"/>
      <c r="Y110" s="2814"/>
      <c r="Z110" s="3715"/>
      <c r="AA110" s="3911"/>
      <c r="AB110" s="3912"/>
      <c r="AC110" s="3934"/>
      <c r="AD110" s="2488"/>
      <c r="AF110"/>
    </row>
    <row r="111" spans="1:43" ht="12" customHeight="1">
      <c r="A111" s="112"/>
      <c r="B111" s="302">
        <f>B110+1</f>
        <v>53</v>
      </c>
      <c r="C111" s="507" t="s">
        <v>2146</v>
      </c>
      <c r="D111" s="2708"/>
      <c r="E111" s="2709"/>
      <c r="F111" s="2709"/>
      <c r="G111" s="299"/>
      <c r="H111" s="302"/>
      <c r="I111" s="237" t="s">
        <v>442</v>
      </c>
      <c r="J111" s="830">
        <f>B111</f>
        <v>53</v>
      </c>
      <c r="K111" s="2798" t="str">
        <f>IF(NOT(F6251_PIII),"",IF(SUM(M102,-K110)&lt;0,0,SUM(M102,-K110)))</f>
        <v/>
      </c>
      <c r="L111" s="997"/>
      <c r="M111" s="2730">
        <v>0.15</v>
      </c>
      <c r="N111" s="976"/>
      <c r="O111" s="2734" t="b">
        <f>IF(NOT(F6251_PIII),FALSE,IF(OR(K77=0,K77=""),TRUE,FALSE))</f>
        <v>0</v>
      </c>
      <c r="P111" s="834"/>
      <c r="Q111" s="56"/>
      <c r="R111" s="3889"/>
      <c r="S111" s="994"/>
      <c r="T111" s="305"/>
      <c r="U111" s="338"/>
      <c r="V111" s="3907"/>
      <c r="W111" s="3715" t="s">
        <v>367</v>
      </c>
      <c r="X111" s="2814"/>
      <c r="Y111" s="2814"/>
      <c r="Z111" s="3715"/>
      <c r="AA111" s="3911"/>
      <c r="AB111" s="3912"/>
      <c r="AC111" s="3934"/>
      <c r="AD111" s="2488"/>
      <c r="AE111" s="338"/>
    </row>
    <row r="112" spans="1:43" ht="14.25" customHeight="1">
      <c r="A112" s="112"/>
      <c r="B112" s="302">
        <f>B111+1</f>
        <v>54</v>
      </c>
      <c r="C112" s="507" t="s">
        <v>2147</v>
      </c>
      <c r="D112" s="244"/>
      <c r="E112" s="298"/>
      <c r="F112" s="298"/>
      <c r="G112" s="299"/>
      <c r="H112" s="302"/>
      <c r="I112" s="2736"/>
      <c r="J112" s="640"/>
      <c r="K112" s="2735"/>
      <c r="L112" s="322">
        <f>B112</f>
        <v>54</v>
      </c>
      <c r="M112" s="2798" t="str">
        <f>IF(P112&lt;&gt;"",P112,IF(NOT(F6251_PIII),"",MIN(M98,K111)))</f>
        <v/>
      </c>
      <c r="N112" s="975"/>
      <c r="O112" s="331"/>
      <c r="P112" s="638"/>
      <c r="Q112" s="56"/>
      <c r="R112" s="3889"/>
      <c r="S112" s="848"/>
      <c r="T112" s="305"/>
      <c r="U112" s="338"/>
      <c r="V112" s="2484"/>
      <c r="W112" s="2485" t="s">
        <v>1655</v>
      </c>
      <c r="X112" s="3911"/>
      <c r="Y112" s="3911"/>
      <c r="Z112" s="3911"/>
      <c r="AA112" s="3911"/>
      <c r="AB112" s="3911"/>
      <c r="AC112" s="3935"/>
      <c r="AD112" s="2488"/>
      <c r="AE112" s="338"/>
    </row>
    <row r="113" spans="1:31" ht="14.25" customHeight="1">
      <c r="A113" s="112"/>
      <c r="B113" s="302">
        <f>B112+1</f>
        <v>55</v>
      </c>
      <c r="C113" s="507" t="str">
        <f>"Multiply line 54 by "&amp;TEXT(M111,"0%")&amp;" ("&amp;TEXT(M111,"0.00")&amp;")"</f>
        <v>Multiply line 54 by 15% (0.15)</v>
      </c>
      <c r="D113" s="2708"/>
      <c r="E113" s="2709"/>
      <c r="F113" s="2709"/>
      <c r="G113" s="299"/>
      <c r="H113" s="302"/>
      <c r="I113" s="640"/>
      <c r="J113" s="640"/>
      <c r="K113" s="2476" t="s">
        <v>1878</v>
      </c>
      <c r="L113" s="322">
        <f>B113</f>
        <v>55</v>
      </c>
      <c r="M113" s="2798" t="str">
        <f>IF(P113&lt;&gt;"",P113,IF(NOT(F6251_PIII),"",ROUND(M111*M112,0)))</f>
        <v/>
      </c>
      <c r="N113" s="975"/>
      <c r="O113" s="332"/>
      <c r="P113" s="638"/>
      <c r="Q113" s="56"/>
      <c r="R113" s="3889"/>
      <c r="S113" s="848"/>
      <c r="T113" s="305"/>
      <c r="U113" s="338"/>
      <c r="V113" s="2484"/>
      <c r="W113" s="6279" t="s">
        <v>1484</v>
      </c>
      <c r="X113" s="6280"/>
      <c r="Y113" s="6280"/>
      <c r="Z113" s="6280"/>
      <c r="AA113" s="6280"/>
      <c r="AB113" s="3910">
        <f>V109</f>
        <v>6</v>
      </c>
      <c r="AC113" s="3904">
        <f>IF(OR(AA105="",AMTExemptionFlag="No"),0,IF(AC99-AC108=0,0,AC99-AC108))</f>
        <v>0</v>
      </c>
      <c r="AD113" s="2488"/>
      <c r="AE113" s="338"/>
    </row>
    <row r="114" spans="1:31" ht="14.25" customHeight="1">
      <c r="A114" s="112"/>
      <c r="B114" s="302">
        <f>B113+1</f>
        <v>56</v>
      </c>
      <c r="C114" s="507" t="s">
        <v>2148</v>
      </c>
      <c r="D114" s="244"/>
      <c r="E114" s="298"/>
      <c r="F114" s="298"/>
      <c r="G114" s="299"/>
      <c r="H114" s="302"/>
      <c r="I114" s="237" t="s">
        <v>2158</v>
      </c>
      <c r="J114" s="830">
        <f>B114</f>
        <v>56</v>
      </c>
      <c r="K114" s="2798" t="str">
        <f>IF(NOT(F6251_PIII),"",SUM(M97,M112))</f>
        <v/>
      </c>
      <c r="L114" s="997"/>
      <c r="M114" s="755"/>
      <c r="N114" s="976"/>
      <c r="O114" s="984"/>
      <c r="P114" s="823"/>
      <c r="Q114" s="56"/>
      <c r="R114" s="3889"/>
      <c r="S114" s="848"/>
      <c r="T114" s="338"/>
      <c r="U114" s="338"/>
      <c r="V114" s="2484"/>
      <c r="W114" s="3913" t="str">
        <f>IF(AND(ChildUnder24&lt;&gt;"",AA87=0),"The questions for a 'Child under 24' (above) must be answered before proceeding.","")</f>
        <v/>
      </c>
      <c r="X114" s="2487"/>
      <c r="Y114" s="2487"/>
      <c r="Z114" s="2487"/>
      <c r="AA114" s="2487"/>
      <c r="AB114" s="3910"/>
      <c r="AC114" s="3927"/>
      <c r="AD114" s="2488"/>
      <c r="AE114" s="338"/>
    </row>
    <row r="115" spans="1:31" ht="14.25" customHeight="1">
      <c r="A115" s="112"/>
      <c r="B115" s="302"/>
      <c r="C115" s="224" t="s">
        <v>2149</v>
      </c>
      <c r="D115" s="244"/>
      <c r="E115" s="298"/>
      <c r="F115" s="298"/>
      <c r="G115" s="299"/>
      <c r="H115" s="2737"/>
      <c r="I115" s="299"/>
      <c r="J115" s="640"/>
      <c r="K115" s="634"/>
      <c r="L115" s="313"/>
      <c r="M115" s="756"/>
      <c r="N115" s="975"/>
      <c r="O115" s="3059" t="b">
        <f>IF(NOT(F6251_PIII),FALSE,IF(M71=K114,TRUE,FALSE))</f>
        <v>0</v>
      </c>
      <c r="P115" s="2731" t="str">
        <f>IF(NOT(F6251_PIII),"",IF(O115,"Go to Line 62.",""))</f>
        <v/>
      </c>
      <c r="Q115" s="56"/>
      <c r="R115" s="3889"/>
      <c r="S115" s="848"/>
      <c r="T115" s="994"/>
      <c r="U115" s="338"/>
      <c r="V115" s="3907">
        <v>7</v>
      </c>
      <c r="W115" s="2485" t="s">
        <v>369</v>
      </c>
      <c r="X115" s="2814"/>
      <c r="Y115" s="2814"/>
      <c r="Z115" s="3908"/>
      <c r="AA115" s="3911"/>
      <c r="AB115" s="3910">
        <f>V115</f>
        <v>7</v>
      </c>
      <c r="AC115" s="3975">
        <v>7400</v>
      </c>
      <c r="AD115" s="2488"/>
      <c r="AE115" s="338"/>
    </row>
    <row r="116" spans="1:31" ht="14.25" customHeight="1">
      <c r="A116" s="112"/>
      <c r="B116" s="302">
        <f>B114+1</f>
        <v>57</v>
      </c>
      <c r="C116" s="507" t="s">
        <v>2150</v>
      </c>
      <c r="D116" s="2708"/>
      <c r="E116" s="2709"/>
      <c r="F116" s="2709"/>
      <c r="G116" s="299"/>
      <c r="H116" s="302"/>
      <c r="I116" s="237" t="s">
        <v>2157</v>
      </c>
      <c r="J116" s="830">
        <f>B116</f>
        <v>57</v>
      </c>
      <c r="K116" s="2798" t="str">
        <f>IF(NOT(F6251_PIII),"",IF(O115,"",SUM(M96,-K114)))</f>
        <v/>
      </c>
      <c r="L116" s="997"/>
      <c r="M116" s="2730">
        <v>0.2</v>
      </c>
      <c r="N116" s="976"/>
      <c r="O116" s="761"/>
      <c r="P116" s="823"/>
      <c r="Q116" s="56"/>
      <c r="R116" s="3889"/>
      <c r="S116" s="994"/>
      <c r="T116" s="994"/>
      <c r="U116" s="338"/>
      <c r="V116" s="3907">
        <v>8</v>
      </c>
      <c r="W116" s="2485" t="s">
        <v>1017</v>
      </c>
      <c r="X116" s="2814"/>
      <c r="Y116" s="2814"/>
      <c r="Z116" s="3908"/>
      <c r="AA116" s="3911"/>
      <c r="AB116" s="3910">
        <f>V116</f>
        <v>8</v>
      </c>
      <c r="AC116" s="3906"/>
      <c r="AD116" s="2488"/>
      <c r="AE116" s="305"/>
    </row>
    <row r="117" spans="1:31" ht="15" customHeight="1">
      <c r="A117" s="112"/>
      <c r="B117" s="302">
        <f>B116+1</f>
        <v>58</v>
      </c>
      <c r="C117" s="507" t="str">
        <f>"Multiply line 57 by "&amp;TEXT(M116,"0%")&amp;" ("&amp;TEXT(M116,"0.00")&amp;")"</f>
        <v>Multiply line 57 by 20% (0.20)</v>
      </c>
      <c r="D117" s="244"/>
      <c r="E117" s="298"/>
      <c r="F117" s="298"/>
      <c r="G117" s="299"/>
      <c r="H117" s="299"/>
      <c r="I117" s="299"/>
      <c r="J117" s="299"/>
      <c r="K117" s="2476" t="s">
        <v>865</v>
      </c>
      <c r="L117" s="322">
        <f>B117</f>
        <v>58</v>
      </c>
      <c r="M117" s="2798" t="str">
        <f>IF(P117&lt;&gt;"",P117,IF(OR(NOT(F6251_PIII),O115),"",ROUND(K116*M116,0)))</f>
        <v/>
      </c>
      <c r="N117" s="976"/>
      <c r="O117" s="761"/>
      <c r="P117" s="638"/>
      <c r="Q117" s="56"/>
      <c r="R117" s="2113"/>
      <c r="S117" s="994"/>
      <c r="T117" s="994"/>
      <c r="U117" s="338"/>
      <c r="V117" s="3907">
        <v>9</v>
      </c>
      <c r="W117" s="2485" t="s">
        <v>232</v>
      </c>
      <c r="X117" s="2814"/>
      <c r="Y117" s="2814"/>
      <c r="Z117" s="3908"/>
      <c r="AA117" s="3911"/>
      <c r="AB117" s="3910">
        <f>V117</f>
        <v>9</v>
      </c>
      <c r="AC117" s="3904" t="str">
        <f>IF(OR(AMTExemptionFlag="No",ChildUnder24="",AND(ChildUnder24&lt;&gt;"",AA87=0)),"",AC115+AC116)</f>
        <v/>
      </c>
      <c r="AD117" s="2488"/>
      <c r="AE117" s="305"/>
    </row>
    <row r="118" spans="1:31" ht="15.75" customHeight="1">
      <c r="A118" s="112"/>
      <c r="B118" s="302"/>
      <c r="C118" s="224" t="s">
        <v>2151</v>
      </c>
      <c r="D118" s="3016"/>
      <c r="E118" s="3018"/>
      <c r="F118" s="3018"/>
      <c r="G118" s="299"/>
      <c r="H118" s="2737"/>
      <c r="I118" s="299"/>
      <c r="J118" s="640"/>
      <c r="K118" s="634"/>
      <c r="L118" s="313"/>
      <c r="M118" s="756"/>
      <c r="N118" s="975"/>
      <c r="O118" s="3059" t="b">
        <f>IF(NOT(F6251_PIII),FALSE,IF(OR(M77=0,M77=""),TRUE,FALSE))</f>
        <v>0</v>
      </c>
      <c r="P118" s="2731" t="str">
        <f>IF(NOT(F6251_PIII),"",IF(O115,"",IF(O118,"Go to Line 62.","")))</f>
        <v/>
      </c>
      <c r="Q118" s="56"/>
      <c r="R118" s="2113"/>
      <c r="S118" s="994"/>
      <c r="T118" s="994"/>
      <c r="U118" s="338"/>
      <c r="V118" s="3907">
        <v>10</v>
      </c>
      <c r="W118" s="2485" t="s">
        <v>1485</v>
      </c>
      <c r="X118" s="2814"/>
      <c r="Y118" s="2814"/>
      <c r="Z118" s="3912"/>
      <c r="AA118" s="3911"/>
      <c r="AB118" s="3912"/>
      <c r="AC118" s="3927"/>
      <c r="AD118" s="2488"/>
      <c r="AE118" s="305"/>
    </row>
    <row r="119" spans="1:31" ht="15.75" customHeight="1">
      <c r="A119" s="112"/>
      <c r="B119" s="302">
        <f>B117+1</f>
        <v>59</v>
      </c>
      <c r="C119" s="507" t="s">
        <v>2152</v>
      </c>
      <c r="D119" s="244"/>
      <c r="E119" s="298"/>
      <c r="F119" s="298"/>
      <c r="G119" s="299"/>
      <c r="H119" s="299"/>
      <c r="I119" s="299"/>
      <c r="J119" s="299"/>
      <c r="K119" s="2476" t="s">
        <v>936</v>
      </c>
      <c r="L119" s="829">
        <f>B119</f>
        <v>59</v>
      </c>
      <c r="M119" s="2798" t="str">
        <f>IF(P119&lt;&gt;"",P119,IF(OR(NOT(F6251_PIII),O115,O118),"",SUM(M83,K114,K116)))</f>
        <v/>
      </c>
      <c r="N119" s="976"/>
      <c r="O119" s="832"/>
      <c r="P119" s="638"/>
      <c r="Q119" s="56"/>
      <c r="R119" s="2113"/>
      <c r="S119" s="994"/>
      <c r="T119" s="848"/>
      <c r="U119" s="338"/>
      <c r="V119" s="3914"/>
      <c r="W119" s="3915" t="s">
        <v>943</v>
      </c>
      <c r="X119" s="2834"/>
      <c r="Y119" s="2834"/>
      <c r="Z119" s="3916"/>
      <c r="AA119" s="3917"/>
      <c r="AB119" s="3918">
        <f>V118</f>
        <v>10</v>
      </c>
      <c r="AC119" s="3972">
        <f>IF(AND(ChildUnder24&lt;&gt;"",AA87=0),"See cell Z77.",IF(AMTExemptionFlag="No",0,MIN(AC113,AC117)))</f>
        <v>0</v>
      </c>
      <c r="AD119" s="2488"/>
      <c r="AE119" s="305"/>
    </row>
    <row r="120" spans="1:31" ht="15" customHeight="1">
      <c r="A120" s="112"/>
      <c r="B120" s="302">
        <f t="shared" ref="B120" si="4">B119+1</f>
        <v>60</v>
      </c>
      <c r="C120" s="507" t="s">
        <v>2153</v>
      </c>
      <c r="D120" s="3016"/>
      <c r="E120" s="3018"/>
      <c r="F120" s="3018"/>
      <c r="G120" s="299"/>
      <c r="H120" s="302"/>
      <c r="I120" s="237"/>
      <c r="J120" s="299"/>
      <c r="K120" s="807" t="s">
        <v>1158</v>
      </c>
      <c r="L120" s="830">
        <f t="shared" ref="L120" si="5">B120</f>
        <v>60</v>
      </c>
      <c r="M120" s="3056" t="str">
        <f>IF(OR(NOT(F6251_PIII),O115,O118),"",SUM(M71,-M119))</f>
        <v/>
      </c>
      <c r="N120" s="976"/>
      <c r="O120" s="332"/>
      <c r="P120" s="834"/>
      <c r="Q120" s="56"/>
      <c r="R120" s="2113"/>
      <c r="S120" s="305"/>
      <c r="T120" s="848"/>
      <c r="U120" s="338"/>
      <c r="V120" s="3914"/>
      <c r="W120" s="3915"/>
      <c r="X120" s="2834"/>
      <c r="Y120" s="2834"/>
      <c r="Z120" s="3916"/>
      <c r="AA120" s="3917"/>
      <c r="AB120" s="3918"/>
      <c r="AC120" s="3936"/>
      <c r="AD120" s="2488"/>
      <c r="AE120" s="305"/>
    </row>
    <row r="121" spans="1:31" ht="13.5" thickBot="1">
      <c r="A121" s="112"/>
      <c r="B121" s="302">
        <f>B120+1</f>
        <v>61</v>
      </c>
      <c r="C121" s="507" t="str">
        <f>"Multiply line 60 by "&amp;TEXT(O121,"0%")&amp;" ("&amp;TEXT(O121,"0.00")&amp;")"</f>
        <v>Multiply line 60 by 25% (0.25)</v>
      </c>
      <c r="D121" s="3016"/>
      <c r="E121" s="3018"/>
      <c r="F121" s="3018"/>
      <c r="G121" s="299"/>
      <c r="H121" s="299"/>
      <c r="I121" s="299"/>
      <c r="J121" s="299"/>
      <c r="K121" s="807" t="s">
        <v>1158</v>
      </c>
      <c r="L121" s="322">
        <f>B121</f>
        <v>61</v>
      </c>
      <c r="M121" s="2798" t="str">
        <f>IF(P119&lt;&gt;"",P119,IF(OR(NOT(F6251_PIII),O115,O118),"",M120*O121))</f>
        <v/>
      </c>
      <c r="N121" s="976"/>
      <c r="O121" s="3055">
        <v>0.25</v>
      </c>
      <c r="P121" s="638"/>
      <c r="Q121" s="56"/>
      <c r="R121" s="2113"/>
      <c r="S121" s="305"/>
      <c r="T121" s="848"/>
      <c r="U121" s="338"/>
      <c r="V121" s="2496"/>
      <c r="W121" s="3919" t="str">
        <f>IF(AND(ChildUnder24="",AC116&gt;0),"You MUST check the box in Cell O45 to enter a value in Line 8.","")</f>
        <v/>
      </c>
      <c r="X121" s="3920"/>
      <c r="Y121" s="3920"/>
      <c r="Z121" s="3921"/>
      <c r="AA121" s="3922"/>
      <c r="AB121" s="3923"/>
      <c r="AC121" s="3937"/>
      <c r="AD121" s="2837"/>
      <c r="AE121" s="305"/>
    </row>
    <row r="122" spans="1:31" ht="13.5" thickBot="1">
      <c r="A122" s="112"/>
      <c r="B122" s="302">
        <f>B121+1</f>
        <v>62</v>
      </c>
      <c r="C122" s="507" t="s">
        <v>2154</v>
      </c>
      <c r="D122" s="3016"/>
      <c r="E122" s="3018"/>
      <c r="F122" s="3018"/>
      <c r="G122" s="299"/>
      <c r="H122" s="299"/>
      <c r="I122" s="299"/>
      <c r="J122" s="299"/>
      <c r="K122" s="2476" t="s">
        <v>1878</v>
      </c>
      <c r="L122" s="829">
        <f>B122</f>
        <v>62</v>
      </c>
      <c r="M122" s="2798" t="str">
        <f>IF(P122&lt;&gt;"",P122,IF(NOT(F6251_PIII),"",SUM(M85,M113,M117,M121)))</f>
        <v/>
      </c>
      <c r="N122" s="976"/>
      <c r="O122" s="832"/>
      <c r="P122" s="638"/>
      <c r="Q122" s="56"/>
      <c r="R122" s="3889"/>
      <c r="S122" s="3733"/>
      <c r="T122" s="3734"/>
      <c r="U122" s="3735"/>
      <c r="V122" s="3111"/>
      <c r="W122" s="3736"/>
      <c r="X122" s="3736"/>
      <c r="Y122" s="3736"/>
      <c r="Z122" s="3736"/>
      <c r="AA122" s="3736"/>
      <c r="AB122" s="3736"/>
      <c r="AC122" s="3736"/>
      <c r="AD122" s="3736"/>
      <c r="AE122" s="3737"/>
    </row>
    <row r="123" spans="1:31" ht="15" customHeight="1">
      <c r="A123" s="112"/>
      <c r="B123" s="302">
        <f>B122+1</f>
        <v>63</v>
      </c>
      <c r="C123" s="507" t="str">
        <f>"If line "&amp;B70&amp;" is "&amp;TEXT(R61,"$0,000")&amp;" or less ("&amp;TEXT(R62,"$0,000")&amp;" or less if married filing separately), multiply line "&amp;B70&amp;" by "&amp;TEXT(R67,"0%")&amp;" ("&amp;TEXT(R67,"0.00")&amp;")."</f>
        <v>If line 36 is $186,300 or less ($93,150 or less if married filing separately), multiply line 36 by 26% (0.26).</v>
      </c>
      <c r="D123" s="507"/>
      <c r="E123" s="298"/>
      <c r="F123" s="298"/>
      <c r="G123" s="299"/>
      <c r="H123" s="299"/>
      <c r="I123" s="299"/>
      <c r="J123" s="299"/>
      <c r="K123" s="2732"/>
      <c r="L123" s="2733"/>
      <c r="M123" s="2718">
        <f>IF(File_Marr_Sep&lt;&gt;"",R62,R61)</f>
        <v>186300</v>
      </c>
      <c r="N123" s="975"/>
      <c r="O123" s="3054"/>
      <c r="P123" s="823"/>
      <c r="Q123" s="56"/>
      <c r="R123" s="3889"/>
      <c r="S123" s="3733"/>
      <c r="T123" s="3734"/>
      <c r="U123" s="3735"/>
      <c r="V123" s="3944"/>
      <c r="W123" s="3945"/>
      <c r="X123" s="3945"/>
      <c r="Y123" s="3938"/>
      <c r="Z123" s="3938"/>
      <c r="AA123" s="3938"/>
      <c r="AB123" s="3938"/>
      <c r="AC123" s="3938"/>
      <c r="AD123" s="3939"/>
      <c r="AE123" s="3737"/>
    </row>
    <row r="124" spans="1:31">
      <c r="A124" s="112"/>
      <c r="B124" s="237"/>
      <c r="C124" s="1512" t="str">
        <f>"Otherwise, multiply line "&amp;B70&amp;" by "&amp;TEXT(R69,"0%")&amp;" ("&amp;TEXT(R69,".00")&amp;") and subtract "&amp;TEXT(R64,"$0,000")&amp;" ("&amp;TEXT(R65,"$0,000")&amp;" if married filing separately) from the result."</f>
        <v>Otherwise, multiply line 36 by 28% (.28) and subtract $3,726 ($1,863 if married filing separately) from the result.</v>
      </c>
      <c r="D124" s="507"/>
      <c r="E124" s="298"/>
      <c r="F124" s="298"/>
      <c r="G124" s="299"/>
      <c r="H124" s="299"/>
      <c r="I124" s="299"/>
      <c r="J124" s="299"/>
      <c r="K124" s="807"/>
      <c r="L124" s="322">
        <f>B123</f>
        <v>63</v>
      </c>
      <c r="M124" s="2798" t="str">
        <f>IF(P124&lt;&gt;"",P124,IF(NOT(F6251_PIII),"",IF(M71&lt;=M123,ROUND(M71*R67,0),ROUND((M71*R69)-M125,0))))</f>
        <v/>
      </c>
      <c r="N124" s="975"/>
      <c r="O124" s="3054"/>
      <c r="P124" s="638"/>
      <c r="Q124" s="56"/>
      <c r="R124" s="4535"/>
      <c r="S124" s="3733"/>
      <c r="T124" s="3734"/>
      <c r="U124" s="3735"/>
      <c r="V124" s="3946" t="s">
        <v>3053</v>
      </c>
      <c r="W124" s="3947"/>
      <c r="X124" s="3947"/>
      <c r="Y124" s="3948"/>
      <c r="Z124" s="3948"/>
      <c r="AA124" s="3948"/>
      <c r="AB124" s="3948"/>
      <c r="AC124" s="3948"/>
      <c r="AD124" s="3941"/>
      <c r="AE124" s="3737"/>
    </row>
    <row r="125" spans="1:31" ht="13.5" thickBot="1">
      <c r="A125" s="112"/>
      <c r="B125" s="302">
        <f>B123+1</f>
        <v>64</v>
      </c>
      <c r="C125" s="507" t="s">
        <v>2155</v>
      </c>
      <c r="D125" s="507"/>
      <c r="E125" s="298"/>
      <c r="F125" s="298"/>
      <c r="G125" s="299"/>
      <c r="H125" s="299"/>
      <c r="I125" s="299"/>
      <c r="J125" s="299"/>
      <c r="K125" s="302"/>
      <c r="L125" s="1202"/>
      <c r="M125" s="2718">
        <f>IF(File_Marr_Sep&lt;&gt;"",R65,R64)</f>
        <v>3726</v>
      </c>
      <c r="N125" s="975"/>
      <c r="O125" s="3054"/>
      <c r="P125" s="823"/>
      <c r="Q125" s="617"/>
      <c r="R125" s="4535"/>
      <c r="S125" s="3733"/>
      <c r="T125" s="3734"/>
      <c r="U125" s="3735"/>
      <c r="V125" s="3949"/>
      <c r="W125" s="3950"/>
      <c r="X125" s="3950"/>
      <c r="Y125" s="3942"/>
      <c r="Z125" s="3942"/>
      <c r="AA125" s="3942"/>
      <c r="AB125" s="3964" t="s">
        <v>290</v>
      </c>
      <c r="AC125" s="3964"/>
      <c r="AD125" s="3943"/>
      <c r="AE125" s="3737"/>
    </row>
    <row r="126" spans="1:31" ht="13.5" thickBot="1">
      <c r="A126" s="112"/>
      <c r="B126" s="237"/>
      <c r="C126" s="507" t="s">
        <v>1658</v>
      </c>
      <c r="D126" s="244"/>
      <c r="E126" s="298"/>
      <c r="F126" s="298"/>
      <c r="G126" s="299"/>
      <c r="H126" s="299"/>
      <c r="I126" s="299"/>
      <c r="J126" s="299"/>
      <c r="K126" s="2476" t="s">
        <v>1002</v>
      </c>
      <c r="L126" s="322">
        <f>B125</f>
        <v>64</v>
      </c>
      <c r="M126" s="2798" t="str">
        <f>IF(P126&lt;&gt;"",P126,IF(NOT(F6251_PIII),"",MIN(M122,M124)))</f>
        <v/>
      </c>
      <c r="N126" s="976"/>
      <c r="O126" s="2070"/>
      <c r="P126" s="638"/>
      <c r="Q126" s="617"/>
      <c r="R126" s="2613"/>
      <c r="S126" s="3733"/>
      <c r="T126" s="3734"/>
      <c r="U126" s="3735"/>
      <c r="V126" s="3951" t="s">
        <v>3304</v>
      </c>
      <c r="W126" s="3952"/>
      <c r="X126" s="3953" t="s">
        <v>3305</v>
      </c>
      <c r="Y126" s="3952"/>
      <c r="Z126" s="3952"/>
      <c r="AA126" s="3952"/>
      <c r="AB126" s="3952"/>
      <c r="AC126" s="3974" t="b">
        <f>IF(M51=0,TRUE,FALSE)</f>
        <v>0</v>
      </c>
      <c r="AD126" s="3965"/>
      <c r="AE126" s="3737"/>
    </row>
    <row r="127" spans="1:31" ht="12.75" customHeight="1">
      <c r="A127" s="112"/>
      <c r="B127" s="220"/>
      <c r="C127" s="341"/>
      <c r="D127" s="341"/>
      <c r="E127" s="341"/>
      <c r="F127" s="341"/>
      <c r="G127" s="825"/>
      <c r="H127" s="826"/>
      <c r="I127" s="825"/>
      <c r="J127" s="825"/>
      <c r="K127" s="825"/>
      <c r="L127" s="827" t="s">
        <v>206</v>
      </c>
      <c r="M127" s="1513" t="str">
        <f>"  ("&amp;TaxYear&amp;")"</f>
        <v xml:space="preserve">  (2016)</v>
      </c>
      <c r="N127" s="982"/>
      <c r="O127" s="2070"/>
      <c r="P127" s="823"/>
      <c r="Q127" s="617"/>
      <c r="R127" s="2613"/>
      <c r="S127" s="3733"/>
      <c r="T127" s="3734"/>
      <c r="U127" s="3735"/>
      <c r="V127" s="3954"/>
      <c r="W127" s="3955"/>
      <c r="X127" s="3955"/>
      <c r="Y127" s="3955"/>
      <c r="Z127" s="3955"/>
      <c r="AA127" s="3955"/>
      <c r="AB127" s="3955"/>
      <c r="AC127" s="3955"/>
      <c r="AD127" s="3966"/>
      <c r="AE127" s="3737"/>
    </row>
    <row r="128" spans="1:31" ht="17.25" customHeight="1">
      <c r="A128" s="112"/>
      <c r="B128" s="985"/>
      <c r="C128" s="834"/>
      <c r="D128" s="834"/>
      <c r="E128" s="112"/>
      <c r="F128" s="112"/>
      <c r="G128" s="112"/>
      <c r="H128" s="112"/>
      <c r="I128" s="112"/>
      <c r="J128" s="986"/>
      <c r="K128" s="986"/>
      <c r="L128" s="986"/>
      <c r="M128" s="986"/>
      <c r="N128" s="983"/>
      <c r="O128" s="2070"/>
      <c r="P128" s="823"/>
      <c r="Q128" s="79"/>
      <c r="R128" s="2613"/>
      <c r="S128" s="3733"/>
      <c r="T128" s="3734"/>
      <c r="U128" s="3735"/>
      <c r="V128" s="3956" t="str">
        <f>"1."</f>
        <v>1.</v>
      </c>
      <c r="W128" s="3957" t="s">
        <v>3054</v>
      </c>
      <c r="X128" s="3958"/>
      <c r="Y128" s="3958"/>
      <c r="Z128" s="3958"/>
      <c r="AA128" s="3958"/>
      <c r="AB128" s="3959" t="str">
        <f>"1."</f>
        <v>1.</v>
      </c>
      <c r="AC128" s="3638" t="str">
        <f>IF(AC126,"",M51)</f>
        <v/>
      </c>
      <c r="AD128" s="3967"/>
      <c r="AE128" s="3737"/>
    </row>
    <row r="129" spans="2:31" ht="12.75" customHeight="1">
      <c r="B129" s="831"/>
      <c r="C129" s="435"/>
      <c r="D129" s="435"/>
      <c r="E129" s="437"/>
      <c r="F129" s="437"/>
      <c r="G129" s="437"/>
      <c r="H129" s="437"/>
      <c r="I129" s="437"/>
      <c r="J129" s="448"/>
      <c r="K129" s="448"/>
      <c r="L129" s="448"/>
      <c r="M129" s="448"/>
      <c r="N129" s="832"/>
      <c r="P129" s="833"/>
      <c r="Q129" s="833"/>
      <c r="S129" s="3733"/>
      <c r="T129" s="3734"/>
      <c r="U129" s="3735"/>
      <c r="V129" s="3956" t="str">
        <f>"2a."</f>
        <v>2a.</v>
      </c>
      <c r="W129" s="3957" t="s">
        <v>3055</v>
      </c>
      <c r="X129" s="3958"/>
      <c r="Y129" s="3958"/>
      <c r="Z129" s="3958"/>
      <c r="AA129" s="3958"/>
      <c r="AB129" s="3958"/>
      <c r="AC129" s="3958"/>
      <c r="AD129" s="3967"/>
      <c r="AE129" s="3737"/>
    </row>
    <row r="130" spans="2:31" ht="12.75" customHeight="1" thickBot="1">
      <c r="B130" s="831"/>
      <c r="C130" s="435"/>
      <c r="D130" s="435"/>
      <c r="E130" s="437"/>
      <c r="F130" s="437"/>
      <c r="G130" s="437"/>
      <c r="H130" s="437"/>
      <c r="I130" s="437"/>
      <c r="J130" s="448"/>
      <c r="K130" s="448"/>
      <c r="L130" s="448"/>
      <c r="M130" s="448"/>
      <c r="N130" s="832"/>
      <c r="S130" s="3733"/>
      <c r="T130" s="3734"/>
      <c r="U130" s="3735"/>
      <c r="V130" s="3956"/>
      <c r="W130" s="3957" t="s">
        <v>3056</v>
      </c>
      <c r="X130" s="3958"/>
      <c r="Y130" s="3958"/>
      <c r="Z130" s="3959" t="str">
        <f>"2a."</f>
        <v>2a.</v>
      </c>
      <c r="AA130" s="3638">
        <f>IF(AC126,"",SUM('2555'!AE184,-'2555'!AE198))</f>
        <v>0</v>
      </c>
      <c r="AB130" s="3958"/>
      <c r="AC130" s="3958"/>
      <c r="AD130" s="3967"/>
      <c r="AE130" s="3737"/>
    </row>
    <row r="131" spans="2:31" ht="12.75" customHeight="1" thickTop="1" thickBot="1">
      <c r="B131" s="208"/>
      <c r="C131" s="6248" t="s">
        <v>387</v>
      </c>
      <c r="D131" s="6249"/>
      <c r="E131" s="6249"/>
      <c r="F131" s="6249"/>
      <c r="G131" s="6250"/>
      <c r="H131" s="342"/>
      <c r="I131" s="342"/>
      <c r="L131" s="342"/>
      <c r="M131" s="342"/>
      <c r="N131" s="342"/>
      <c r="P131" s="11"/>
      <c r="Q131" s="436"/>
      <c r="S131" s="3733"/>
      <c r="T131" s="3734"/>
      <c r="U131" s="3735"/>
      <c r="V131" s="3956" t="s">
        <v>1054</v>
      </c>
      <c r="W131" s="3957" t="s">
        <v>3057</v>
      </c>
      <c r="X131" s="3958"/>
      <c r="Y131" s="3958"/>
      <c r="Z131" s="3958"/>
      <c r="AA131" s="3958"/>
      <c r="AB131" s="3958"/>
      <c r="AC131" s="3958"/>
      <c r="AD131" s="3967"/>
      <c r="AE131" s="3737"/>
    </row>
    <row r="132" spans="2:31" ht="12.75" customHeight="1" thickTop="1" thickBot="1">
      <c r="B132" s="208"/>
      <c r="C132" s="335"/>
      <c r="D132" s="335"/>
      <c r="E132" s="64"/>
      <c r="F132" s="64"/>
      <c r="G132" s="342"/>
      <c r="H132" s="342"/>
      <c r="I132" s="342"/>
      <c r="L132" s="342"/>
      <c r="M132" s="342"/>
      <c r="N132" s="342"/>
      <c r="P132" s="11"/>
      <c r="Q132" s="436"/>
      <c r="S132" s="3733"/>
      <c r="T132" s="3734"/>
      <c r="U132" s="3735"/>
      <c r="V132" s="3956"/>
      <c r="W132" s="3957" t="s">
        <v>3058</v>
      </c>
      <c r="X132" s="3958"/>
      <c r="Y132" s="3958"/>
      <c r="Z132" s="3959" t="str">
        <f>"2b."</f>
        <v>2b.</v>
      </c>
      <c r="AA132" s="3639"/>
      <c r="AB132" s="3958"/>
      <c r="AC132" s="3958"/>
      <c r="AD132" s="3967"/>
      <c r="AE132" s="3737"/>
    </row>
    <row r="133" spans="2:31" ht="12.75" customHeight="1" thickTop="1" thickBot="1">
      <c r="B133" s="208"/>
      <c r="C133" s="6248" t="s">
        <v>388</v>
      </c>
      <c r="D133" s="6249"/>
      <c r="E133" s="6249"/>
      <c r="F133" s="6249"/>
      <c r="G133" s="6250"/>
      <c r="H133" s="342"/>
      <c r="I133" s="342"/>
      <c r="L133" s="342"/>
      <c r="M133" s="342"/>
      <c r="N133" s="342"/>
      <c r="P133" s="11"/>
      <c r="Q133" s="11"/>
      <c r="S133" s="3733"/>
      <c r="T133" s="3734"/>
      <c r="U133" s="3735"/>
      <c r="V133" s="3956" t="s">
        <v>1051</v>
      </c>
      <c r="W133" s="3957" t="s">
        <v>3059</v>
      </c>
      <c r="X133" s="3958"/>
      <c r="Y133" s="3958"/>
      <c r="Z133" s="3958"/>
      <c r="AA133" s="3958"/>
      <c r="AB133" s="3959" t="str">
        <f>"2c."</f>
        <v>2c.</v>
      </c>
      <c r="AC133" s="3638">
        <f>IF(AC126,"",SUM(AA130,-AA132))</f>
        <v>0</v>
      </c>
      <c r="AD133" s="3967"/>
      <c r="AE133" s="3737"/>
    </row>
    <row r="134" spans="2:31" ht="12.75" customHeight="1" thickTop="1">
      <c r="Q134" s="11"/>
      <c r="S134" s="3733"/>
      <c r="T134" s="3734"/>
      <c r="U134" s="3735"/>
      <c r="V134" s="3956" t="str">
        <f>"3."</f>
        <v>3.</v>
      </c>
      <c r="W134" s="3957" t="s">
        <v>3060</v>
      </c>
      <c r="X134" s="3958"/>
      <c r="Y134" s="3958"/>
      <c r="Z134" s="3958"/>
      <c r="AA134" s="3958"/>
      <c r="AB134" s="3959" t="str">
        <f>"3."</f>
        <v>3.</v>
      </c>
      <c r="AC134" s="3638">
        <f>IF(AC126,"",SUM(AC128,AC133))</f>
        <v>0</v>
      </c>
      <c r="AD134" s="3967"/>
      <c r="AE134" s="3737"/>
    </row>
    <row r="135" spans="2:31" ht="14.25" customHeight="1">
      <c r="F135" s="3837"/>
      <c r="G135" s="3837"/>
      <c r="H135" s="3837"/>
      <c r="I135" s="3837"/>
      <c r="J135" s="3837"/>
      <c r="K135" s="3837"/>
      <c r="L135" s="3837"/>
      <c r="M135" s="3837"/>
      <c r="N135" s="3837"/>
      <c r="Q135" s="11"/>
      <c r="S135" s="3733"/>
      <c r="T135" s="3734"/>
      <c r="U135" s="3735"/>
      <c r="V135" s="3956" t="str">
        <f>"4."</f>
        <v>4.</v>
      </c>
      <c r="W135" s="3960" t="s">
        <v>3061</v>
      </c>
      <c r="X135" s="3958"/>
      <c r="Y135" s="3958"/>
      <c r="Z135" s="3958"/>
      <c r="AA135" s="3958"/>
      <c r="AB135" s="3958"/>
      <c r="AC135" s="3971"/>
      <c r="AD135" s="3967"/>
      <c r="AE135" s="3737"/>
    </row>
    <row r="136" spans="2:31">
      <c r="F136" s="3837"/>
      <c r="G136" s="3837"/>
      <c r="H136" s="3837"/>
      <c r="I136" s="3837"/>
      <c r="J136" s="3837"/>
      <c r="K136" s="3837"/>
      <c r="L136" s="3837"/>
      <c r="M136" s="3837"/>
      <c r="N136" s="3837"/>
      <c r="S136" s="3733"/>
      <c r="T136" s="3734"/>
      <c r="U136" s="3735"/>
      <c r="V136" s="3989" t="s">
        <v>549</v>
      </c>
      <c r="W136" s="3958" t="s">
        <v>3069</v>
      </c>
      <c r="X136" s="3958"/>
      <c r="Y136" s="3958"/>
      <c r="Z136" s="3958"/>
      <c r="AA136" s="3958"/>
      <c r="AB136" s="3958"/>
      <c r="AC136" s="3971" t="b">
        <f>AND(SchD_NotReqd,'1040'!O94&gt;0)</f>
        <v>0</v>
      </c>
      <c r="AD136" s="3967"/>
      <c r="AE136" s="3737"/>
    </row>
    <row r="137" spans="2:31">
      <c r="F137" s="3837"/>
      <c r="G137" s="3837"/>
      <c r="H137" s="3837"/>
      <c r="I137" s="3837"/>
      <c r="J137" s="3837"/>
      <c r="K137" s="3837"/>
      <c r="L137" s="3837"/>
      <c r="M137" s="3837"/>
      <c r="N137" s="3837"/>
      <c r="S137" s="3733"/>
      <c r="T137" s="3734"/>
      <c r="U137" s="3735"/>
      <c r="V137" s="3956"/>
      <c r="W137" s="3973" t="s">
        <v>3070</v>
      </c>
      <c r="X137" s="3958"/>
      <c r="Y137" s="3958"/>
      <c r="Z137" s="3958"/>
      <c r="AA137" s="3958"/>
      <c r="AB137" s="3958"/>
      <c r="AC137" s="3971" t="b">
        <f>Qualified_Dividends&gt;0</f>
        <v>0</v>
      </c>
      <c r="AD137" s="3967"/>
      <c r="AE137" s="3737"/>
    </row>
    <row r="138" spans="2:31">
      <c r="F138" s="3837"/>
      <c r="G138" s="3837"/>
      <c r="H138" s="3837"/>
      <c r="I138" s="3837"/>
      <c r="J138" s="3837"/>
      <c r="K138" s="3837"/>
      <c r="L138" s="3837"/>
      <c r="M138" s="3837"/>
      <c r="N138" s="3837"/>
      <c r="S138" s="3733"/>
      <c r="T138" s="3734"/>
      <c r="U138" s="3735"/>
      <c r="V138" s="3956"/>
      <c r="W138" s="3973" t="s">
        <v>3062</v>
      </c>
      <c r="X138" s="3958"/>
      <c r="Y138" s="3958"/>
      <c r="Z138" s="3958"/>
      <c r="AA138" s="3958"/>
      <c r="AB138" s="3958"/>
      <c r="AC138" s="3971" t="b">
        <f>AND(SchDLine15&gt;0,SchDLine16&gt;0)</f>
        <v>0</v>
      </c>
      <c r="AD138" s="3967"/>
      <c r="AE138" s="3737"/>
    </row>
    <row r="139" spans="2:31" ht="18">
      <c r="F139" s="3837"/>
      <c r="G139" s="3837"/>
      <c r="H139" s="3837"/>
      <c r="I139" s="3837"/>
      <c r="J139" s="3837"/>
      <c r="K139" s="3837"/>
      <c r="L139" s="3837"/>
      <c r="M139" s="3837"/>
      <c r="N139" s="3837"/>
      <c r="S139" s="3738"/>
      <c r="T139" s="3738"/>
      <c r="U139" s="3738"/>
      <c r="V139" s="3956"/>
      <c r="W139" s="3973" t="s">
        <v>3063</v>
      </c>
      <c r="X139" s="3958"/>
      <c r="Y139" s="3958"/>
      <c r="Z139" s="3958"/>
      <c r="AA139" s="3958"/>
      <c r="AB139" s="3958"/>
      <c r="AC139" s="3971" t="b">
        <f>OR(AC136,AC137,AC138)</f>
        <v>0</v>
      </c>
      <c r="AD139" s="3967"/>
      <c r="AE139" s="3738"/>
    </row>
    <row r="140" spans="2:31" ht="14.25">
      <c r="F140" s="3837"/>
      <c r="G140" s="3837"/>
      <c r="H140" s="3837"/>
      <c r="I140" s="3837"/>
      <c r="J140" s="3837"/>
      <c r="K140" s="3837"/>
      <c r="L140" s="3837"/>
      <c r="M140" s="3837"/>
      <c r="N140" s="3837"/>
      <c r="S140" s="337"/>
      <c r="T140" s="846"/>
      <c r="U140" s="338"/>
      <c r="V140" s="3956"/>
      <c r="W140" s="3973" t="s">
        <v>3064</v>
      </c>
      <c r="X140" s="3958"/>
      <c r="Y140" s="3958"/>
      <c r="Z140" s="3958"/>
      <c r="AA140" s="3958"/>
      <c r="AB140" s="3959" t="str">
        <f>"4."</f>
        <v>4.</v>
      </c>
      <c r="AC140" s="3638">
        <f>IF(AC126,"",IF(AC139,M126,IF(File_Marr_Sep,AE141,AE140)))</f>
        <v>0</v>
      </c>
      <c r="AD140" s="3967"/>
      <c r="AE140" s="3889">
        <f>IF(AC126,"---",IF(AC134&lt;=R61,ROUND((AC134*R67),0),SUM(ROUND((AC134*R69),0),-R64)))</f>
        <v>0</v>
      </c>
    </row>
    <row r="141" spans="2:31">
      <c r="F141" s="3837"/>
      <c r="G141" s="3837"/>
      <c r="H141" s="3837"/>
      <c r="I141" s="3837"/>
      <c r="J141" s="3837"/>
      <c r="K141" s="3837"/>
      <c r="L141" s="3837"/>
      <c r="M141" s="3837"/>
      <c r="N141" s="3837"/>
      <c r="S141" s="305"/>
      <c r="T141" s="847"/>
      <c r="U141" s="338"/>
      <c r="V141" s="3956"/>
      <c r="W141" s="3973" t="s">
        <v>3065</v>
      </c>
      <c r="X141" s="3958"/>
      <c r="Y141" s="3958"/>
      <c r="Z141" s="3958"/>
      <c r="AA141" s="3958"/>
      <c r="AB141" s="3958"/>
      <c r="AC141" s="3968"/>
      <c r="AD141" s="3967"/>
      <c r="AE141" s="3889">
        <f>IF(AC126,"---",IF(AC134&lt;=R62,ROUND((AC134*R67),0),SUM(ROUND((AC134*R69),0),-R65)))</f>
        <v>0</v>
      </c>
    </row>
    <row r="142" spans="2:31">
      <c r="F142" s="3837"/>
      <c r="G142" s="3837"/>
      <c r="H142" s="3837"/>
      <c r="I142" s="3837"/>
      <c r="J142" s="3837"/>
      <c r="K142" s="3837"/>
      <c r="L142" s="3837"/>
      <c r="M142" s="3837"/>
      <c r="N142" s="3837"/>
      <c r="S142" s="305"/>
      <c r="T142" s="1279"/>
      <c r="U142" s="1451"/>
      <c r="V142" s="3989" t="s">
        <v>549</v>
      </c>
      <c r="W142" s="3958" t="str">
        <f>"All others: If line 3 is "&amp;TEXT(R61,"$0,000")&amp;" or less ("&amp;TEXT(R62,"$0,000")&amp;" or less if married filing separately), multiply line 3 by"</f>
        <v>All others: If line 3 is $186,300 or less ($93,150 or less if married filing separately), multiply line 3 by</v>
      </c>
      <c r="X142" s="3958"/>
      <c r="Y142" s="3958"/>
      <c r="Z142" s="3958"/>
      <c r="AA142" s="3958"/>
      <c r="AB142" s="3958"/>
      <c r="AC142" s="3968"/>
      <c r="AD142" s="3967"/>
      <c r="AE142" s="844"/>
    </row>
    <row r="143" spans="2:31" ht="14.25">
      <c r="F143" s="3837"/>
      <c r="G143" s="3837"/>
      <c r="H143" s="3837"/>
      <c r="I143" s="3837"/>
      <c r="J143" s="3837"/>
      <c r="K143" s="3837"/>
      <c r="L143" s="3837"/>
      <c r="M143" s="3837"/>
      <c r="N143" s="3837"/>
      <c r="S143" s="338"/>
      <c r="T143" s="337"/>
      <c r="U143" s="1452"/>
      <c r="V143" s="3956"/>
      <c r="W143" s="3973" t="str">
        <f>TEXT(R67,"0%")&amp;" ("&amp;TEXT(R67,"0.00")&amp;"). Otherwise, multiply line 3 by "&amp;TEXT(R69,"0%")&amp;" ("&amp;TEXT(R69,"0.00")&amp;") and subtract "&amp;TEXT(R64,"$0,000")&amp;" ("&amp;TEXT(R65,"$0,000")&amp;" if married filing"</f>
        <v>26% (0.26). Otherwise, multiply line 3 by 28% (0.28) and subtract $3,726 ($1,863 if married filing</v>
      </c>
      <c r="X143" s="3958"/>
      <c r="Y143" s="3958"/>
      <c r="Z143" s="3958"/>
      <c r="AA143" s="3958"/>
      <c r="AB143" s="3958"/>
      <c r="AC143" s="3969"/>
      <c r="AD143" s="3967"/>
      <c r="AE143" s="844"/>
    </row>
    <row r="144" spans="2:31" ht="14.25">
      <c r="F144" s="3837"/>
      <c r="G144" s="3837"/>
      <c r="H144" s="3837"/>
      <c r="I144" s="3837"/>
      <c r="J144" s="3837"/>
      <c r="K144" s="3837"/>
      <c r="L144" s="3837"/>
      <c r="M144" s="3837"/>
      <c r="N144" s="3837"/>
      <c r="S144" s="338"/>
      <c r="T144" s="337"/>
      <c r="U144" s="1452"/>
      <c r="V144" s="3956"/>
      <c r="W144" s="3973" t="s">
        <v>3066</v>
      </c>
      <c r="X144" s="3958"/>
      <c r="Y144" s="3958"/>
      <c r="Z144" s="3958"/>
      <c r="AA144" s="3958"/>
      <c r="AB144" s="3958"/>
      <c r="AC144" s="3969"/>
      <c r="AD144" s="3967"/>
      <c r="AE144" s="844"/>
    </row>
    <row r="145" spans="6:35">
      <c r="F145" s="3837"/>
      <c r="G145" s="3837"/>
      <c r="H145" s="3837"/>
      <c r="I145" s="3837"/>
      <c r="J145" s="3837"/>
      <c r="K145" s="3837"/>
      <c r="L145" s="3837"/>
      <c r="M145" s="3837"/>
      <c r="N145" s="3837"/>
      <c r="S145" s="305"/>
      <c r="T145" s="305"/>
      <c r="U145" s="338"/>
      <c r="V145" s="3956" t="str">
        <f>"5."</f>
        <v>5.</v>
      </c>
      <c r="W145" s="3973" t="str">
        <f>"Tax on the amount on line 2c. If line 2c is "&amp;TEXT(R61,"$0,000")&amp;" or less ("&amp;TEXT(R62,"$0,000")&amp;" or less if married filing separately),"</f>
        <v>Tax on the amount on line 2c. If line 2c is $186,300 or less ($93,150 or less if married filing separately),</v>
      </c>
      <c r="X145" s="3958"/>
      <c r="Y145" s="3958"/>
      <c r="Z145" s="3958"/>
      <c r="AA145" s="3958"/>
      <c r="AB145" s="3958"/>
      <c r="AC145" s="3968"/>
      <c r="AD145" s="3967"/>
      <c r="AE145" s="844"/>
    </row>
    <row r="146" spans="6:35">
      <c r="F146" s="3837"/>
      <c r="G146" s="3837"/>
      <c r="H146" s="3837"/>
      <c r="I146" s="3837"/>
      <c r="J146" s="3837"/>
      <c r="K146" s="3837"/>
      <c r="L146" s="3837"/>
      <c r="M146" s="3837"/>
      <c r="N146" s="3837"/>
      <c r="S146" s="305"/>
      <c r="T146" s="305"/>
      <c r="U146" s="338"/>
      <c r="V146" s="3956"/>
      <c r="W146" s="3973" t="str">
        <f>"multiply line 2c by "&amp;TEXT(R67,"0%")&amp;" ("&amp;TEXT(R67,"0.00")&amp;"). Otherwise, multiply line 2c by "&amp;TEXT(R69,"0%")&amp;" ("&amp;TEXT(R69,"0.00")&amp;") and subtract "&amp;TEXT(R64,"$0,000")&amp;" ("&amp;TEXT(R65,"$0,000")&amp;" if"</f>
        <v>multiply line 2c by 26% (0.26). Otherwise, multiply line 2c by 28% (0.28) and subtract $3,726 ($1,863 if</v>
      </c>
      <c r="X146" s="3958"/>
      <c r="Y146" s="3958"/>
      <c r="Z146" s="3958"/>
      <c r="AA146" s="3958"/>
      <c r="AB146" s="3958"/>
      <c r="AC146" s="3968"/>
      <c r="AD146" s="3967"/>
      <c r="AE146" s="844"/>
    </row>
    <row r="147" spans="6:35">
      <c r="F147" s="3837"/>
      <c r="G147" s="3837"/>
      <c r="H147" s="3837"/>
      <c r="I147" s="3837"/>
      <c r="J147" s="3837"/>
      <c r="K147" s="3837"/>
      <c r="L147" s="3837"/>
      <c r="M147" s="3837"/>
      <c r="N147" s="3837"/>
      <c r="S147" s="305"/>
      <c r="T147" s="305"/>
      <c r="U147" s="338"/>
      <c r="V147" s="3956"/>
      <c r="W147" s="3973" t="s">
        <v>3067</v>
      </c>
      <c r="X147" s="3958"/>
      <c r="Y147" s="3958"/>
      <c r="Z147" s="3958"/>
      <c r="AA147" s="3909" t="s">
        <v>688</v>
      </c>
      <c r="AB147" s="3959" t="str">
        <f>"5."</f>
        <v>5.</v>
      </c>
      <c r="AC147" s="3638">
        <f>IF(OR(AC126,AC139),0,IF(File_Marr_Sep,AE148,AE147))</f>
        <v>0</v>
      </c>
      <c r="AD147" s="3967"/>
      <c r="AE147" s="3889">
        <f>IF(AC126,"---",IF(AC133&lt;=R61,ROUND((AC133*R67),0),SUM(ROUND((AC133*R69),0),-R64)))</f>
        <v>0</v>
      </c>
    </row>
    <row r="148" spans="6:35">
      <c r="F148" s="3837"/>
      <c r="G148" s="3837"/>
      <c r="H148" s="3837"/>
      <c r="I148" s="3837"/>
      <c r="J148" s="3837"/>
      <c r="K148" s="3837"/>
      <c r="L148" s="3837"/>
      <c r="M148" s="3837"/>
      <c r="N148" s="3837"/>
      <c r="S148" s="305"/>
      <c r="T148" s="338"/>
      <c r="U148" s="338"/>
      <c r="V148" s="3956" t="str">
        <f>"6."</f>
        <v>6.</v>
      </c>
      <c r="W148" s="3973" t="s">
        <v>3068</v>
      </c>
      <c r="X148" s="3958"/>
      <c r="Y148" s="3958"/>
      <c r="Z148" s="3958"/>
      <c r="AA148" s="3958"/>
      <c r="AB148" s="3959" t="str">
        <f>"6."</f>
        <v>6.</v>
      </c>
      <c r="AC148" s="3638">
        <f>IF(AND(Form2555_Used,AC139),"",SUM(AC140,-AC147))</f>
        <v>0</v>
      </c>
      <c r="AD148" s="3967"/>
      <c r="AE148" s="3889">
        <f>IF(AC126,"---",IF(AC133&lt;=R62,ROUND((AC133*R67),0),SUM(ROUND((AC133*R69),0),-R65)))</f>
        <v>0</v>
      </c>
    </row>
    <row r="149" spans="6:35" ht="13.5" thickBot="1">
      <c r="F149" s="3837"/>
      <c r="G149" s="3837"/>
      <c r="H149" s="3837"/>
      <c r="I149" s="3837"/>
      <c r="J149" s="3837"/>
      <c r="K149" s="3837"/>
      <c r="L149" s="3837"/>
      <c r="M149" s="3837"/>
      <c r="N149" s="3837"/>
      <c r="S149" s="305"/>
      <c r="T149" s="305"/>
      <c r="U149" s="338"/>
      <c r="V149" s="3961"/>
      <c r="W149" s="3962"/>
      <c r="X149" s="3963"/>
      <c r="Y149" s="3963"/>
      <c r="Z149" s="3963"/>
      <c r="AA149" s="3963"/>
      <c r="AB149" s="3963"/>
      <c r="AC149" s="3963"/>
      <c r="AD149" s="3970"/>
    </row>
    <row r="150" spans="6:35">
      <c r="F150" s="3837"/>
      <c r="G150" s="3837"/>
      <c r="H150" s="3837"/>
      <c r="I150" s="3837"/>
      <c r="J150" s="3837"/>
      <c r="K150" s="3837"/>
      <c r="L150" s="3837"/>
      <c r="M150" s="3837"/>
      <c r="N150" s="3837"/>
      <c r="S150" s="305"/>
      <c r="T150" s="305"/>
      <c r="U150" s="338"/>
      <c r="V150" s="3111"/>
      <c r="W150" s="3736"/>
      <c r="X150" s="3736"/>
      <c r="Y150" s="3736"/>
      <c r="Z150" s="3736"/>
      <c r="AA150" s="3736"/>
      <c r="AB150" s="3736"/>
      <c r="AC150" s="3736"/>
      <c r="AD150" s="3736"/>
    </row>
    <row r="151" spans="6:35" ht="18">
      <c r="F151" s="3837"/>
      <c r="G151" s="3837"/>
      <c r="H151" s="3837"/>
      <c r="I151" s="3837"/>
      <c r="J151" s="3837"/>
      <c r="K151" s="3837"/>
      <c r="L151" s="3837"/>
      <c r="M151" s="3837"/>
      <c r="N151" s="3837"/>
      <c r="S151" s="3888"/>
      <c r="T151" s="3888"/>
      <c r="U151" s="338"/>
      <c r="V151" s="3738"/>
      <c r="W151" s="3738"/>
      <c r="X151" s="3738"/>
      <c r="Y151" s="3738"/>
      <c r="Z151" s="3738"/>
      <c r="AA151" s="3738"/>
      <c r="AB151" s="3738"/>
      <c r="AC151" s="3738"/>
      <c r="AD151" s="3738"/>
      <c r="AE151" s="3837"/>
      <c r="AF151" s="901"/>
      <c r="AG151" s="3976"/>
    </row>
    <row r="152" spans="6:35" ht="18">
      <c r="F152" s="3837"/>
      <c r="G152" s="3837"/>
      <c r="H152" s="3837"/>
      <c r="I152" s="3837"/>
      <c r="J152" s="3837"/>
      <c r="K152" s="3837"/>
      <c r="L152" s="3837"/>
      <c r="M152" s="3837"/>
      <c r="N152" s="3837"/>
      <c r="S152" s="3888"/>
      <c r="T152" s="3888"/>
      <c r="U152" s="338"/>
      <c r="V152" s="3738"/>
      <c r="W152" s="3738"/>
      <c r="X152" s="3738"/>
      <c r="Y152" s="3738"/>
      <c r="Z152" s="3738"/>
      <c r="AA152" s="3738"/>
      <c r="AB152" s="3738"/>
      <c r="AC152" s="3738"/>
      <c r="AD152" s="3738"/>
      <c r="AE152" s="3837"/>
      <c r="AF152" s="901"/>
      <c r="AG152" s="3976"/>
      <c r="AH152" s="3837"/>
      <c r="AI152" s="3837"/>
    </row>
    <row r="153" spans="6:35" ht="18">
      <c r="F153" s="3837"/>
      <c r="G153" s="3837"/>
      <c r="H153" s="3837"/>
      <c r="I153" s="3837"/>
      <c r="J153" s="3837"/>
      <c r="K153" s="3837"/>
      <c r="L153" s="3837"/>
      <c r="M153" s="3837"/>
      <c r="N153" s="3837"/>
      <c r="S153" s="3888"/>
      <c r="T153" s="3888"/>
      <c r="U153" s="338"/>
      <c r="V153" s="3738"/>
      <c r="W153" s="3738"/>
      <c r="X153" s="3738"/>
      <c r="Y153" s="3738"/>
      <c r="Z153" s="3738"/>
      <c r="AA153" s="3738"/>
      <c r="AB153" s="3738"/>
      <c r="AC153" s="3738"/>
      <c r="AD153" s="3738"/>
      <c r="AE153" s="3837"/>
      <c r="AF153" s="901"/>
      <c r="AG153" s="3976"/>
      <c r="AH153" s="3837"/>
      <c r="AI153" s="3837"/>
    </row>
    <row r="154" spans="6:35" ht="18">
      <c r="F154" s="3837"/>
      <c r="G154" s="3837"/>
      <c r="H154" s="3837"/>
      <c r="I154" s="3837"/>
      <c r="J154" s="3837"/>
      <c r="K154" s="3837"/>
      <c r="L154" s="3837"/>
      <c r="M154" s="3837"/>
      <c r="N154" s="3837"/>
      <c r="S154" s="3888"/>
      <c r="T154" s="3888"/>
      <c r="U154" s="338"/>
      <c r="V154" s="3738"/>
      <c r="W154" s="3738"/>
      <c r="X154" s="3738"/>
      <c r="Y154" s="3738"/>
      <c r="Z154" s="3738"/>
      <c r="AA154" s="3738"/>
      <c r="AB154" s="3738"/>
      <c r="AC154" s="3738"/>
      <c r="AD154" s="3738"/>
      <c r="AE154" s="3837"/>
      <c r="AF154" s="901"/>
      <c r="AG154" s="3976"/>
      <c r="AH154" s="3837"/>
      <c r="AI154" s="3837"/>
    </row>
    <row r="155" spans="6:35" ht="18">
      <c r="F155" s="3837"/>
      <c r="G155" s="3837"/>
      <c r="H155" s="3837"/>
      <c r="I155" s="3837"/>
      <c r="J155" s="3837"/>
      <c r="K155" s="3837"/>
      <c r="L155" s="3837"/>
      <c r="M155" s="3837"/>
      <c r="N155" s="3837"/>
      <c r="S155" s="3888"/>
      <c r="T155" s="3888"/>
      <c r="U155" s="338"/>
      <c r="V155" s="3738"/>
      <c r="W155" s="3738"/>
      <c r="X155" s="3738"/>
      <c r="Y155" s="3738"/>
      <c r="Z155" s="3738"/>
      <c r="AA155" s="3738"/>
      <c r="AB155" s="3738"/>
      <c r="AC155" s="3738"/>
      <c r="AD155" s="3738"/>
      <c r="AE155" s="3837"/>
      <c r="AF155" s="901"/>
      <c r="AG155" s="3976"/>
      <c r="AH155" s="3837"/>
      <c r="AI155" s="3837"/>
    </row>
    <row r="156" spans="6:35" ht="18">
      <c r="F156" s="3837"/>
      <c r="G156" s="3837"/>
      <c r="H156" s="3837"/>
      <c r="I156" s="3837"/>
      <c r="J156" s="3837"/>
      <c r="K156" s="3837"/>
      <c r="L156" s="3837"/>
      <c r="M156" s="3837"/>
      <c r="N156" s="3837"/>
      <c r="S156" s="3888"/>
      <c r="T156" s="3888"/>
      <c r="U156" s="338"/>
      <c r="V156" s="3738"/>
      <c r="W156" s="3738"/>
      <c r="X156" s="3738"/>
      <c r="Y156" s="3738"/>
      <c r="Z156" s="3738"/>
      <c r="AA156" s="3738"/>
      <c r="AB156" s="3738"/>
      <c r="AC156" s="3738"/>
      <c r="AD156" s="3738"/>
      <c r="AE156" s="3837"/>
      <c r="AF156" s="901"/>
      <c r="AG156" s="3976"/>
      <c r="AH156" s="3837"/>
      <c r="AI156" s="3837"/>
    </row>
    <row r="157" spans="6:35" ht="18">
      <c r="F157" s="3837"/>
      <c r="G157" s="3837"/>
      <c r="H157" s="3837"/>
      <c r="I157" s="3837"/>
      <c r="J157" s="3837"/>
      <c r="K157" s="3837"/>
      <c r="L157" s="3837"/>
      <c r="M157" s="3837"/>
      <c r="N157" s="3837"/>
      <c r="S157" s="3888"/>
      <c r="T157" s="3888"/>
      <c r="U157" s="338"/>
      <c r="V157" s="3738"/>
      <c r="W157" s="3738"/>
      <c r="X157" s="3738"/>
      <c r="Y157" s="3738"/>
      <c r="Z157" s="3738"/>
      <c r="AA157" s="3738"/>
      <c r="AB157" s="3738"/>
      <c r="AC157" s="3738"/>
      <c r="AD157" s="3738"/>
      <c r="AE157" s="3837"/>
      <c r="AF157" s="901"/>
      <c r="AG157" s="3976"/>
      <c r="AH157" s="3837"/>
      <c r="AI157" s="3837"/>
    </row>
    <row r="158" spans="6:35" ht="18">
      <c r="F158" s="3837"/>
      <c r="G158" s="3837"/>
      <c r="H158" s="3837"/>
      <c r="I158" s="3837"/>
      <c r="J158" s="3837"/>
      <c r="K158" s="3837"/>
      <c r="L158" s="3837"/>
      <c r="M158" s="3837"/>
      <c r="N158" s="3837"/>
      <c r="S158" s="3888"/>
      <c r="T158" s="3888"/>
      <c r="U158" s="338"/>
      <c r="V158" s="3738"/>
      <c r="W158" s="3738"/>
      <c r="X158" s="3738"/>
      <c r="Y158" s="3738"/>
      <c r="Z158" s="3738"/>
      <c r="AA158" s="3738"/>
      <c r="AB158" s="3738"/>
      <c r="AC158" s="3738"/>
      <c r="AD158" s="3738"/>
      <c r="AE158" s="3837"/>
      <c r="AF158" s="901"/>
      <c r="AG158" s="3976"/>
      <c r="AH158" s="3837"/>
      <c r="AI158" s="3837"/>
    </row>
    <row r="159" spans="6:35" ht="18">
      <c r="F159" s="3837"/>
      <c r="G159" s="3837"/>
      <c r="H159" s="3837"/>
      <c r="I159" s="3837"/>
      <c r="J159" s="3837"/>
      <c r="K159" s="3837"/>
      <c r="L159" s="3837"/>
      <c r="M159" s="3837"/>
      <c r="N159" s="3837"/>
      <c r="S159" s="3888"/>
      <c r="T159" s="3888"/>
      <c r="U159" s="338"/>
      <c r="V159" s="3738"/>
      <c r="W159" s="3738"/>
      <c r="X159" s="3738"/>
      <c r="Y159" s="3738"/>
      <c r="Z159" s="3738"/>
      <c r="AA159" s="3738"/>
      <c r="AB159" s="3738"/>
      <c r="AC159" s="3738"/>
      <c r="AD159" s="3738"/>
      <c r="AE159" s="3837"/>
      <c r="AF159" s="901"/>
      <c r="AG159" s="3976"/>
      <c r="AH159" s="3837"/>
      <c r="AI159" s="3837"/>
    </row>
    <row r="160" spans="6:35" ht="18">
      <c r="F160" s="3837"/>
      <c r="G160" s="3837"/>
      <c r="H160" s="3837"/>
      <c r="I160" s="3837"/>
      <c r="J160" s="3837"/>
      <c r="K160" s="3837"/>
      <c r="L160" s="3837"/>
      <c r="M160" s="3837"/>
      <c r="N160" s="3837"/>
      <c r="S160" s="3888"/>
      <c r="T160" s="3888"/>
      <c r="U160" s="338"/>
      <c r="V160" s="3738"/>
      <c r="W160" s="3738"/>
      <c r="X160" s="3738"/>
      <c r="Y160" s="3738"/>
      <c r="Z160" s="3738"/>
      <c r="AA160" s="3738"/>
      <c r="AB160" s="3738"/>
      <c r="AC160" s="3738"/>
      <c r="AD160" s="3738"/>
      <c r="AE160" s="3837"/>
      <c r="AF160" s="901"/>
      <c r="AG160" s="3976"/>
      <c r="AH160" s="3837"/>
      <c r="AI160" s="3837"/>
    </row>
    <row r="161" spans="6:35" ht="18">
      <c r="F161" s="3837"/>
      <c r="G161" s="3837"/>
      <c r="H161" s="3837"/>
      <c r="I161" s="3837"/>
      <c r="J161" s="3837"/>
      <c r="K161" s="3837"/>
      <c r="L161" s="3837"/>
      <c r="M161" s="3837"/>
      <c r="N161" s="3837"/>
      <c r="S161" s="3888"/>
      <c r="T161" s="3888"/>
      <c r="U161" s="338"/>
      <c r="V161" s="3738"/>
      <c r="W161" s="3738"/>
      <c r="X161" s="3738"/>
      <c r="Y161" s="3738"/>
      <c r="Z161" s="3738"/>
      <c r="AA161" s="3738"/>
      <c r="AB161" s="3738"/>
      <c r="AC161" s="3738"/>
      <c r="AD161" s="3738"/>
      <c r="AE161" s="3837"/>
      <c r="AF161" s="901"/>
      <c r="AG161" s="3976"/>
      <c r="AH161" s="3837"/>
      <c r="AI161" s="3837"/>
    </row>
    <row r="162" spans="6:35" ht="18">
      <c r="F162" s="3837"/>
      <c r="G162" s="3837"/>
      <c r="H162" s="3837"/>
      <c r="I162" s="3837"/>
      <c r="J162" s="3837"/>
      <c r="K162" s="3837"/>
      <c r="L162" s="3837"/>
      <c r="M162" s="3837"/>
      <c r="N162" s="3837"/>
      <c r="S162" s="3888"/>
      <c r="T162" s="3888"/>
      <c r="U162" s="338"/>
      <c r="V162" s="3738"/>
      <c r="W162" s="3738"/>
      <c r="X162" s="3738"/>
      <c r="Y162" s="3738"/>
      <c r="Z162" s="3738"/>
      <c r="AA162" s="3738"/>
      <c r="AB162" s="3738"/>
      <c r="AC162" s="3738"/>
      <c r="AD162" s="3738"/>
      <c r="AE162" s="3837"/>
      <c r="AF162" s="901"/>
      <c r="AG162" s="3976"/>
      <c r="AH162" s="3837"/>
      <c r="AI162" s="3837"/>
    </row>
    <row r="163" spans="6:35" ht="18">
      <c r="F163" s="3837"/>
      <c r="G163" s="3837"/>
      <c r="H163" s="3837"/>
      <c r="I163" s="3837"/>
      <c r="J163" s="3837"/>
      <c r="K163" s="3837"/>
      <c r="L163" s="3837"/>
      <c r="M163" s="3837"/>
      <c r="N163" s="3837"/>
      <c r="S163" s="3888"/>
      <c r="T163" s="3888"/>
      <c r="U163" s="338"/>
      <c r="V163" s="3738"/>
      <c r="W163" s="3738"/>
      <c r="X163" s="3738"/>
      <c r="Y163" s="3738"/>
      <c r="Z163" s="3738"/>
      <c r="AA163" s="3738"/>
      <c r="AB163" s="3738"/>
      <c r="AC163" s="3738"/>
      <c r="AD163" s="3738"/>
      <c r="AE163" s="3837"/>
      <c r="AF163" s="901"/>
      <c r="AG163" s="3976"/>
      <c r="AH163" s="3837"/>
      <c r="AI163" s="3837"/>
    </row>
    <row r="164" spans="6:35" ht="18">
      <c r="F164" s="3837"/>
      <c r="G164" s="3837"/>
      <c r="H164" s="3837"/>
      <c r="I164" s="3837"/>
      <c r="J164" s="3837"/>
      <c r="K164" s="3837"/>
      <c r="L164" s="3837"/>
      <c r="M164" s="3837"/>
      <c r="N164" s="3837"/>
      <c r="S164" s="3888"/>
      <c r="T164" s="3888"/>
      <c r="U164" s="338"/>
      <c r="V164" s="3738"/>
      <c r="W164" s="3738"/>
      <c r="X164" s="3738"/>
      <c r="Y164" s="3738"/>
      <c r="Z164" s="3738"/>
      <c r="AA164" s="3738"/>
      <c r="AB164" s="3738"/>
      <c r="AC164" s="3738"/>
      <c r="AD164" s="3738"/>
      <c r="AE164" s="3837"/>
      <c r="AF164" s="901"/>
      <c r="AG164" s="3976"/>
      <c r="AH164" s="3837"/>
      <c r="AI164" s="3837"/>
    </row>
    <row r="165" spans="6:35" ht="18">
      <c r="F165" s="3837"/>
      <c r="G165" s="3837"/>
      <c r="H165" s="3837"/>
      <c r="I165" s="3837"/>
      <c r="J165" s="3837"/>
      <c r="K165" s="3837"/>
      <c r="L165" s="3837"/>
      <c r="M165" s="3837"/>
      <c r="N165" s="3837"/>
      <c r="S165" s="3888"/>
      <c r="T165" s="3888"/>
      <c r="U165" s="338"/>
      <c r="V165" s="3738"/>
      <c r="W165" s="3738"/>
      <c r="X165" s="3738"/>
      <c r="Y165" s="3738"/>
      <c r="Z165" s="3738"/>
      <c r="AA165" s="3738"/>
      <c r="AB165" s="3738"/>
      <c r="AC165" s="3738"/>
      <c r="AD165" s="3738"/>
      <c r="AE165" s="3837"/>
      <c r="AF165" s="901"/>
      <c r="AG165" s="3976"/>
      <c r="AH165" s="3837"/>
      <c r="AI165" s="3837"/>
    </row>
    <row r="166" spans="6:35" ht="18">
      <c r="F166" s="3837"/>
      <c r="G166" s="3837"/>
      <c r="H166" s="3837"/>
      <c r="I166" s="3837"/>
      <c r="J166" s="3837"/>
      <c r="K166" s="3837"/>
      <c r="L166" s="3837"/>
      <c r="M166" s="3837"/>
      <c r="N166" s="3837"/>
      <c r="S166" s="3888"/>
      <c r="T166" s="3888"/>
      <c r="U166" s="338"/>
      <c r="V166" s="3738"/>
      <c r="W166" s="3738"/>
      <c r="X166" s="3738"/>
      <c r="Y166" s="3738"/>
      <c r="Z166" s="3738"/>
      <c r="AA166" s="3738"/>
      <c r="AB166" s="3738"/>
      <c r="AC166" s="3738"/>
      <c r="AD166" s="3738"/>
      <c r="AE166" s="3837"/>
      <c r="AF166" s="901"/>
      <c r="AG166" s="3976"/>
      <c r="AH166" s="3837"/>
      <c r="AI166" s="3837"/>
    </row>
    <row r="167" spans="6:35" ht="18">
      <c r="F167" s="3837"/>
      <c r="G167" s="3837"/>
      <c r="H167" s="3837"/>
      <c r="I167" s="3837"/>
      <c r="J167" s="3837"/>
      <c r="K167" s="3837"/>
      <c r="L167" s="3837"/>
      <c r="M167" s="3837"/>
      <c r="N167" s="3837"/>
      <c r="S167" s="3888"/>
      <c r="T167" s="3888"/>
      <c r="U167" s="338"/>
      <c r="V167" s="3738"/>
      <c r="W167" s="3738"/>
      <c r="X167" s="3738"/>
      <c r="Y167" s="3738"/>
      <c r="Z167" s="3738"/>
      <c r="AA167" s="3738"/>
      <c r="AB167" s="3738"/>
      <c r="AC167" s="3738"/>
      <c r="AD167" s="3738"/>
      <c r="AE167" s="3837"/>
      <c r="AF167" s="901"/>
      <c r="AG167" s="3976"/>
      <c r="AH167" s="3837"/>
      <c r="AI167" s="3837"/>
    </row>
    <row r="168" spans="6:35" ht="18">
      <c r="F168" s="3837"/>
      <c r="G168" s="3837"/>
      <c r="H168" s="3837"/>
      <c r="I168" s="3837"/>
      <c r="J168" s="3837"/>
      <c r="K168" s="3837"/>
      <c r="L168" s="3837"/>
      <c r="M168" s="3837"/>
      <c r="N168" s="3837"/>
      <c r="S168" s="3888"/>
      <c r="T168" s="3888"/>
      <c r="U168" s="338"/>
      <c r="V168" s="3738"/>
      <c r="W168" s="3738"/>
      <c r="X168" s="3738"/>
      <c r="Y168" s="3738"/>
      <c r="Z168" s="3738"/>
      <c r="AA168" s="3738"/>
      <c r="AB168" s="3738"/>
      <c r="AC168" s="3738"/>
      <c r="AD168" s="3738"/>
      <c r="AE168" s="3837"/>
      <c r="AF168" s="901"/>
      <c r="AG168" s="3976"/>
      <c r="AH168" s="3837"/>
      <c r="AI168" s="3837"/>
    </row>
    <row r="169" spans="6:35" ht="18">
      <c r="F169" s="3837"/>
      <c r="G169" s="3837"/>
      <c r="H169" s="3837"/>
      <c r="I169" s="3837"/>
      <c r="J169" s="3837"/>
      <c r="K169" s="3837"/>
      <c r="L169" s="3837"/>
      <c r="M169" s="3837"/>
      <c r="N169" s="3837"/>
      <c r="S169" s="3888"/>
      <c r="T169" s="3888"/>
      <c r="U169" s="338"/>
      <c r="V169" s="3738"/>
      <c r="W169" s="3738"/>
      <c r="X169" s="3738"/>
      <c r="Y169" s="3738"/>
      <c r="Z169" s="3738"/>
      <c r="AA169" s="3738"/>
      <c r="AB169" s="3738"/>
      <c r="AC169" s="3738"/>
      <c r="AD169" s="3738"/>
      <c r="AE169" s="3837"/>
      <c r="AF169" s="901"/>
      <c r="AG169" s="3976"/>
      <c r="AH169" s="3837"/>
      <c r="AI169" s="3837"/>
    </row>
    <row r="170" spans="6:35" ht="18">
      <c r="F170" s="3837"/>
      <c r="G170" s="3837"/>
      <c r="H170" s="3837"/>
      <c r="I170" s="3837"/>
      <c r="J170" s="3837"/>
      <c r="K170" s="3837"/>
      <c r="L170" s="3837"/>
      <c r="M170" s="3837"/>
      <c r="N170" s="3837"/>
      <c r="S170" s="3888"/>
      <c r="T170" s="3888"/>
      <c r="U170" s="338"/>
      <c r="V170" s="3738"/>
      <c r="W170" s="3738"/>
      <c r="X170" s="3738"/>
      <c r="Y170" s="3738"/>
      <c r="Z170" s="3738"/>
      <c r="AA170" s="3738"/>
      <c r="AB170" s="3738"/>
      <c r="AC170" s="3738"/>
      <c r="AD170" s="3738"/>
      <c r="AE170" s="3837"/>
      <c r="AF170" s="901"/>
      <c r="AG170" s="3976"/>
      <c r="AH170" s="3837"/>
      <c r="AI170" s="3837"/>
    </row>
    <row r="171" spans="6:35" ht="18">
      <c r="F171" s="3837"/>
      <c r="G171" s="3837"/>
      <c r="H171" s="3837"/>
      <c r="I171" s="3837"/>
      <c r="J171" s="3837"/>
      <c r="K171" s="3837"/>
      <c r="L171" s="3837"/>
      <c r="M171" s="3837"/>
      <c r="N171" s="3837"/>
      <c r="S171" s="3888"/>
      <c r="T171" s="3888"/>
      <c r="U171" s="338"/>
      <c r="V171" s="3738"/>
      <c r="W171" s="3738"/>
      <c r="X171" s="3738"/>
      <c r="Y171" s="3738"/>
      <c r="Z171" s="3738"/>
      <c r="AA171" s="3738"/>
      <c r="AB171" s="3738"/>
      <c r="AC171" s="3738"/>
      <c r="AD171" s="3738"/>
      <c r="AE171" s="3837"/>
      <c r="AF171" s="901"/>
      <c r="AG171" s="3976"/>
      <c r="AH171" s="3837"/>
      <c r="AI171" s="3837"/>
    </row>
    <row r="172" spans="6:35" ht="18">
      <c r="F172" s="3837"/>
      <c r="G172" s="3837"/>
      <c r="H172" s="3837"/>
      <c r="I172" s="3837"/>
      <c r="J172" s="3837"/>
      <c r="K172" s="3837"/>
      <c r="L172" s="3837"/>
      <c r="M172" s="3837"/>
      <c r="N172" s="3837"/>
      <c r="S172" s="3888"/>
      <c r="T172" s="3888"/>
      <c r="U172" s="338"/>
      <c r="V172" s="3738"/>
      <c r="W172" s="3738"/>
      <c r="X172" s="3738"/>
      <c r="Y172" s="3738"/>
      <c r="Z172" s="3738"/>
      <c r="AA172" s="3738"/>
      <c r="AB172" s="3738"/>
      <c r="AC172" s="3738"/>
      <c r="AD172" s="3738"/>
      <c r="AE172" s="3837"/>
      <c r="AF172" s="901"/>
      <c r="AG172" s="3976"/>
      <c r="AH172" s="3837"/>
      <c r="AI172" s="3837"/>
    </row>
    <row r="173" spans="6:35" ht="18">
      <c r="F173" s="3837"/>
      <c r="G173" s="3837"/>
      <c r="H173" s="3837"/>
      <c r="I173" s="3837"/>
      <c r="J173" s="3837"/>
      <c r="K173" s="3837"/>
      <c r="L173" s="3837"/>
      <c r="M173" s="3837"/>
      <c r="N173" s="3837"/>
      <c r="S173" s="3888"/>
      <c r="T173" s="3888"/>
      <c r="U173" s="338"/>
      <c r="V173" s="3738"/>
      <c r="W173" s="3738"/>
      <c r="X173" s="3738"/>
      <c r="Y173" s="3738"/>
      <c r="Z173" s="3738"/>
      <c r="AA173" s="3738"/>
      <c r="AB173" s="3738"/>
      <c r="AC173" s="3738"/>
      <c r="AD173" s="3738"/>
      <c r="AE173" s="3837"/>
      <c r="AF173" s="901"/>
      <c r="AG173" s="3976"/>
      <c r="AH173" s="3837"/>
      <c r="AI173" s="3837"/>
    </row>
    <row r="174" spans="6:35" ht="18">
      <c r="F174" s="3837"/>
      <c r="G174" s="3837"/>
      <c r="H174" s="3837"/>
      <c r="I174" s="3837"/>
      <c r="J174" s="3837"/>
      <c r="K174" s="3837"/>
      <c r="L174" s="3837"/>
      <c r="M174" s="3837"/>
      <c r="N174" s="3837"/>
      <c r="S174" s="3888"/>
      <c r="T174" s="3888"/>
      <c r="U174" s="338"/>
      <c r="V174" s="3738"/>
      <c r="W174" s="3738"/>
      <c r="X174" s="3738"/>
      <c r="Y174" s="3738"/>
      <c r="Z174" s="3738"/>
      <c r="AA174" s="3738"/>
      <c r="AB174" s="3738"/>
      <c r="AC174" s="3738"/>
      <c r="AD174" s="3738"/>
      <c r="AE174" s="3837"/>
      <c r="AF174" s="901"/>
      <c r="AG174" s="3976"/>
      <c r="AH174" s="3837"/>
      <c r="AI174" s="3837"/>
    </row>
    <row r="175" spans="6:35" ht="18">
      <c r="F175" s="3837"/>
      <c r="G175" s="3837"/>
      <c r="H175" s="3837"/>
      <c r="I175" s="3837"/>
      <c r="J175" s="3837"/>
      <c r="K175" s="3837"/>
      <c r="L175" s="3837"/>
      <c r="M175" s="3837"/>
      <c r="N175" s="3837"/>
      <c r="S175" s="3888"/>
      <c r="T175" s="3888"/>
      <c r="U175" s="338"/>
      <c r="V175" s="3738"/>
      <c r="W175" s="3738"/>
      <c r="X175" s="3738"/>
      <c r="Y175" s="3738"/>
      <c r="Z175" s="3738"/>
      <c r="AA175" s="3738"/>
      <c r="AB175" s="3738"/>
      <c r="AC175" s="3738"/>
      <c r="AD175" s="3738"/>
      <c r="AE175" s="3837"/>
      <c r="AF175" s="901"/>
      <c r="AG175" s="3976"/>
      <c r="AH175" s="3837"/>
      <c r="AI175" s="3837"/>
    </row>
    <row r="176" spans="6:35" ht="18">
      <c r="F176" s="3837"/>
      <c r="G176" s="3837"/>
      <c r="H176" s="3837"/>
      <c r="I176" s="3837"/>
      <c r="J176" s="3837"/>
      <c r="K176" s="3837"/>
      <c r="L176" s="3837"/>
      <c r="M176" s="3837"/>
      <c r="N176" s="3837"/>
      <c r="S176" s="3888"/>
      <c r="T176" s="3888"/>
      <c r="U176" s="338"/>
      <c r="V176" s="3738"/>
      <c r="W176" s="3738"/>
      <c r="X176" s="3738"/>
      <c r="Y176" s="3738"/>
      <c r="Z176" s="3738"/>
      <c r="AA176" s="3738"/>
      <c r="AB176" s="3738"/>
      <c r="AC176" s="3738"/>
      <c r="AD176" s="3738"/>
      <c r="AE176" s="3837"/>
      <c r="AF176" s="901"/>
      <c r="AG176" s="3976"/>
      <c r="AH176" s="3837"/>
      <c r="AI176" s="3837"/>
    </row>
    <row r="177" spans="6:35" ht="18">
      <c r="F177" s="3837"/>
      <c r="G177" s="3837"/>
      <c r="H177" s="3837"/>
      <c r="I177" s="3837"/>
      <c r="J177" s="3837"/>
      <c r="K177" s="3837"/>
      <c r="L177" s="3837"/>
      <c r="M177" s="3837"/>
      <c r="N177" s="3837"/>
      <c r="S177" s="3888"/>
      <c r="T177" s="3888"/>
      <c r="U177" s="338"/>
      <c r="V177" s="3738"/>
      <c r="W177" s="3738"/>
      <c r="X177" s="3738"/>
      <c r="Y177" s="3738"/>
      <c r="Z177" s="3738"/>
      <c r="AA177" s="3738"/>
      <c r="AB177" s="3738"/>
      <c r="AC177" s="3738"/>
      <c r="AD177" s="3738"/>
      <c r="AE177" s="3837"/>
      <c r="AF177" s="901"/>
      <c r="AG177" s="3976"/>
      <c r="AH177" s="3837"/>
      <c r="AI177" s="3837"/>
    </row>
    <row r="178" spans="6:35" ht="18">
      <c r="F178" s="3837"/>
      <c r="G178" s="3837"/>
      <c r="H178" s="3837"/>
      <c r="I178" s="3837"/>
      <c r="J178" s="3837"/>
      <c r="K178" s="3837"/>
      <c r="L178" s="3837"/>
      <c r="M178" s="3837"/>
      <c r="N178" s="3837"/>
      <c r="S178" s="3888"/>
      <c r="T178" s="3888"/>
      <c r="U178" s="338"/>
      <c r="V178" s="3738"/>
      <c r="W178" s="3738"/>
      <c r="X178" s="3738"/>
      <c r="Y178" s="3738"/>
      <c r="Z178" s="3738"/>
      <c r="AA178" s="3738"/>
      <c r="AB178" s="3738"/>
      <c r="AC178" s="3738"/>
      <c r="AD178" s="3738"/>
      <c r="AE178" s="3837"/>
      <c r="AF178" s="901"/>
      <c r="AG178" s="3976"/>
      <c r="AH178" s="3837"/>
      <c r="AI178" s="3837"/>
    </row>
    <row r="179" spans="6:35" ht="18">
      <c r="F179" s="3837"/>
      <c r="G179" s="3837"/>
      <c r="H179" s="3837"/>
      <c r="I179" s="3837"/>
      <c r="J179" s="3837"/>
      <c r="K179" s="3837"/>
      <c r="L179" s="3837"/>
      <c r="M179" s="3837"/>
      <c r="N179" s="3837"/>
      <c r="S179" s="3888"/>
      <c r="T179" s="3888"/>
      <c r="U179" s="338"/>
      <c r="V179" s="3738"/>
      <c r="W179" s="3738"/>
      <c r="X179" s="3738"/>
      <c r="Y179" s="3738"/>
      <c r="Z179" s="3738"/>
      <c r="AA179" s="3738"/>
      <c r="AB179" s="3738"/>
      <c r="AC179" s="3738"/>
      <c r="AD179" s="3738"/>
      <c r="AE179" s="3837"/>
      <c r="AF179" s="901"/>
      <c r="AG179" s="3976"/>
      <c r="AH179" s="3837"/>
      <c r="AI179" s="3837"/>
    </row>
    <row r="180" spans="6:35" ht="18">
      <c r="F180" s="3837"/>
      <c r="G180" s="3837"/>
      <c r="H180" s="3837"/>
      <c r="I180" s="3837"/>
      <c r="J180" s="3837"/>
      <c r="K180" s="3837"/>
      <c r="L180" s="3837"/>
      <c r="M180" s="3837"/>
      <c r="N180" s="3837"/>
      <c r="S180" s="3888"/>
      <c r="T180" s="3888"/>
      <c r="U180" s="338"/>
      <c r="V180" s="3738"/>
      <c r="W180" s="3738"/>
      <c r="X180" s="3738"/>
      <c r="Y180" s="3738"/>
      <c r="Z180" s="3738"/>
      <c r="AA180" s="3738"/>
      <c r="AB180" s="3738"/>
      <c r="AC180" s="3738"/>
      <c r="AD180" s="3738"/>
      <c r="AE180" s="3837"/>
      <c r="AF180" s="901"/>
      <c r="AG180" s="3976"/>
      <c r="AH180" s="3837"/>
      <c r="AI180" s="3837"/>
    </row>
    <row r="181" spans="6:35" ht="18">
      <c r="F181" s="3837"/>
      <c r="G181" s="3837"/>
      <c r="H181" s="3837"/>
      <c r="I181" s="3837"/>
      <c r="J181" s="3837"/>
      <c r="K181" s="3837"/>
      <c r="L181" s="3837"/>
      <c r="M181" s="3837"/>
      <c r="N181" s="3837"/>
      <c r="S181" s="3888"/>
      <c r="T181" s="3888"/>
      <c r="U181" s="338"/>
      <c r="V181" s="3738"/>
      <c r="W181" s="3738"/>
      <c r="X181" s="3738"/>
      <c r="Y181" s="3738"/>
      <c r="Z181" s="3738"/>
      <c r="AA181" s="3738"/>
      <c r="AB181" s="3738"/>
      <c r="AC181" s="3738"/>
      <c r="AD181" s="3738"/>
      <c r="AE181" s="3837"/>
      <c r="AF181" s="901"/>
      <c r="AG181" s="3976"/>
      <c r="AH181" s="3837"/>
      <c r="AI181" s="3837"/>
    </row>
    <row r="182" spans="6:35" ht="18">
      <c r="F182" s="3837"/>
      <c r="G182" s="3837"/>
      <c r="H182" s="3837"/>
      <c r="I182" s="3837"/>
      <c r="J182" s="3837"/>
      <c r="K182" s="3837"/>
      <c r="L182" s="3837"/>
      <c r="M182" s="3837"/>
      <c r="N182" s="3837"/>
      <c r="S182" s="3888"/>
      <c r="T182" s="3888"/>
      <c r="U182" s="338"/>
      <c r="V182" s="3738"/>
      <c r="W182" s="3738"/>
      <c r="X182" s="3738"/>
      <c r="Y182" s="3738"/>
      <c r="Z182" s="3738"/>
      <c r="AA182" s="3738"/>
      <c r="AB182" s="3738"/>
      <c r="AC182" s="3738"/>
      <c r="AD182" s="3738"/>
      <c r="AE182" s="3837"/>
      <c r="AF182" s="901"/>
      <c r="AG182" s="3976"/>
      <c r="AH182" s="3837"/>
      <c r="AI182" s="3837"/>
    </row>
    <row r="183" spans="6:35" ht="18">
      <c r="F183" s="3837"/>
      <c r="G183" s="3837"/>
      <c r="H183" s="3837"/>
      <c r="I183" s="3837"/>
      <c r="J183" s="3837"/>
      <c r="K183" s="3837"/>
      <c r="L183" s="3837"/>
      <c r="M183" s="3837"/>
      <c r="N183" s="3837"/>
      <c r="S183" s="3888"/>
      <c r="T183" s="3888"/>
      <c r="U183" s="338"/>
      <c r="V183" s="3738"/>
      <c r="W183" s="3738"/>
      <c r="X183" s="3738"/>
      <c r="Y183" s="3738"/>
      <c r="Z183" s="3738"/>
      <c r="AA183" s="3738"/>
      <c r="AB183" s="3738"/>
      <c r="AC183" s="3738"/>
      <c r="AD183" s="3738"/>
      <c r="AE183" s="3837"/>
      <c r="AF183" s="901"/>
      <c r="AG183" s="3976"/>
      <c r="AH183" s="3837"/>
      <c r="AI183" s="3837"/>
    </row>
    <row r="184" spans="6:35" ht="18">
      <c r="F184" s="3837"/>
      <c r="G184" s="3837"/>
      <c r="H184" s="3837"/>
      <c r="I184" s="3837"/>
      <c r="J184" s="3837"/>
      <c r="K184" s="3837"/>
      <c r="L184" s="3837"/>
      <c r="M184" s="3837"/>
      <c r="N184" s="3837"/>
      <c r="S184" s="3888"/>
      <c r="T184" s="3888"/>
      <c r="U184" s="338"/>
      <c r="V184" s="3738"/>
      <c r="W184" s="3738"/>
      <c r="X184" s="3738"/>
      <c r="Y184" s="3738"/>
      <c r="Z184" s="3738"/>
      <c r="AA184" s="3738"/>
      <c r="AB184" s="3738"/>
      <c r="AC184" s="3738"/>
      <c r="AD184" s="3738"/>
      <c r="AE184" s="3837"/>
      <c r="AF184" s="901"/>
      <c r="AG184" s="3976"/>
      <c r="AH184" s="3837"/>
      <c r="AI184" s="3837"/>
    </row>
    <row r="185" spans="6:35" ht="18">
      <c r="F185" s="3837"/>
      <c r="G185" s="3837"/>
      <c r="H185" s="3837"/>
      <c r="I185" s="3837"/>
      <c r="J185" s="3837"/>
      <c r="K185" s="3837"/>
      <c r="L185" s="3837"/>
      <c r="M185" s="3837"/>
      <c r="N185" s="3837"/>
      <c r="S185" s="3888"/>
      <c r="T185" s="3888"/>
      <c r="U185" s="338"/>
      <c r="V185" s="3738"/>
      <c r="W185" s="3738"/>
      <c r="X185" s="3738"/>
      <c r="Y185" s="3738"/>
      <c r="Z185" s="3738"/>
      <c r="AA185" s="3738"/>
      <c r="AB185" s="3738"/>
      <c r="AC185" s="3738"/>
      <c r="AD185" s="3738"/>
      <c r="AE185" s="3837"/>
      <c r="AF185" s="901"/>
      <c r="AG185" s="3976"/>
      <c r="AH185" s="3837"/>
      <c r="AI185" s="3837"/>
    </row>
    <row r="186" spans="6:35" ht="18">
      <c r="F186" s="3837"/>
      <c r="G186" s="3837"/>
      <c r="H186" s="3837"/>
      <c r="I186" s="3837"/>
      <c r="J186" s="3837"/>
      <c r="K186" s="3837"/>
      <c r="L186" s="3837"/>
      <c r="M186" s="3837"/>
      <c r="N186" s="3837"/>
      <c r="S186" s="3888"/>
      <c r="T186" s="3888"/>
      <c r="U186" s="338"/>
      <c r="V186" s="3738"/>
      <c r="W186" s="3738"/>
      <c r="X186" s="3738"/>
      <c r="Y186" s="3738"/>
      <c r="Z186" s="3738"/>
      <c r="AA186" s="3738"/>
      <c r="AB186" s="3738"/>
      <c r="AC186" s="3738"/>
      <c r="AD186" s="3738"/>
      <c r="AE186" s="3837"/>
      <c r="AF186" s="901"/>
      <c r="AG186" s="3976"/>
      <c r="AH186" s="3837"/>
      <c r="AI186" s="3837"/>
    </row>
    <row r="187" spans="6:35" ht="18">
      <c r="F187" s="3837"/>
      <c r="G187" s="3837"/>
      <c r="H187" s="3837"/>
      <c r="I187" s="3837"/>
      <c r="J187" s="3837"/>
      <c r="K187" s="3837"/>
      <c r="L187" s="3837"/>
      <c r="M187" s="3837"/>
      <c r="N187" s="3837"/>
      <c r="S187" s="3888"/>
      <c r="T187" s="3888"/>
      <c r="U187" s="338"/>
      <c r="V187" s="3738"/>
      <c r="W187" s="3738"/>
      <c r="X187" s="3738"/>
      <c r="Y187" s="3738"/>
      <c r="Z187" s="3738"/>
      <c r="AA187" s="3738"/>
      <c r="AB187" s="3738"/>
      <c r="AC187" s="3738"/>
      <c r="AD187" s="3738"/>
      <c r="AE187" s="3837"/>
      <c r="AF187" s="901"/>
      <c r="AG187" s="3976"/>
      <c r="AH187" s="3837"/>
      <c r="AI187" s="3837"/>
    </row>
    <row r="188" spans="6:35" ht="18">
      <c r="F188" s="3837"/>
      <c r="G188" s="3837"/>
      <c r="H188" s="3837"/>
      <c r="I188" s="3837"/>
      <c r="J188" s="3837"/>
      <c r="K188" s="3837"/>
      <c r="L188" s="3837"/>
      <c r="M188" s="3837"/>
      <c r="N188" s="3837"/>
      <c r="S188" s="3888"/>
      <c r="T188" s="3888"/>
      <c r="U188" s="338"/>
      <c r="V188" s="3738"/>
      <c r="W188" s="3738"/>
      <c r="X188" s="3738"/>
      <c r="Y188" s="3738"/>
      <c r="Z188" s="3738"/>
      <c r="AA188" s="3738"/>
      <c r="AB188" s="3738"/>
      <c r="AC188" s="3738"/>
      <c r="AD188" s="3738"/>
      <c r="AE188" s="3837"/>
      <c r="AF188" s="901"/>
      <c r="AG188" s="3976"/>
      <c r="AH188" s="3837"/>
      <c r="AI188" s="3837"/>
    </row>
    <row r="189" spans="6:35" ht="18">
      <c r="F189" s="3837"/>
      <c r="G189" s="3837"/>
      <c r="H189" s="3837"/>
      <c r="I189" s="3837"/>
      <c r="J189" s="3837"/>
      <c r="K189" s="3837"/>
      <c r="L189" s="3837"/>
      <c r="M189" s="3837"/>
      <c r="N189" s="3837"/>
      <c r="S189" s="3888"/>
      <c r="T189" s="3888"/>
      <c r="U189" s="338"/>
      <c r="V189" s="3738"/>
      <c r="W189" s="3738"/>
      <c r="X189" s="3738"/>
      <c r="Y189" s="3738"/>
      <c r="Z189" s="3738"/>
      <c r="AA189" s="3738"/>
      <c r="AB189" s="3738"/>
      <c r="AC189" s="3738"/>
      <c r="AD189" s="3738"/>
      <c r="AE189" s="3837"/>
      <c r="AF189" s="901"/>
      <c r="AG189" s="3976"/>
      <c r="AH189" s="3837"/>
      <c r="AI189" s="3837"/>
    </row>
    <row r="190" spans="6:35" ht="18">
      <c r="F190" s="3837"/>
      <c r="G190" s="3837"/>
      <c r="H190" s="3837"/>
      <c r="I190" s="3837"/>
      <c r="J190" s="3837"/>
      <c r="K190" s="3837"/>
      <c r="L190" s="3837"/>
      <c r="M190" s="3837"/>
      <c r="N190" s="3837"/>
      <c r="S190" s="3888"/>
      <c r="T190" s="3888"/>
      <c r="U190" s="338"/>
      <c r="V190" s="3738"/>
      <c r="W190" s="3738"/>
      <c r="X190" s="3738"/>
      <c r="Y190" s="3738"/>
      <c r="Z190" s="3738"/>
      <c r="AA190" s="3738"/>
      <c r="AB190" s="3738"/>
      <c r="AC190" s="3738"/>
      <c r="AD190" s="3738"/>
      <c r="AE190" s="3837"/>
      <c r="AF190" s="901"/>
      <c r="AG190" s="3976"/>
      <c r="AH190" s="3837"/>
      <c r="AI190" s="3837"/>
    </row>
    <row r="191" spans="6:35" ht="18">
      <c r="F191" s="3837"/>
      <c r="G191" s="3837"/>
      <c r="H191" s="3837"/>
      <c r="I191" s="3837"/>
      <c r="J191" s="3837"/>
      <c r="K191" s="3837"/>
      <c r="L191" s="3837"/>
      <c r="M191" s="3837"/>
      <c r="N191" s="3837"/>
      <c r="S191" s="3888"/>
      <c r="T191" s="3888"/>
      <c r="U191" s="338"/>
      <c r="V191" s="3738"/>
      <c r="W191" s="3738"/>
      <c r="X191" s="3738"/>
      <c r="Y191" s="3738"/>
      <c r="Z191" s="3738"/>
      <c r="AA191" s="3738"/>
      <c r="AB191" s="3738"/>
      <c r="AC191" s="3738"/>
      <c r="AD191" s="3738"/>
      <c r="AE191" s="3837"/>
      <c r="AF191" s="901"/>
      <c r="AG191" s="3976"/>
      <c r="AH191" s="3837"/>
      <c r="AI191" s="3837"/>
    </row>
    <row r="192" spans="6:35" ht="18">
      <c r="F192" s="3837"/>
      <c r="G192" s="3837"/>
      <c r="H192" s="3837"/>
      <c r="I192" s="3837"/>
      <c r="J192" s="3837"/>
      <c r="K192" s="3837"/>
      <c r="L192" s="3837"/>
      <c r="M192" s="3837"/>
      <c r="N192" s="3837"/>
      <c r="S192" s="3888"/>
      <c r="T192" s="3888"/>
      <c r="U192" s="338"/>
      <c r="V192" s="3738"/>
      <c r="W192" s="3738"/>
      <c r="X192" s="3738"/>
      <c r="Y192" s="3738"/>
      <c r="Z192" s="3738"/>
      <c r="AA192" s="3738"/>
      <c r="AB192" s="3738"/>
      <c r="AC192" s="3738"/>
      <c r="AD192" s="3738"/>
      <c r="AE192" s="3837"/>
      <c r="AF192" s="901"/>
      <c r="AG192" s="3976"/>
      <c r="AH192" s="3837"/>
      <c r="AI192" s="3837"/>
    </row>
    <row r="193" spans="6:35" ht="18">
      <c r="F193" s="3837"/>
      <c r="G193" s="3837"/>
      <c r="H193" s="3837"/>
      <c r="I193" s="3837"/>
      <c r="J193" s="3837"/>
      <c r="K193" s="3837"/>
      <c r="L193" s="3837"/>
      <c r="M193" s="3837"/>
      <c r="N193" s="3837"/>
      <c r="S193" s="3888"/>
      <c r="T193" s="3888"/>
      <c r="U193" s="338"/>
      <c r="V193" s="3738"/>
      <c r="W193" s="3738"/>
      <c r="X193" s="3738"/>
      <c r="Y193" s="3738"/>
      <c r="Z193" s="3738"/>
      <c r="AA193" s="3738"/>
      <c r="AB193" s="3738"/>
      <c r="AC193" s="3738"/>
      <c r="AD193" s="3738"/>
      <c r="AE193" s="3837"/>
      <c r="AF193" s="901"/>
      <c r="AG193" s="3976"/>
      <c r="AH193" s="3837"/>
      <c r="AI193" s="3837"/>
    </row>
    <row r="194" spans="6:35" ht="18">
      <c r="F194" s="3837"/>
      <c r="G194" s="3837"/>
      <c r="H194" s="3837"/>
      <c r="I194" s="3837"/>
      <c r="J194" s="3837"/>
      <c r="K194" s="3837"/>
      <c r="L194" s="3837"/>
      <c r="M194" s="3837"/>
      <c r="N194" s="3837"/>
      <c r="S194" s="3888"/>
      <c r="T194" s="3888"/>
      <c r="U194" s="338"/>
      <c r="V194" s="3738"/>
      <c r="W194" s="3738"/>
      <c r="X194" s="3738"/>
      <c r="Y194" s="3738"/>
      <c r="Z194" s="3738"/>
      <c r="AA194" s="3738"/>
      <c r="AB194" s="3738"/>
      <c r="AC194" s="3738"/>
      <c r="AD194" s="3738"/>
      <c r="AE194" s="3837"/>
      <c r="AF194" s="901"/>
      <c r="AG194" s="3976"/>
      <c r="AH194" s="3837"/>
      <c r="AI194" s="3837"/>
    </row>
    <row r="195" spans="6:35" ht="18">
      <c r="F195" s="3837"/>
      <c r="G195" s="3837"/>
      <c r="H195" s="3837"/>
      <c r="I195" s="3837"/>
      <c r="J195" s="3837"/>
      <c r="K195" s="3837"/>
      <c r="L195" s="3837"/>
      <c r="M195" s="3837"/>
      <c r="N195" s="3837"/>
      <c r="S195" s="3888"/>
      <c r="T195" s="3888"/>
      <c r="U195" s="338"/>
      <c r="V195" s="3738"/>
      <c r="W195" s="3738"/>
      <c r="X195" s="3738"/>
      <c r="Y195" s="3738"/>
      <c r="Z195" s="3738"/>
      <c r="AA195" s="3738"/>
      <c r="AB195" s="3738"/>
      <c r="AC195" s="3738"/>
      <c r="AD195" s="3738"/>
      <c r="AE195" s="3837"/>
      <c r="AF195" s="901"/>
      <c r="AG195" s="3976"/>
      <c r="AH195" s="3837"/>
      <c r="AI195" s="3837"/>
    </row>
    <row r="196" spans="6:35" ht="18">
      <c r="F196" s="3837"/>
      <c r="G196" s="3837"/>
      <c r="H196" s="3837"/>
      <c r="I196" s="3837"/>
      <c r="J196" s="3837"/>
      <c r="K196" s="3837"/>
      <c r="L196" s="3837"/>
      <c r="M196" s="3837"/>
      <c r="N196" s="3837"/>
      <c r="S196" s="3888"/>
      <c r="T196" s="3888"/>
      <c r="U196" s="338"/>
      <c r="V196" s="3738"/>
      <c r="W196" s="3738"/>
      <c r="X196" s="3738"/>
      <c r="Y196" s="3738"/>
      <c r="Z196" s="3738"/>
      <c r="AA196" s="3738"/>
      <c r="AB196" s="3738"/>
      <c r="AC196" s="3738"/>
      <c r="AD196" s="3738"/>
      <c r="AE196" s="3837"/>
      <c r="AF196" s="901"/>
      <c r="AG196" s="3976"/>
      <c r="AH196" s="3837"/>
      <c r="AI196" s="3837"/>
    </row>
    <row r="197" spans="6:35" ht="18">
      <c r="F197" s="3837"/>
      <c r="G197" s="3837"/>
      <c r="H197" s="3837"/>
      <c r="I197" s="3837"/>
      <c r="J197" s="3837"/>
      <c r="K197" s="3837"/>
      <c r="L197" s="3837"/>
      <c r="M197" s="3837"/>
      <c r="N197" s="3837"/>
      <c r="S197" s="3888"/>
      <c r="T197" s="3888"/>
      <c r="U197" s="338"/>
      <c r="V197" s="3738"/>
      <c r="W197" s="3738"/>
      <c r="X197" s="3738"/>
      <c r="Y197" s="3738"/>
      <c r="Z197" s="3738"/>
      <c r="AA197" s="3738"/>
      <c r="AB197" s="3738"/>
      <c r="AC197" s="3738"/>
      <c r="AD197" s="3738"/>
      <c r="AE197" s="3837"/>
      <c r="AF197" s="901"/>
      <c r="AG197" s="3976"/>
      <c r="AH197" s="3837"/>
      <c r="AI197" s="3837"/>
    </row>
    <row r="198" spans="6:35" ht="18">
      <c r="F198" s="3837"/>
      <c r="G198" s="3837"/>
      <c r="H198" s="3837"/>
      <c r="I198" s="3837"/>
      <c r="J198" s="3837"/>
      <c r="K198" s="3837"/>
      <c r="L198" s="3837"/>
      <c r="M198" s="3837"/>
      <c r="N198" s="3837"/>
      <c r="S198" s="3888"/>
      <c r="T198" s="3888"/>
      <c r="U198" s="338"/>
      <c r="V198" s="3738"/>
      <c r="W198" s="3738"/>
      <c r="X198" s="3738"/>
      <c r="Y198" s="3738"/>
      <c r="Z198" s="3738"/>
      <c r="AA198" s="3738"/>
      <c r="AB198" s="3738"/>
      <c r="AC198" s="3738"/>
      <c r="AD198" s="3738"/>
      <c r="AE198" s="3837"/>
      <c r="AF198" s="901"/>
      <c r="AG198" s="3976"/>
      <c r="AH198" s="3837"/>
      <c r="AI198" s="3837"/>
    </row>
    <row r="199" spans="6:35" ht="18">
      <c r="F199" s="3837"/>
      <c r="G199" s="3837"/>
      <c r="H199" s="3837"/>
      <c r="I199" s="3837"/>
      <c r="J199" s="3837"/>
      <c r="K199" s="3837"/>
      <c r="L199" s="3837"/>
      <c r="M199" s="3837"/>
      <c r="N199" s="3837"/>
      <c r="S199" s="3888"/>
      <c r="T199" s="3888"/>
      <c r="U199" s="338"/>
      <c r="V199" s="3738"/>
      <c r="W199" s="3738"/>
      <c r="X199" s="3738"/>
      <c r="Y199" s="3738"/>
      <c r="Z199" s="3738"/>
      <c r="AA199" s="3738"/>
      <c r="AB199" s="3738"/>
      <c r="AC199" s="3738"/>
      <c r="AD199" s="3738"/>
      <c r="AE199" s="3837"/>
      <c r="AF199" s="901"/>
      <c r="AG199" s="3976"/>
      <c r="AH199" s="3837"/>
      <c r="AI199" s="3837"/>
    </row>
    <row r="200" spans="6:35" ht="18">
      <c r="F200" s="3837"/>
      <c r="G200" s="3837"/>
      <c r="H200" s="3837"/>
      <c r="I200" s="3837"/>
      <c r="J200" s="3837"/>
      <c r="K200" s="3837"/>
      <c r="L200" s="3837"/>
      <c r="M200" s="3837"/>
      <c r="N200" s="3837"/>
      <c r="S200" s="3888"/>
      <c r="T200" s="3888"/>
      <c r="U200" s="338"/>
      <c r="V200" s="3738"/>
      <c r="W200" s="3738"/>
      <c r="X200" s="3738"/>
      <c r="Y200" s="3738"/>
      <c r="Z200" s="3738"/>
      <c r="AA200" s="3738"/>
      <c r="AB200" s="3738"/>
      <c r="AC200" s="3738"/>
      <c r="AD200" s="3738"/>
      <c r="AE200" s="3837"/>
      <c r="AF200" s="901"/>
      <c r="AG200" s="3976"/>
      <c r="AH200" s="3837"/>
      <c r="AI200" s="3837"/>
    </row>
    <row r="201" spans="6:35" ht="18">
      <c r="F201" s="3837"/>
      <c r="G201" s="3837"/>
      <c r="H201" s="3837"/>
      <c r="I201" s="3837"/>
      <c r="J201" s="3837"/>
      <c r="K201" s="3837"/>
      <c r="L201" s="3837"/>
      <c r="M201" s="3837"/>
      <c r="N201" s="3837"/>
      <c r="S201" s="3888"/>
      <c r="T201" s="3888"/>
      <c r="U201" s="338"/>
      <c r="V201" s="3738"/>
      <c r="W201" s="3738"/>
      <c r="X201" s="3738"/>
      <c r="Y201" s="3738"/>
      <c r="Z201" s="3738"/>
      <c r="AA201" s="3738"/>
      <c r="AB201" s="3738"/>
      <c r="AC201" s="3738"/>
      <c r="AD201" s="3738"/>
      <c r="AE201" s="3837"/>
      <c r="AF201" s="901"/>
      <c r="AG201" s="3976"/>
      <c r="AH201" s="3837"/>
      <c r="AI201" s="3837"/>
    </row>
    <row r="202" spans="6:35" ht="18">
      <c r="F202" s="3837"/>
      <c r="G202" s="3837"/>
      <c r="H202" s="3837"/>
      <c r="I202" s="3837"/>
      <c r="J202" s="3837"/>
      <c r="K202" s="3837"/>
      <c r="L202" s="3837"/>
      <c r="M202" s="3837"/>
      <c r="N202" s="3837"/>
      <c r="S202" s="3888"/>
      <c r="T202" s="3888"/>
      <c r="U202" s="338"/>
      <c r="V202" s="3738"/>
      <c r="W202" s="3738"/>
      <c r="X202" s="3738"/>
      <c r="Y202" s="3738"/>
      <c r="Z202" s="3738"/>
      <c r="AA202" s="3738"/>
      <c r="AB202" s="3738"/>
      <c r="AC202" s="3738"/>
      <c r="AD202" s="3738"/>
      <c r="AE202" s="3837"/>
      <c r="AF202" s="901"/>
      <c r="AG202" s="3976"/>
      <c r="AH202" s="3837"/>
      <c r="AI202" s="3837"/>
    </row>
    <row r="203" spans="6:35" ht="18">
      <c r="F203" s="3837"/>
      <c r="G203" s="3837"/>
      <c r="H203" s="3837"/>
      <c r="I203" s="3837"/>
      <c r="J203" s="3837"/>
      <c r="K203" s="3837"/>
      <c r="L203" s="3837"/>
      <c r="M203" s="3837"/>
      <c r="N203" s="3837"/>
      <c r="S203" s="3888"/>
      <c r="T203" s="3888"/>
      <c r="U203" s="338"/>
      <c r="V203" s="3738"/>
      <c r="W203" s="3738"/>
      <c r="X203" s="3738"/>
      <c r="Y203" s="3738"/>
      <c r="Z203" s="3738"/>
      <c r="AA203" s="3738"/>
      <c r="AB203" s="3738"/>
      <c r="AC203" s="3738"/>
      <c r="AD203" s="3738"/>
      <c r="AE203" s="3837"/>
      <c r="AF203" s="901"/>
      <c r="AG203" s="3976"/>
      <c r="AH203" s="3837"/>
      <c r="AI203" s="3837"/>
    </row>
    <row r="204" spans="6:35" ht="18">
      <c r="F204" s="3837"/>
      <c r="G204" s="3837"/>
      <c r="H204" s="3837"/>
      <c r="I204" s="3837"/>
      <c r="J204" s="3837"/>
      <c r="K204" s="3837"/>
      <c r="L204" s="3837"/>
      <c r="M204" s="3837"/>
      <c r="N204" s="3837"/>
      <c r="S204" s="3888"/>
      <c r="T204" s="3888"/>
      <c r="U204" s="338"/>
      <c r="V204" s="3738"/>
      <c r="W204" s="3738"/>
      <c r="X204" s="3738"/>
      <c r="Y204" s="3738"/>
      <c r="Z204" s="3738"/>
      <c r="AA204" s="3738"/>
      <c r="AB204" s="3738"/>
      <c r="AC204" s="3738"/>
      <c r="AD204" s="3738"/>
      <c r="AE204" s="3837"/>
      <c r="AF204" s="901"/>
      <c r="AG204" s="3976"/>
      <c r="AH204" s="3837"/>
      <c r="AI204" s="3837"/>
    </row>
    <row r="205" spans="6:35" ht="18">
      <c r="F205" s="3837"/>
      <c r="G205" s="3837"/>
      <c r="H205" s="3837"/>
      <c r="I205" s="3837"/>
      <c r="J205" s="3837"/>
      <c r="K205" s="3837"/>
      <c r="L205" s="3837"/>
      <c r="M205" s="3837"/>
      <c r="N205" s="3837"/>
      <c r="S205" s="3888"/>
      <c r="T205" s="3888"/>
      <c r="U205" s="338"/>
      <c r="V205" s="3738"/>
      <c r="W205" s="3738"/>
      <c r="X205" s="3738"/>
      <c r="Y205" s="3738"/>
      <c r="Z205" s="3738"/>
      <c r="AA205" s="3738"/>
      <c r="AB205" s="3738"/>
      <c r="AC205" s="3738"/>
      <c r="AD205" s="3738"/>
      <c r="AE205" s="3837"/>
      <c r="AF205" s="901"/>
      <c r="AG205" s="3976"/>
      <c r="AH205" s="3837"/>
      <c r="AI205" s="3837"/>
    </row>
    <row r="206" spans="6:35" ht="18">
      <c r="F206" s="3837"/>
      <c r="G206" s="3837"/>
      <c r="H206" s="3837"/>
      <c r="I206" s="3837"/>
      <c r="J206" s="3837"/>
      <c r="K206" s="3837"/>
      <c r="L206" s="3837"/>
      <c r="M206" s="3837"/>
      <c r="N206" s="3837"/>
      <c r="S206" s="3888"/>
      <c r="T206" s="3888"/>
      <c r="U206" s="338"/>
      <c r="V206" s="3738"/>
      <c r="W206" s="3738"/>
      <c r="X206" s="3738"/>
      <c r="Y206" s="3738"/>
      <c r="Z206" s="3738"/>
      <c r="AA206" s="3738"/>
      <c r="AB206" s="3738"/>
      <c r="AC206" s="3738"/>
      <c r="AD206" s="3738"/>
      <c r="AE206" s="3837"/>
      <c r="AF206" s="901"/>
      <c r="AG206" s="3976"/>
      <c r="AH206" s="3837"/>
      <c r="AI206" s="3837"/>
    </row>
    <row r="207" spans="6:35" ht="18">
      <c r="F207" s="3837"/>
      <c r="G207" s="3837"/>
      <c r="H207" s="3837"/>
      <c r="I207" s="3837"/>
      <c r="J207" s="3837"/>
      <c r="K207" s="3837"/>
      <c r="L207" s="3837"/>
      <c r="M207" s="3837"/>
      <c r="N207" s="3837"/>
      <c r="S207" s="3888"/>
      <c r="T207" s="3888"/>
      <c r="U207" s="338"/>
      <c r="V207" s="3738"/>
      <c r="W207" s="3738"/>
      <c r="X207" s="3738"/>
      <c r="Y207" s="3738"/>
      <c r="Z207" s="3738"/>
      <c r="AA207" s="3738"/>
      <c r="AB207" s="3738"/>
      <c r="AC207" s="3738"/>
      <c r="AD207" s="3738"/>
      <c r="AE207" s="3837"/>
      <c r="AF207" s="901"/>
      <c r="AG207" s="3976"/>
      <c r="AH207" s="3837"/>
      <c r="AI207" s="3837"/>
    </row>
    <row r="208" spans="6:35" ht="18">
      <c r="F208" s="3837"/>
      <c r="G208" s="3837"/>
      <c r="H208" s="3837"/>
      <c r="I208" s="3837"/>
      <c r="J208" s="3837"/>
      <c r="K208" s="3837"/>
      <c r="L208" s="3837"/>
      <c r="M208" s="3837"/>
      <c r="N208" s="3837"/>
      <c r="S208" s="3888"/>
      <c r="T208" s="3888"/>
      <c r="U208" s="338"/>
      <c r="V208" s="3738"/>
      <c r="W208" s="3738"/>
      <c r="X208" s="3738"/>
      <c r="Y208" s="3738"/>
      <c r="Z208" s="3738"/>
      <c r="AA208" s="3738"/>
      <c r="AB208" s="3738"/>
      <c r="AC208" s="3738"/>
      <c r="AD208" s="3738"/>
      <c r="AE208" s="3837"/>
      <c r="AF208" s="901"/>
      <c r="AG208" s="3976"/>
      <c r="AH208" s="3837"/>
      <c r="AI208" s="3837"/>
    </row>
    <row r="209" spans="6:35" ht="18">
      <c r="F209" s="3837"/>
      <c r="G209" s="3837"/>
      <c r="H209" s="3837"/>
      <c r="I209" s="3837"/>
      <c r="J209" s="3837"/>
      <c r="K209" s="3837"/>
      <c r="L209" s="3837"/>
      <c r="M209" s="3837"/>
      <c r="N209" s="3837"/>
      <c r="S209" s="3888"/>
      <c r="T209" s="3888"/>
      <c r="U209" s="338"/>
      <c r="V209" s="3738"/>
      <c r="W209" s="3738"/>
      <c r="X209" s="3738"/>
      <c r="Y209" s="3738"/>
      <c r="Z209" s="3738"/>
      <c r="AA209" s="3738"/>
      <c r="AB209" s="3738"/>
      <c r="AC209" s="3738"/>
      <c r="AD209" s="3738"/>
      <c r="AE209" s="3837"/>
      <c r="AF209" s="901"/>
      <c r="AG209" s="3976"/>
      <c r="AH209" s="3837"/>
      <c r="AI209" s="3837"/>
    </row>
    <row r="210" spans="6:35" ht="18">
      <c r="F210" s="3837"/>
      <c r="G210" s="3837"/>
      <c r="H210" s="3837"/>
      <c r="I210" s="3837"/>
      <c r="J210" s="3837"/>
      <c r="K210" s="3837"/>
      <c r="L210" s="3837"/>
      <c r="M210" s="3837"/>
      <c r="N210" s="3837"/>
      <c r="S210" s="3888"/>
      <c r="T210" s="3888"/>
      <c r="U210" s="338"/>
      <c r="V210" s="3738"/>
      <c r="W210" s="3738"/>
      <c r="X210" s="3738"/>
      <c r="Y210" s="3738"/>
      <c r="Z210" s="3738"/>
      <c r="AA210" s="3738"/>
      <c r="AB210" s="3738"/>
      <c r="AC210" s="3738"/>
      <c r="AD210" s="3738"/>
      <c r="AE210" s="3837"/>
      <c r="AF210" s="901"/>
      <c r="AG210" s="3976"/>
      <c r="AH210" s="3837"/>
      <c r="AI210" s="3837"/>
    </row>
    <row r="211" spans="6:35" ht="18">
      <c r="F211" s="3837"/>
      <c r="G211" s="3837"/>
      <c r="H211" s="3837"/>
      <c r="I211" s="3837"/>
      <c r="J211" s="3837"/>
      <c r="K211" s="3837"/>
      <c r="L211" s="3837"/>
      <c r="M211" s="3837"/>
      <c r="N211" s="3837"/>
      <c r="S211" s="3888"/>
      <c r="T211" s="3888"/>
      <c r="U211" s="338"/>
      <c r="V211" s="3738"/>
      <c r="W211" s="3738"/>
      <c r="X211" s="3738"/>
      <c r="Y211" s="3738"/>
      <c r="Z211" s="3738"/>
      <c r="AA211" s="3738"/>
      <c r="AB211" s="3738"/>
      <c r="AC211" s="3738"/>
      <c r="AD211" s="3738"/>
      <c r="AE211" s="3837"/>
      <c r="AF211" s="901"/>
      <c r="AG211" s="3976"/>
      <c r="AH211" s="3837"/>
      <c r="AI211" s="3837"/>
    </row>
    <row r="212" spans="6:35" ht="18">
      <c r="F212" s="3837"/>
      <c r="G212" s="3837"/>
      <c r="H212" s="3837"/>
      <c r="I212" s="3837"/>
      <c r="J212" s="3837"/>
      <c r="K212" s="3837"/>
      <c r="L212" s="3837"/>
      <c r="M212" s="3837"/>
      <c r="N212" s="3837"/>
      <c r="S212" s="3888"/>
      <c r="T212" s="3888"/>
      <c r="U212" s="338"/>
      <c r="V212" s="3738"/>
      <c r="W212" s="3738"/>
      <c r="X212" s="3738"/>
      <c r="Y212" s="3738"/>
      <c r="Z212" s="3738"/>
      <c r="AA212" s="3738"/>
      <c r="AB212" s="3738"/>
      <c r="AC212" s="3738"/>
      <c r="AD212" s="3738"/>
      <c r="AE212" s="3837"/>
      <c r="AF212" s="901"/>
      <c r="AG212" s="3976"/>
      <c r="AH212" s="3837"/>
      <c r="AI212" s="3837"/>
    </row>
    <row r="213" spans="6:35" ht="18">
      <c r="F213" s="3837"/>
      <c r="G213" s="3837"/>
      <c r="H213" s="3837"/>
      <c r="I213" s="3837"/>
      <c r="J213" s="3837"/>
      <c r="K213" s="3837"/>
      <c r="L213" s="3837"/>
      <c r="M213" s="3837"/>
      <c r="N213" s="3837"/>
      <c r="S213" s="3888"/>
      <c r="T213" s="3888"/>
      <c r="U213" s="338"/>
      <c r="V213" s="3738"/>
      <c r="W213" s="3738"/>
      <c r="X213" s="3738"/>
      <c r="Y213" s="3738"/>
      <c r="Z213" s="3738"/>
      <c r="AA213" s="3738"/>
      <c r="AB213" s="3738"/>
      <c r="AC213" s="3738"/>
      <c r="AD213" s="3738"/>
      <c r="AE213" s="3837"/>
      <c r="AF213" s="901"/>
      <c r="AG213" s="3976"/>
      <c r="AH213" s="3837"/>
      <c r="AI213" s="3837"/>
    </row>
    <row r="214" spans="6:35" ht="18">
      <c r="F214" s="3837"/>
      <c r="G214" s="3837"/>
      <c r="H214" s="3837"/>
      <c r="I214" s="3837"/>
      <c r="J214" s="3837"/>
      <c r="K214" s="3837"/>
      <c r="L214" s="3837"/>
      <c r="M214" s="3837"/>
      <c r="N214" s="3837"/>
      <c r="S214" s="3888"/>
      <c r="T214" s="3888"/>
      <c r="U214" s="338"/>
      <c r="V214" s="3738"/>
      <c r="W214" s="3738"/>
      <c r="X214" s="3738"/>
      <c r="Y214" s="3738"/>
      <c r="Z214" s="3738"/>
      <c r="AA214" s="3738"/>
      <c r="AB214" s="3738"/>
      <c r="AC214" s="3738"/>
      <c r="AD214" s="3738"/>
      <c r="AE214" s="3837"/>
      <c r="AF214" s="901"/>
      <c r="AG214" s="3976"/>
      <c r="AH214" s="3837"/>
      <c r="AI214" s="3837"/>
    </row>
    <row r="215" spans="6:35" ht="18">
      <c r="F215" s="3837"/>
      <c r="G215" s="3837"/>
      <c r="H215" s="3837"/>
      <c r="I215" s="3837"/>
      <c r="J215" s="3837"/>
      <c r="K215" s="3837"/>
      <c r="L215" s="3837"/>
      <c r="M215" s="3837"/>
      <c r="N215" s="3837"/>
      <c r="S215" s="3888"/>
      <c r="T215" s="3888"/>
      <c r="U215" s="338"/>
      <c r="V215" s="3738"/>
      <c r="W215" s="3738"/>
      <c r="X215" s="3738"/>
      <c r="Y215" s="3738"/>
      <c r="Z215" s="3738"/>
      <c r="AA215" s="3738"/>
      <c r="AB215" s="3738"/>
      <c r="AC215" s="3738"/>
      <c r="AD215" s="3738"/>
      <c r="AE215" s="3837"/>
      <c r="AF215" s="901"/>
      <c r="AG215" s="3976"/>
      <c r="AH215" s="3837"/>
      <c r="AI215" s="3837"/>
    </row>
    <row r="216" spans="6:35" ht="18">
      <c r="F216" s="3837"/>
      <c r="G216" s="3837"/>
      <c r="H216" s="3837"/>
      <c r="I216" s="3837"/>
      <c r="J216" s="3837"/>
      <c r="K216" s="3837"/>
      <c r="L216" s="3837"/>
      <c r="M216" s="3837"/>
      <c r="N216" s="3837"/>
      <c r="S216" s="3888"/>
      <c r="T216" s="3888"/>
      <c r="U216" s="338"/>
      <c r="V216" s="3738"/>
      <c r="W216" s="3738"/>
      <c r="X216" s="3738"/>
      <c r="Y216" s="3738"/>
      <c r="Z216" s="3738"/>
      <c r="AA216" s="3738"/>
      <c r="AB216" s="3738"/>
      <c r="AC216" s="3738"/>
      <c r="AD216" s="3738"/>
      <c r="AE216" s="3837"/>
      <c r="AF216" s="901"/>
      <c r="AG216" s="3976"/>
      <c r="AH216" s="3837"/>
      <c r="AI216" s="3837"/>
    </row>
    <row r="217" spans="6:35" ht="18">
      <c r="F217" s="3837"/>
      <c r="G217" s="3837"/>
      <c r="H217" s="3837"/>
      <c r="I217" s="3837"/>
      <c r="J217" s="3837"/>
      <c r="K217" s="3837"/>
      <c r="L217" s="3837"/>
      <c r="M217" s="3837"/>
      <c r="N217" s="3837"/>
      <c r="S217" s="3888"/>
      <c r="T217" s="3888"/>
      <c r="U217" s="338"/>
      <c r="V217" s="3738"/>
      <c r="W217" s="3738"/>
      <c r="X217" s="3738"/>
      <c r="Y217" s="3738"/>
      <c r="Z217" s="3738"/>
      <c r="AA217" s="3738"/>
      <c r="AB217" s="3738"/>
      <c r="AC217" s="3738"/>
      <c r="AD217" s="3738"/>
      <c r="AE217" s="3837"/>
      <c r="AF217" s="901"/>
      <c r="AG217" s="3976"/>
      <c r="AH217" s="3837"/>
      <c r="AI217" s="3837"/>
    </row>
    <row r="218" spans="6:35" ht="18">
      <c r="F218" s="3837"/>
      <c r="G218" s="3837"/>
      <c r="H218" s="3837"/>
      <c r="I218" s="3837"/>
      <c r="J218" s="3837"/>
      <c r="K218" s="3837"/>
      <c r="L218" s="3837"/>
      <c r="M218" s="3837"/>
      <c r="N218" s="3837"/>
      <c r="S218" s="3888"/>
      <c r="T218" s="3888"/>
      <c r="U218" s="338"/>
      <c r="V218" s="3738"/>
      <c r="W218" s="3738"/>
      <c r="X218" s="3738"/>
      <c r="Y218" s="3738"/>
      <c r="Z218" s="3738"/>
      <c r="AA218" s="3738"/>
      <c r="AB218" s="3738"/>
      <c r="AC218" s="3738"/>
      <c r="AD218" s="3738"/>
      <c r="AE218" s="3837"/>
      <c r="AF218" s="901"/>
      <c r="AG218" s="3976"/>
      <c r="AH218" s="3837"/>
      <c r="AI218" s="3837"/>
    </row>
    <row r="219" spans="6:35" ht="18">
      <c r="F219" s="3837"/>
      <c r="G219" s="3837"/>
      <c r="H219" s="3837"/>
      <c r="I219" s="3837"/>
      <c r="J219" s="3837"/>
      <c r="K219" s="3837"/>
      <c r="L219" s="3837"/>
      <c r="M219" s="3837"/>
      <c r="N219" s="3837"/>
      <c r="S219" s="3888"/>
      <c r="T219" s="3888"/>
      <c r="U219" s="338"/>
      <c r="V219" s="3738"/>
      <c r="W219" s="3738"/>
      <c r="X219" s="3738"/>
      <c r="Y219" s="3738"/>
      <c r="Z219" s="3738"/>
      <c r="AA219" s="3738"/>
      <c r="AB219" s="3738"/>
      <c r="AC219" s="3738"/>
      <c r="AD219" s="3738"/>
      <c r="AE219" s="3837"/>
      <c r="AF219" s="901"/>
      <c r="AG219" s="3976"/>
      <c r="AH219" s="3837"/>
      <c r="AI219" s="3837"/>
    </row>
    <row r="220" spans="6:35" ht="18">
      <c r="F220" s="3837"/>
      <c r="G220" s="3837"/>
      <c r="H220" s="3837"/>
      <c r="I220" s="3837"/>
      <c r="J220" s="3837"/>
      <c r="K220" s="3837"/>
      <c r="L220" s="3837"/>
      <c r="M220" s="3837"/>
      <c r="N220" s="3837"/>
      <c r="S220" s="3888"/>
      <c r="T220" s="3888"/>
      <c r="U220" s="338"/>
      <c r="V220" s="3738"/>
      <c r="W220" s="3738"/>
      <c r="X220" s="3738"/>
      <c r="Y220" s="3738"/>
      <c r="Z220" s="3738"/>
      <c r="AA220" s="3738"/>
      <c r="AB220" s="3738"/>
      <c r="AC220" s="3738"/>
      <c r="AD220" s="3738"/>
      <c r="AE220" s="3837"/>
      <c r="AF220" s="901"/>
      <c r="AG220" s="3976"/>
      <c r="AH220" s="3837"/>
      <c r="AI220" s="3837"/>
    </row>
    <row r="221" spans="6:35" ht="18">
      <c r="F221" s="3837"/>
      <c r="G221" s="3837"/>
      <c r="H221" s="3837"/>
      <c r="I221" s="3837"/>
      <c r="J221" s="3837"/>
      <c r="K221" s="3837"/>
      <c r="L221" s="3837"/>
      <c r="M221" s="3837"/>
      <c r="N221" s="3837"/>
      <c r="S221" s="3888"/>
      <c r="T221" s="3888"/>
      <c r="U221" s="338"/>
      <c r="V221" s="3738"/>
      <c r="W221" s="3738"/>
      <c r="X221" s="3738"/>
      <c r="Y221" s="3738"/>
      <c r="Z221" s="3738"/>
      <c r="AA221" s="3738"/>
      <c r="AB221" s="3738"/>
      <c r="AC221" s="3738"/>
      <c r="AD221" s="3738"/>
      <c r="AE221" s="3837"/>
      <c r="AF221" s="901"/>
      <c r="AG221" s="3976"/>
      <c r="AH221" s="3837"/>
      <c r="AI221" s="3837"/>
    </row>
    <row r="222" spans="6:35" ht="18">
      <c r="F222" s="3837"/>
      <c r="G222" s="3837"/>
      <c r="H222" s="3837"/>
      <c r="I222" s="3837"/>
      <c r="J222" s="3837"/>
      <c r="K222" s="3837"/>
      <c r="L222" s="3837"/>
      <c r="M222" s="3837"/>
      <c r="N222" s="3837"/>
      <c r="S222" s="3888"/>
      <c r="T222" s="3888"/>
      <c r="U222" s="338"/>
      <c r="V222" s="3738"/>
      <c r="W222" s="3738"/>
      <c r="X222" s="3738"/>
      <c r="Y222" s="3738"/>
      <c r="Z222" s="3738"/>
      <c r="AA222" s="3738"/>
      <c r="AB222" s="3738"/>
      <c r="AC222" s="3738"/>
      <c r="AD222" s="3738"/>
      <c r="AE222" s="3837"/>
      <c r="AF222" s="901"/>
      <c r="AG222" s="3976"/>
      <c r="AH222" s="3837"/>
      <c r="AI222" s="3837"/>
    </row>
    <row r="223" spans="6:35" ht="18">
      <c r="F223" s="3837"/>
      <c r="G223" s="3837"/>
      <c r="H223" s="3837"/>
      <c r="I223" s="3837"/>
      <c r="J223" s="3837"/>
      <c r="K223" s="3837"/>
      <c r="L223" s="3837"/>
      <c r="M223" s="3837"/>
      <c r="N223" s="3837"/>
      <c r="S223" s="3888"/>
      <c r="T223" s="3888"/>
      <c r="U223" s="338"/>
      <c r="V223" s="3738"/>
      <c r="W223" s="3738"/>
      <c r="X223" s="3738"/>
      <c r="Y223" s="3738"/>
      <c r="Z223" s="3738"/>
      <c r="AA223" s="3738"/>
      <c r="AB223" s="3738"/>
      <c r="AC223" s="3738"/>
      <c r="AD223" s="3738"/>
      <c r="AE223" s="3837"/>
      <c r="AF223" s="901"/>
      <c r="AG223" s="3976"/>
      <c r="AH223" s="3837"/>
      <c r="AI223" s="3837"/>
    </row>
    <row r="224" spans="6:35" ht="18">
      <c r="F224" s="3837"/>
      <c r="G224" s="3837"/>
      <c r="H224" s="3837"/>
      <c r="I224" s="3837"/>
      <c r="J224" s="3837"/>
      <c r="K224" s="3837"/>
      <c r="L224" s="3837"/>
      <c r="M224" s="3837"/>
      <c r="N224" s="3837"/>
      <c r="S224" s="3888"/>
      <c r="T224" s="3888"/>
      <c r="U224" s="338"/>
      <c r="V224" s="3738"/>
      <c r="W224" s="3738"/>
      <c r="X224" s="3738"/>
      <c r="Y224" s="3738"/>
      <c r="Z224" s="3738"/>
      <c r="AA224" s="3738"/>
      <c r="AB224" s="3738"/>
      <c r="AC224" s="3738"/>
      <c r="AD224" s="3738"/>
      <c r="AE224" s="3837"/>
      <c r="AF224" s="901"/>
      <c r="AG224" s="3976"/>
      <c r="AH224" s="3837"/>
      <c r="AI224" s="3837"/>
    </row>
    <row r="225" spans="6:35" ht="18">
      <c r="F225" s="3837"/>
      <c r="G225" s="3837"/>
      <c r="H225" s="3837"/>
      <c r="I225" s="3837"/>
      <c r="J225" s="3837"/>
      <c r="K225" s="3837"/>
      <c r="L225" s="3837"/>
      <c r="M225" s="3837"/>
      <c r="N225" s="3837"/>
      <c r="S225" s="3888"/>
      <c r="T225" s="3888"/>
      <c r="U225" s="338"/>
      <c r="V225" s="3738"/>
      <c r="W225" s="3738"/>
      <c r="X225" s="3738"/>
      <c r="Y225" s="3738"/>
      <c r="Z225" s="3738"/>
      <c r="AA225" s="3738"/>
      <c r="AB225" s="3738"/>
      <c r="AC225" s="3738"/>
      <c r="AD225" s="3738"/>
      <c r="AE225" s="3837"/>
      <c r="AF225" s="901"/>
      <c r="AG225" s="3976"/>
      <c r="AH225" s="3837"/>
      <c r="AI225" s="3837"/>
    </row>
    <row r="226" spans="6:35" ht="18">
      <c r="F226" s="3837"/>
      <c r="G226" s="3837"/>
      <c r="H226" s="3837"/>
      <c r="I226" s="3837"/>
      <c r="J226" s="3837"/>
      <c r="K226" s="3837"/>
      <c r="L226" s="3837"/>
      <c r="M226" s="3837"/>
      <c r="N226" s="3837"/>
      <c r="S226" s="3888"/>
      <c r="T226" s="3888"/>
      <c r="U226" s="338"/>
      <c r="V226" s="3738"/>
      <c r="W226" s="3738"/>
      <c r="X226" s="3738"/>
      <c r="Y226" s="3738"/>
      <c r="Z226" s="3738"/>
      <c r="AA226" s="3738"/>
      <c r="AB226" s="3738"/>
      <c r="AC226" s="3738"/>
      <c r="AD226" s="3738"/>
      <c r="AE226" s="3837"/>
      <c r="AF226" s="901"/>
      <c r="AG226" s="3976"/>
      <c r="AH226" s="3837"/>
      <c r="AI226" s="3837"/>
    </row>
    <row r="227" spans="6:35" ht="18">
      <c r="F227" s="3837"/>
      <c r="G227" s="3837"/>
      <c r="H227" s="3837"/>
      <c r="I227" s="3837"/>
      <c r="J227" s="3837"/>
      <c r="K227" s="3837"/>
      <c r="L227" s="3837"/>
      <c r="M227" s="3837"/>
      <c r="N227" s="3837"/>
      <c r="S227" s="3888"/>
      <c r="T227" s="3888"/>
      <c r="U227" s="338"/>
      <c r="V227" s="3738"/>
      <c r="W227" s="3738"/>
      <c r="X227" s="3738"/>
      <c r="Y227" s="3738"/>
      <c r="Z227" s="3738"/>
      <c r="AA227" s="3738"/>
      <c r="AB227" s="3738"/>
      <c r="AC227" s="3738"/>
      <c r="AD227" s="3738"/>
      <c r="AE227" s="3837"/>
      <c r="AF227" s="901"/>
      <c r="AG227" s="3976"/>
      <c r="AH227" s="3837"/>
      <c r="AI227" s="3837"/>
    </row>
    <row r="228" spans="6:35" ht="18">
      <c r="F228" s="3837"/>
      <c r="G228" s="3837"/>
      <c r="H228" s="3837"/>
      <c r="I228" s="3837"/>
      <c r="J228" s="3837"/>
      <c r="K228" s="3837"/>
      <c r="L228" s="3837"/>
      <c r="M228" s="3837"/>
      <c r="N228" s="3837"/>
      <c r="S228" s="3888"/>
      <c r="T228" s="3888"/>
      <c r="U228" s="338"/>
      <c r="V228" s="3738"/>
      <c r="W228" s="3738"/>
      <c r="X228" s="3738"/>
      <c r="Y228" s="3738"/>
      <c r="Z228" s="3738"/>
      <c r="AA228" s="3738"/>
      <c r="AB228" s="3738"/>
      <c r="AC228" s="3738"/>
      <c r="AD228" s="3738"/>
      <c r="AE228" s="3837"/>
      <c r="AF228" s="901"/>
      <c r="AG228" s="3976"/>
      <c r="AH228" s="3837"/>
      <c r="AI228" s="3837"/>
    </row>
    <row r="229" spans="6:35" ht="18">
      <c r="F229" s="3837"/>
      <c r="G229" s="3837"/>
      <c r="H229" s="3837"/>
      <c r="I229" s="3837"/>
      <c r="J229" s="3837"/>
      <c r="K229" s="3837"/>
      <c r="L229" s="3837"/>
      <c r="M229" s="3837"/>
      <c r="N229" s="3837"/>
      <c r="S229" s="3888"/>
      <c r="T229" s="3888"/>
      <c r="U229" s="338"/>
      <c r="V229" s="3738"/>
      <c r="W229" s="3738"/>
      <c r="X229" s="3738"/>
      <c r="Y229" s="3738"/>
      <c r="Z229" s="3738"/>
      <c r="AA229" s="3738"/>
      <c r="AB229" s="3738"/>
      <c r="AC229" s="3738"/>
      <c r="AD229" s="3738"/>
      <c r="AE229" s="3837"/>
      <c r="AF229" s="901"/>
      <c r="AG229" s="3976"/>
      <c r="AH229" s="3837"/>
      <c r="AI229" s="3837"/>
    </row>
    <row r="230" spans="6:35" ht="18">
      <c r="F230" s="3837"/>
      <c r="G230" s="3837"/>
      <c r="H230" s="3837"/>
      <c r="I230" s="3837"/>
      <c r="J230" s="3837"/>
      <c r="K230" s="3837"/>
      <c r="L230" s="3837"/>
      <c r="M230" s="3837"/>
      <c r="N230" s="3837"/>
      <c r="S230" s="3888"/>
      <c r="T230" s="3888"/>
      <c r="U230" s="338"/>
      <c r="V230" s="3738"/>
      <c r="W230" s="3738"/>
      <c r="X230" s="3738"/>
      <c r="Y230" s="3738"/>
      <c r="Z230" s="3738"/>
      <c r="AA230" s="3738"/>
      <c r="AB230" s="3738"/>
      <c r="AC230" s="3738"/>
      <c r="AD230" s="3738"/>
      <c r="AE230" s="3837"/>
      <c r="AF230" s="901"/>
      <c r="AG230" s="3976"/>
      <c r="AH230" s="3837"/>
      <c r="AI230" s="3837"/>
    </row>
    <row r="231" spans="6:35" ht="18">
      <c r="F231" s="3837"/>
      <c r="G231" s="3837"/>
      <c r="H231" s="3837"/>
      <c r="I231" s="3837"/>
      <c r="J231" s="3837"/>
      <c r="K231" s="3837"/>
      <c r="L231" s="3837"/>
      <c r="M231" s="3837"/>
      <c r="N231" s="3837"/>
      <c r="S231" s="3888"/>
      <c r="T231" s="3888"/>
      <c r="U231" s="338"/>
      <c r="V231" s="3738"/>
      <c r="W231" s="3738"/>
      <c r="X231" s="3738"/>
      <c r="Y231" s="3738"/>
      <c r="Z231" s="3738"/>
      <c r="AA231" s="3738"/>
      <c r="AB231" s="3738"/>
      <c r="AC231" s="3738"/>
      <c r="AD231" s="3738"/>
      <c r="AE231" s="3837"/>
      <c r="AF231" s="901"/>
      <c r="AG231" s="3976"/>
      <c r="AH231" s="3837"/>
      <c r="AI231" s="3837"/>
    </row>
    <row r="232" spans="6:35" ht="18">
      <c r="F232" s="3837"/>
      <c r="G232" s="3837"/>
      <c r="H232" s="3837"/>
      <c r="I232" s="3837"/>
      <c r="J232" s="3837"/>
      <c r="K232" s="3837"/>
      <c r="L232" s="3837"/>
      <c r="M232" s="3837"/>
      <c r="N232" s="3837"/>
      <c r="S232" s="3888"/>
      <c r="T232" s="3888"/>
      <c r="U232" s="338"/>
      <c r="V232" s="3738"/>
      <c r="W232" s="3738"/>
      <c r="X232" s="3738"/>
      <c r="Y232" s="3738"/>
      <c r="Z232" s="3738"/>
      <c r="AA232" s="3738"/>
      <c r="AB232" s="3738"/>
      <c r="AC232" s="3738"/>
      <c r="AD232" s="3738"/>
      <c r="AE232" s="3837"/>
      <c r="AF232" s="901"/>
      <c r="AG232" s="3976"/>
      <c r="AH232" s="3837"/>
      <c r="AI232" s="3837"/>
    </row>
    <row r="233" spans="6:35" ht="18">
      <c r="F233" s="3837"/>
      <c r="G233" s="3837"/>
      <c r="H233" s="3837"/>
      <c r="I233" s="3837"/>
      <c r="J233" s="3837"/>
      <c r="K233" s="3837"/>
      <c r="L233" s="3837"/>
      <c r="M233" s="3837"/>
      <c r="N233" s="3837"/>
      <c r="S233" s="3888"/>
      <c r="T233" s="3888"/>
      <c r="U233" s="338"/>
      <c r="V233" s="3738"/>
      <c r="W233" s="3738"/>
      <c r="X233" s="3738"/>
      <c r="Y233" s="3738"/>
      <c r="Z233" s="3738"/>
      <c r="AA233" s="3738"/>
      <c r="AB233" s="3738"/>
      <c r="AC233" s="3738"/>
      <c r="AD233" s="3738"/>
      <c r="AE233" s="3837"/>
      <c r="AF233" s="901"/>
      <c r="AG233" s="3976"/>
      <c r="AH233" s="3837"/>
      <c r="AI233" s="3837"/>
    </row>
    <row r="234" spans="6:35" ht="18">
      <c r="F234" s="3837"/>
      <c r="G234" s="3837"/>
      <c r="H234" s="3837"/>
      <c r="I234" s="3837"/>
      <c r="J234" s="3837"/>
      <c r="K234" s="3837"/>
      <c r="L234" s="3837"/>
      <c r="M234" s="3837"/>
      <c r="N234" s="3837"/>
      <c r="S234" s="3888"/>
      <c r="T234" s="3888"/>
      <c r="U234" s="338"/>
      <c r="V234" s="3738"/>
      <c r="W234" s="3738"/>
      <c r="X234" s="3738"/>
      <c r="Y234" s="3738"/>
      <c r="Z234" s="3738"/>
      <c r="AA234" s="3738"/>
      <c r="AB234" s="3738"/>
      <c r="AC234" s="3738"/>
      <c r="AD234" s="3738"/>
      <c r="AE234" s="3837"/>
      <c r="AF234" s="901"/>
      <c r="AG234" s="3976"/>
      <c r="AH234" s="3837"/>
      <c r="AI234" s="3837"/>
    </row>
    <row r="235" spans="6:35" ht="18">
      <c r="F235" s="3837"/>
      <c r="G235" s="3837"/>
      <c r="H235" s="3837"/>
      <c r="I235" s="3837"/>
      <c r="J235" s="3837"/>
      <c r="K235" s="3837"/>
      <c r="L235" s="3837"/>
      <c r="M235" s="3837"/>
      <c r="N235" s="3837"/>
      <c r="S235" s="3888"/>
      <c r="T235" s="3888"/>
      <c r="U235" s="338"/>
      <c r="V235" s="3738"/>
      <c r="W235" s="3738"/>
      <c r="X235" s="3738"/>
      <c r="Y235" s="3738"/>
      <c r="Z235" s="3738"/>
      <c r="AA235" s="3738"/>
      <c r="AB235" s="3738"/>
      <c r="AC235" s="3738"/>
      <c r="AD235" s="3738"/>
      <c r="AE235" s="3837"/>
      <c r="AF235" s="901"/>
      <c r="AG235" s="3976"/>
      <c r="AH235" s="3837"/>
      <c r="AI235" s="3837"/>
    </row>
    <row r="236" spans="6:35" ht="18">
      <c r="F236" s="3837"/>
      <c r="G236" s="3837"/>
      <c r="H236" s="3837"/>
      <c r="I236" s="3837"/>
      <c r="J236" s="3837"/>
      <c r="K236" s="3837"/>
      <c r="L236" s="3837"/>
      <c r="M236" s="3837"/>
      <c r="N236" s="3837"/>
      <c r="S236" s="3888"/>
      <c r="T236" s="3888"/>
      <c r="U236" s="338"/>
      <c r="V236" s="3738"/>
      <c r="W236" s="3738"/>
      <c r="X236" s="3738"/>
      <c r="Y236" s="3738"/>
      <c r="Z236" s="3738"/>
      <c r="AA236" s="3738"/>
      <c r="AB236" s="3738"/>
      <c r="AC236" s="3738"/>
      <c r="AD236" s="3738"/>
      <c r="AE236" s="3837"/>
      <c r="AF236" s="901"/>
      <c r="AG236" s="3976"/>
      <c r="AH236" s="3837"/>
      <c r="AI236" s="3837"/>
    </row>
    <row r="237" spans="6:35" ht="18">
      <c r="F237" s="3837"/>
      <c r="G237" s="3837"/>
      <c r="H237" s="3837"/>
      <c r="I237" s="3837"/>
      <c r="J237" s="3837"/>
      <c r="K237" s="3837"/>
      <c r="L237" s="3837"/>
      <c r="M237" s="3837"/>
      <c r="N237" s="3837"/>
      <c r="S237" s="3888"/>
      <c r="T237" s="3888"/>
      <c r="U237" s="338"/>
      <c r="V237" s="3738"/>
      <c r="W237" s="3738"/>
      <c r="X237" s="3738"/>
      <c r="Y237" s="3738"/>
      <c r="Z237" s="3738"/>
      <c r="AA237" s="3738"/>
      <c r="AB237" s="3738"/>
      <c r="AC237" s="3738"/>
      <c r="AD237" s="3738"/>
      <c r="AE237" s="3837"/>
      <c r="AF237" s="901"/>
      <c r="AG237" s="3976"/>
      <c r="AH237" s="3837"/>
      <c r="AI237" s="3837"/>
    </row>
    <row r="238" spans="6:35" ht="18">
      <c r="F238" s="3837"/>
      <c r="G238" s="3837"/>
      <c r="H238" s="3837"/>
      <c r="I238" s="3837"/>
      <c r="J238" s="3837"/>
      <c r="K238" s="3837"/>
      <c r="L238" s="3837"/>
      <c r="M238" s="3837"/>
      <c r="N238" s="3837"/>
      <c r="S238" s="3888"/>
      <c r="T238" s="3888"/>
      <c r="U238" s="338"/>
      <c r="V238" s="3738"/>
      <c r="W238" s="3738"/>
      <c r="X238" s="3738"/>
      <c r="Y238" s="3738"/>
      <c r="Z238" s="3738"/>
      <c r="AA238" s="3738"/>
      <c r="AB238" s="3738"/>
      <c r="AC238" s="3738"/>
      <c r="AD238" s="3738"/>
      <c r="AE238" s="3837"/>
      <c r="AF238" s="901"/>
      <c r="AG238" s="3976"/>
      <c r="AH238" s="3837"/>
      <c r="AI238" s="3837"/>
    </row>
    <row r="239" spans="6:35" ht="18">
      <c r="F239" s="3837"/>
      <c r="G239" s="3837"/>
      <c r="H239" s="3837"/>
      <c r="I239" s="3837"/>
      <c r="J239" s="3837"/>
      <c r="K239" s="3837"/>
      <c r="L239" s="3837"/>
      <c r="M239" s="3837"/>
      <c r="N239" s="3837"/>
      <c r="S239" s="3888"/>
      <c r="T239" s="3888"/>
      <c r="U239" s="338"/>
      <c r="V239" s="3738"/>
      <c r="W239" s="3738"/>
      <c r="X239" s="3738"/>
      <c r="Y239" s="3738"/>
      <c r="Z239" s="3738"/>
      <c r="AA239" s="3738"/>
      <c r="AB239" s="3738"/>
      <c r="AC239" s="3738"/>
      <c r="AD239" s="3738"/>
      <c r="AE239" s="3837"/>
      <c r="AF239" s="901"/>
      <c r="AG239" s="3976"/>
      <c r="AH239" s="3837"/>
      <c r="AI239" s="3837"/>
    </row>
    <row r="240" spans="6:35" ht="18">
      <c r="F240" s="3837"/>
      <c r="G240" s="3837"/>
      <c r="H240" s="3837"/>
      <c r="I240" s="3837"/>
      <c r="J240" s="3837"/>
      <c r="K240" s="3837"/>
      <c r="L240" s="3837"/>
      <c r="M240" s="3837"/>
      <c r="N240" s="3837"/>
      <c r="S240" s="3888"/>
      <c r="T240" s="3888"/>
      <c r="U240" s="338"/>
      <c r="V240" s="3738"/>
      <c r="W240" s="3738"/>
      <c r="X240" s="3738"/>
      <c r="Y240" s="3738"/>
      <c r="Z240" s="3738"/>
      <c r="AA240" s="3738"/>
      <c r="AB240" s="3738"/>
      <c r="AC240" s="3738"/>
      <c r="AD240" s="3738"/>
      <c r="AE240" s="3837"/>
      <c r="AF240" s="901"/>
      <c r="AG240" s="3976"/>
      <c r="AH240" s="3837"/>
      <c r="AI240" s="3837"/>
    </row>
    <row r="241" spans="6:35" ht="18">
      <c r="F241" s="3837"/>
      <c r="G241" s="3837"/>
      <c r="H241" s="3837"/>
      <c r="I241" s="3837"/>
      <c r="J241" s="3837"/>
      <c r="K241" s="3837"/>
      <c r="L241" s="3837"/>
      <c r="M241" s="3837"/>
      <c r="N241" s="3837"/>
      <c r="S241" s="3888"/>
      <c r="T241" s="3888"/>
      <c r="U241" s="338"/>
      <c r="V241" s="3738"/>
      <c r="W241" s="3738"/>
      <c r="X241" s="3738"/>
      <c r="Y241" s="3738"/>
      <c r="Z241" s="3738"/>
      <c r="AA241" s="3738"/>
      <c r="AB241" s="3738"/>
      <c r="AC241" s="3738"/>
      <c r="AD241" s="3738"/>
      <c r="AE241" s="3837"/>
      <c r="AF241" s="901"/>
      <c r="AG241" s="3976"/>
      <c r="AH241" s="3837"/>
      <c r="AI241" s="3837"/>
    </row>
    <row r="242" spans="6:35" ht="18">
      <c r="F242" s="3837"/>
      <c r="G242" s="3837"/>
      <c r="H242" s="3837"/>
      <c r="I242" s="3837"/>
      <c r="J242" s="3837"/>
      <c r="K242" s="3837"/>
      <c r="L242" s="3837"/>
      <c r="M242" s="3837"/>
      <c r="N242" s="3837"/>
      <c r="S242" s="3888"/>
      <c r="T242" s="3888"/>
      <c r="U242" s="338"/>
      <c r="V242" s="3738"/>
      <c r="W242" s="3738"/>
      <c r="X242" s="3738"/>
      <c r="Y242" s="3738"/>
      <c r="Z242" s="3738"/>
      <c r="AA242" s="3738"/>
      <c r="AB242" s="3738"/>
      <c r="AC242" s="3738"/>
      <c r="AD242" s="3738"/>
      <c r="AE242" s="3837"/>
      <c r="AF242" s="901"/>
      <c r="AG242" s="3976"/>
      <c r="AH242" s="3837"/>
      <c r="AI242" s="3837"/>
    </row>
    <row r="243" spans="6:35" ht="18">
      <c r="F243" s="3837"/>
      <c r="G243" s="3837"/>
      <c r="H243" s="3837"/>
      <c r="I243" s="3837"/>
      <c r="J243" s="3837"/>
      <c r="K243" s="3837"/>
      <c r="L243" s="3837"/>
      <c r="M243" s="3837"/>
      <c r="N243" s="3837"/>
      <c r="S243" s="3888"/>
      <c r="T243" s="3888"/>
      <c r="U243" s="338"/>
      <c r="V243" s="3738"/>
      <c r="W243" s="3738"/>
      <c r="X243" s="3738"/>
      <c r="Y243" s="3738"/>
      <c r="Z243" s="3738"/>
      <c r="AA243" s="3738"/>
      <c r="AB243" s="3738"/>
      <c r="AC243" s="3738"/>
      <c r="AD243" s="3738"/>
      <c r="AE243" s="3837"/>
      <c r="AF243" s="901"/>
      <c r="AG243" s="3976"/>
      <c r="AH243" s="3837"/>
      <c r="AI243" s="3837"/>
    </row>
    <row r="244" spans="6:35" ht="18">
      <c r="F244" s="3837"/>
      <c r="G244" s="3837"/>
      <c r="H244" s="3837"/>
      <c r="I244" s="3837"/>
      <c r="J244" s="3837"/>
      <c r="K244" s="3837"/>
      <c r="L244" s="3837"/>
      <c r="M244" s="3837"/>
      <c r="N244" s="3837"/>
      <c r="S244" s="3888"/>
      <c r="T244" s="3888"/>
      <c r="U244" s="338"/>
      <c r="V244" s="3738"/>
      <c r="W244" s="3738"/>
      <c r="X244" s="3738"/>
      <c r="Y244" s="3738"/>
      <c r="Z244" s="3738"/>
      <c r="AA244" s="3738"/>
      <c r="AB244" s="3738"/>
      <c r="AC244" s="3738"/>
      <c r="AD244" s="3738"/>
      <c r="AE244" s="3837"/>
      <c r="AF244" s="901"/>
      <c r="AG244" s="3976"/>
      <c r="AH244" s="3837"/>
      <c r="AI244" s="3837"/>
    </row>
    <row r="245" spans="6:35" ht="18">
      <c r="F245" s="3837"/>
      <c r="G245" s="3837"/>
      <c r="H245" s="3837"/>
      <c r="I245" s="3837"/>
      <c r="J245" s="3837"/>
      <c r="K245" s="3837"/>
      <c r="L245" s="3837"/>
      <c r="M245" s="3837"/>
      <c r="N245" s="3837"/>
      <c r="S245" s="3888"/>
      <c r="T245" s="3888"/>
      <c r="U245" s="338"/>
      <c r="V245" s="3738"/>
      <c r="W245" s="3738"/>
      <c r="X245" s="3738"/>
      <c r="Y245" s="3738"/>
      <c r="Z245" s="3738"/>
      <c r="AA245" s="3738"/>
      <c r="AB245" s="3738"/>
      <c r="AC245" s="3738"/>
      <c r="AD245" s="3738"/>
      <c r="AE245" s="3837"/>
      <c r="AF245" s="901"/>
      <c r="AG245" s="3976"/>
      <c r="AH245" s="3837"/>
      <c r="AI245" s="3837"/>
    </row>
    <row r="246" spans="6:35" ht="18">
      <c r="F246" s="3837"/>
      <c r="G246" s="3837"/>
      <c r="H246" s="3837"/>
      <c r="I246" s="3837"/>
      <c r="J246" s="3837"/>
      <c r="K246" s="3837"/>
      <c r="L246" s="3837"/>
      <c r="M246" s="3837"/>
      <c r="N246" s="3837"/>
      <c r="S246" s="3888"/>
      <c r="T246" s="3888"/>
      <c r="U246" s="338"/>
      <c r="V246" s="3738"/>
      <c r="W246" s="3738"/>
      <c r="X246" s="3738"/>
      <c r="Y246" s="3738"/>
      <c r="Z246" s="3738"/>
      <c r="AA246" s="3738"/>
      <c r="AB246" s="3738"/>
      <c r="AC246" s="3738"/>
      <c r="AD246" s="3738"/>
      <c r="AE246" s="3837"/>
      <c r="AF246" s="901"/>
      <c r="AG246" s="3976"/>
      <c r="AH246" s="3837"/>
      <c r="AI246" s="3837"/>
    </row>
    <row r="247" spans="6:35" ht="18">
      <c r="F247" s="3837"/>
      <c r="G247" s="3837"/>
      <c r="H247" s="3837"/>
      <c r="I247" s="3837"/>
      <c r="J247" s="3837"/>
      <c r="K247" s="3837"/>
      <c r="L247" s="3837"/>
      <c r="M247" s="3837"/>
      <c r="N247" s="3837"/>
      <c r="S247" s="3888"/>
      <c r="T247" s="3888"/>
      <c r="U247" s="338"/>
      <c r="V247" s="3738"/>
      <c r="W247" s="3738"/>
      <c r="X247" s="3738"/>
      <c r="Y247" s="3738"/>
      <c r="Z247" s="3738"/>
      <c r="AA247" s="3738"/>
      <c r="AB247" s="3738"/>
      <c r="AC247" s="3738"/>
      <c r="AD247" s="3738"/>
      <c r="AE247" s="3837"/>
      <c r="AF247" s="901"/>
      <c r="AG247" s="3976"/>
      <c r="AH247" s="3837"/>
      <c r="AI247" s="3837"/>
    </row>
    <row r="248" spans="6:35" ht="18">
      <c r="F248" s="3837"/>
      <c r="G248" s="3837"/>
      <c r="H248" s="3837"/>
      <c r="I248" s="3837"/>
      <c r="J248" s="3837"/>
      <c r="K248" s="3837"/>
      <c r="L248" s="3837"/>
      <c r="M248" s="3837"/>
      <c r="N248" s="3837"/>
      <c r="S248" s="3888"/>
      <c r="T248" s="3888"/>
      <c r="U248" s="338"/>
      <c r="V248" s="3738"/>
      <c r="W248" s="3738"/>
      <c r="X248" s="3738"/>
      <c r="Y248" s="3738"/>
      <c r="Z248" s="3738"/>
      <c r="AA248" s="3738"/>
      <c r="AB248" s="3738"/>
      <c r="AC248" s="3738"/>
      <c r="AD248" s="3738"/>
      <c r="AE248" s="3837"/>
      <c r="AF248" s="901"/>
      <c r="AG248" s="3976"/>
      <c r="AH248" s="3837"/>
      <c r="AI248" s="3837"/>
    </row>
    <row r="249" spans="6:35" ht="18">
      <c r="F249" s="3837"/>
      <c r="G249" s="3837"/>
      <c r="H249" s="3837"/>
      <c r="I249" s="3837"/>
      <c r="J249" s="3837"/>
      <c r="K249" s="3837"/>
      <c r="L249" s="3837"/>
      <c r="M249" s="3837"/>
      <c r="N249" s="3837"/>
      <c r="S249" s="3888"/>
      <c r="T249" s="3888"/>
      <c r="U249" s="338"/>
      <c r="V249" s="3738"/>
      <c r="W249" s="3738"/>
      <c r="X249" s="3738"/>
      <c r="Y249" s="3738"/>
      <c r="Z249" s="3738"/>
      <c r="AA249" s="3738"/>
      <c r="AB249" s="3738"/>
      <c r="AC249" s="3738"/>
      <c r="AD249" s="3738"/>
      <c r="AE249" s="3837"/>
      <c r="AF249" s="901"/>
      <c r="AG249" s="3976"/>
      <c r="AH249" s="3837"/>
      <c r="AI249" s="3837"/>
    </row>
    <row r="250" spans="6:35" ht="18">
      <c r="F250" s="3837"/>
      <c r="G250" s="3837"/>
      <c r="H250" s="3837"/>
      <c r="I250" s="3837"/>
      <c r="J250" s="3837"/>
      <c r="K250" s="3837"/>
      <c r="L250" s="3837"/>
      <c r="M250" s="3837"/>
      <c r="N250" s="3837"/>
      <c r="S250" s="3888"/>
      <c r="T250" s="3888"/>
      <c r="U250" s="338"/>
      <c r="V250" s="3738"/>
      <c r="W250" s="3738"/>
      <c r="X250" s="3738"/>
      <c r="Y250" s="3738"/>
      <c r="Z250" s="3738"/>
      <c r="AA250" s="3738"/>
      <c r="AB250" s="3738"/>
      <c r="AC250" s="3738"/>
      <c r="AD250" s="3738"/>
      <c r="AE250" s="3837"/>
      <c r="AF250" s="901"/>
      <c r="AG250" s="3976"/>
      <c r="AH250" s="3837"/>
      <c r="AI250" s="3837"/>
    </row>
    <row r="251" spans="6:35" ht="18">
      <c r="F251" s="3837"/>
      <c r="G251" s="3837"/>
      <c r="H251" s="3837"/>
      <c r="I251" s="3837"/>
      <c r="J251" s="3837"/>
      <c r="K251" s="3837"/>
      <c r="L251" s="3837"/>
      <c r="M251" s="3837"/>
      <c r="N251" s="3837"/>
      <c r="S251" s="3888"/>
      <c r="T251" s="3888"/>
      <c r="U251" s="338"/>
      <c r="V251" s="3738"/>
      <c r="W251" s="3738"/>
      <c r="X251" s="3738"/>
      <c r="Y251" s="3738"/>
      <c r="Z251" s="3738"/>
      <c r="AA251" s="3738"/>
      <c r="AB251" s="3738"/>
      <c r="AC251" s="3738"/>
      <c r="AD251" s="3738"/>
      <c r="AE251" s="3837"/>
      <c r="AF251" s="901"/>
      <c r="AG251" s="3976"/>
      <c r="AH251" s="3837"/>
      <c r="AI251" s="3837"/>
    </row>
    <row r="252" spans="6:35" ht="18">
      <c r="F252" s="3837"/>
      <c r="G252" s="3837"/>
      <c r="H252" s="3837"/>
      <c r="I252" s="3837"/>
      <c r="J252" s="3837"/>
      <c r="K252" s="3837"/>
      <c r="L252" s="3837"/>
      <c r="M252" s="3837"/>
      <c r="N252" s="3837"/>
      <c r="S252" s="3888"/>
      <c r="T252" s="3888"/>
      <c r="U252" s="338"/>
      <c r="V252" s="3738"/>
      <c r="W252" s="3738"/>
      <c r="X252" s="3738"/>
      <c r="Y252" s="3738"/>
      <c r="Z252" s="3738"/>
      <c r="AA252" s="3738"/>
      <c r="AB252" s="3738"/>
      <c r="AC252" s="3738"/>
      <c r="AD252" s="3738"/>
      <c r="AE252" s="3837"/>
      <c r="AF252" s="901"/>
      <c r="AG252" s="3976"/>
      <c r="AH252" s="3837"/>
      <c r="AI252" s="3837"/>
    </row>
    <row r="253" spans="6:35" ht="18">
      <c r="F253" s="3837"/>
      <c r="G253" s="3837"/>
      <c r="H253" s="3837"/>
      <c r="I253" s="3837"/>
      <c r="J253" s="3837"/>
      <c r="K253" s="3837"/>
      <c r="L253" s="3837"/>
      <c r="M253" s="3837"/>
      <c r="N253" s="3837"/>
      <c r="S253" s="3888"/>
      <c r="T253" s="3888"/>
      <c r="U253" s="338"/>
      <c r="V253" s="3738"/>
      <c r="W253" s="3738"/>
      <c r="X253" s="3738"/>
      <c r="Y253" s="3738"/>
      <c r="Z253" s="3738"/>
      <c r="AA253" s="3738"/>
      <c r="AB253" s="3738"/>
      <c r="AC253" s="3738"/>
      <c r="AD253" s="3738"/>
      <c r="AE253" s="3837"/>
      <c r="AF253" s="901"/>
      <c r="AG253" s="3976"/>
      <c r="AH253" s="3837"/>
      <c r="AI253" s="3837"/>
    </row>
    <row r="254" spans="6:35" ht="18">
      <c r="F254" s="3837"/>
      <c r="G254" s="3837"/>
      <c r="H254" s="3837"/>
      <c r="I254" s="3837"/>
      <c r="J254" s="3837"/>
      <c r="K254" s="3837"/>
      <c r="L254" s="3837"/>
      <c r="M254" s="3837"/>
      <c r="N254" s="3837"/>
      <c r="S254" s="3888"/>
      <c r="T254" s="3888"/>
      <c r="U254" s="338"/>
      <c r="V254" s="3738"/>
      <c r="W254" s="3738"/>
      <c r="X254" s="3738"/>
      <c r="Y254" s="3738"/>
      <c r="Z254" s="3738"/>
      <c r="AA254" s="3738"/>
      <c r="AB254" s="3738"/>
      <c r="AC254" s="3738"/>
      <c r="AD254" s="3738"/>
      <c r="AE254" s="3837"/>
      <c r="AF254" s="901"/>
      <c r="AG254" s="3976"/>
      <c r="AH254" s="3837"/>
      <c r="AI254" s="3837"/>
    </row>
    <row r="255" spans="6:35" ht="18">
      <c r="F255" s="3837"/>
      <c r="G255" s="3837"/>
      <c r="H255" s="3837"/>
      <c r="I255" s="3837"/>
      <c r="J255" s="3837"/>
      <c r="K255" s="3837"/>
      <c r="L255" s="3837"/>
      <c r="M255" s="3837"/>
      <c r="N255" s="3837"/>
      <c r="S255" s="3888"/>
      <c r="T255" s="3888"/>
      <c r="U255" s="338"/>
      <c r="V255" s="3738"/>
      <c r="W255" s="3738"/>
      <c r="X255" s="3738"/>
      <c r="Y255" s="3738"/>
      <c r="Z255" s="3738"/>
      <c r="AA255" s="3738"/>
      <c r="AB255" s="3738"/>
      <c r="AC255" s="3738"/>
      <c r="AD255" s="3738"/>
      <c r="AE255" s="3837"/>
      <c r="AF255" s="901"/>
      <c r="AG255" s="3976"/>
      <c r="AH255" s="3837"/>
      <c r="AI255" s="3837"/>
    </row>
    <row r="256" spans="6:35" ht="18">
      <c r="F256" s="3837"/>
      <c r="G256" s="3837"/>
      <c r="H256" s="3837"/>
      <c r="I256" s="3837"/>
      <c r="J256" s="3837"/>
      <c r="K256" s="3837"/>
      <c r="L256" s="3837"/>
      <c r="M256" s="3837"/>
      <c r="N256" s="3837"/>
      <c r="S256" s="3888"/>
      <c r="T256" s="3888"/>
      <c r="U256" s="338"/>
      <c r="V256" s="3738"/>
      <c r="W256" s="3738"/>
      <c r="X256" s="3738"/>
      <c r="Y256" s="3738"/>
      <c r="Z256" s="3738"/>
      <c r="AA256" s="3738"/>
      <c r="AB256" s="3738"/>
      <c r="AC256" s="3738"/>
      <c r="AD256" s="3738"/>
      <c r="AE256" s="3837"/>
      <c r="AF256" s="901"/>
      <c r="AG256" s="3976"/>
      <c r="AH256" s="3837"/>
      <c r="AI256" s="3837"/>
    </row>
    <row r="257" spans="6:35" ht="18">
      <c r="F257" s="3837"/>
      <c r="G257" s="3837"/>
      <c r="H257" s="3837"/>
      <c r="I257" s="3837"/>
      <c r="J257" s="3837"/>
      <c r="K257" s="3837"/>
      <c r="L257" s="3837"/>
      <c r="M257" s="3837"/>
      <c r="N257" s="3837"/>
      <c r="S257" s="3888"/>
      <c r="T257" s="3888"/>
      <c r="U257" s="338"/>
      <c r="V257" s="3738"/>
      <c r="W257" s="3738"/>
      <c r="X257" s="3738"/>
      <c r="Y257" s="3738"/>
      <c r="Z257" s="3738"/>
      <c r="AA257" s="3738"/>
      <c r="AB257" s="3738"/>
      <c r="AC257" s="3738"/>
      <c r="AD257" s="3738"/>
      <c r="AE257" s="3837"/>
      <c r="AF257" s="901"/>
      <c r="AG257" s="3976"/>
      <c r="AH257" s="3837"/>
      <c r="AI257" s="3837"/>
    </row>
    <row r="258" spans="6:35" ht="18">
      <c r="F258" s="3837"/>
      <c r="G258" s="3837"/>
      <c r="H258" s="3837"/>
      <c r="I258" s="3837"/>
      <c r="J258" s="3837"/>
      <c r="K258" s="3837"/>
      <c r="L258" s="3837"/>
      <c r="M258" s="3837"/>
      <c r="N258" s="3837"/>
      <c r="S258" s="3888"/>
      <c r="T258" s="3888"/>
      <c r="U258" s="338"/>
      <c r="V258" s="3738"/>
      <c r="W258" s="3738"/>
      <c r="X258" s="3738"/>
      <c r="Y258" s="3738"/>
      <c r="Z258" s="3738"/>
      <c r="AA258" s="3738"/>
      <c r="AB258" s="3738"/>
      <c r="AC258" s="3738"/>
      <c r="AD258" s="3738"/>
      <c r="AE258" s="3837"/>
      <c r="AF258" s="901"/>
      <c r="AG258" s="3976"/>
      <c r="AH258" s="3837"/>
      <c r="AI258" s="3837"/>
    </row>
    <row r="259" spans="6:35" ht="18">
      <c r="F259" s="3837"/>
      <c r="G259" s="3837"/>
      <c r="H259" s="3837"/>
      <c r="I259" s="3837"/>
      <c r="J259" s="3837"/>
      <c r="K259" s="3837"/>
      <c r="L259" s="3837"/>
      <c r="M259" s="3837"/>
      <c r="N259" s="3837"/>
      <c r="S259" s="3888"/>
      <c r="T259" s="3888"/>
      <c r="U259" s="338"/>
      <c r="V259" s="3738"/>
      <c r="W259" s="3738"/>
      <c r="X259" s="3738"/>
      <c r="Y259" s="3738"/>
      <c r="Z259" s="3738"/>
      <c r="AA259" s="3738"/>
      <c r="AB259" s="3738"/>
      <c r="AC259" s="3738"/>
      <c r="AD259" s="3738"/>
      <c r="AE259" s="3837"/>
      <c r="AF259" s="901"/>
      <c r="AG259" s="3976"/>
      <c r="AH259" s="3837"/>
      <c r="AI259" s="3837"/>
    </row>
    <row r="260" spans="6:35" ht="18">
      <c r="F260" s="3837"/>
      <c r="G260" s="3837"/>
      <c r="H260" s="3837"/>
      <c r="I260" s="3837"/>
      <c r="J260" s="3837"/>
      <c r="K260" s="3837"/>
      <c r="L260" s="3837"/>
      <c r="M260" s="3837"/>
      <c r="N260" s="3837"/>
      <c r="S260" s="3888"/>
      <c r="T260" s="3888"/>
      <c r="U260" s="338"/>
      <c r="V260" s="3738"/>
      <c r="W260" s="3738"/>
      <c r="X260" s="3738"/>
      <c r="Y260" s="3738"/>
      <c r="Z260" s="3738"/>
      <c r="AA260" s="3738"/>
      <c r="AB260" s="3738"/>
      <c r="AC260" s="3738"/>
      <c r="AD260" s="3738"/>
      <c r="AE260" s="3837"/>
      <c r="AF260" s="901"/>
      <c r="AG260" s="3976"/>
      <c r="AH260" s="3837"/>
      <c r="AI260" s="3837"/>
    </row>
    <row r="261" spans="6:35" ht="18">
      <c r="F261" s="3837"/>
      <c r="G261" s="3837"/>
      <c r="H261" s="3837"/>
      <c r="I261" s="3837"/>
      <c r="J261" s="3837"/>
      <c r="K261" s="3837"/>
      <c r="L261" s="3837"/>
      <c r="M261" s="3837"/>
      <c r="N261" s="3837"/>
      <c r="S261" s="3888"/>
      <c r="T261" s="3888"/>
      <c r="U261" s="338"/>
      <c r="V261" s="3738"/>
      <c r="W261" s="3738"/>
      <c r="X261" s="3738"/>
      <c r="Y261" s="3738"/>
      <c r="Z261" s="3738"/>
      <c r="AA261" s="3738"/>
      <c r="AB261" s="3738"/>
      <c r="AC261" s="3738"/>
      <c r="AD261" s="3738"/>
      <c r="AE261" s="3837"/>
      <c r="AF261" s="901"/>
      <c r="AG261" s="3976"/>
      <c r="AH261" s="3837"/>
      <c r="AI261" s="3837"/>
    </row>
    <row r="262" spans="6:35" ht="18">
      <c r="F262" s="3837"/>
      <c r="G262" s="3837"/>
      <c r="H262" s="3837"/>
      <c r="I262" s="3837"/>
      <c r="J262" s="3837"/>
      <c r="K262" s="3837"/>
      <c r="L262" s="3837"/>
      <c r="M262" s="3837"/>
      <c r="N262" s="3837"/>
      <c r="S262" s="3888"/>
      <c r="T262" s="3888"/>
      <c r="U262" s="338"/>
      <c r="V262" s="3738"/>
      <c r="W262" s="3738"/>
      <c r="X262" s="3738"/>
      <c r="Y262" s="3738"/>
      <c r="Z262" s="3738"/>
      <c r="AA262" s="3738"/>
      <c r="AB262" s="3738"/>
      <c r="AC262" s="3738"/>
      <c r="AD262" s="3738"/>
      <c r="AE262" s="3837"/>
      <c r="AF262" s="901"/>
      <c r="AG262" s="3976"/>
      <c r="AH262" s="3837"/>
      <c r="AI262" s="3837"/>
    </row>
    <row r="263" spans="6:35" ht="18">
      <c r="F263" s="3837"/>
      <c r="G263" s="3837"/>
      <c r="H263" s="3837"/>
      <c r="I263" s="3837"/>
      <c r="J263" s="3837"/>
      <c r="K263" s="3837"/>
      <c r="L263" s="3837"/>
      <c r="M263" s="3837"/>
      <c r="N263" s="3837"/>
      <c r="S263" s="3888"/>
      <c r="T263" s="3888"/>
      <c r="U263" s="338"/>
      <c r="V263" s="3738"/>
      <c r="W263" s="3738"/>
      <c r="X263" s="3738"/>
      <c r="Y263" s="3738"/>
      <c r="Z263" s="3738"/>
      <c r="AA263" s="3738"/>
      <c r="AB263" s="3738"/>
      <c r="AC263" s="3738"/>
      <c r="AD263" s="3738"/>
      <c r="AE263" s="3837"/>
      <c r="AF263" s="901"/>
      <c r="AG263" s="3976"/>
      <c r="AH263" s="3837"/>
      <c r="AI263" s="3837"/>
    </row>
    <row r="264" spans="6:35" ht="18">
      <c r="F264" s="3837"/>
      <c r="G264" s="3837"/>
      <c r="H264" s="3837"/>
      <c r="I264" s="3837"/>
      <c r="J264" s="3837"/>
      <c r="K264" s="3837"/>
      <c r="L264" s="3837"/>
      <c r="M264" s="3837"/>
      <c r="N264" s="3837"/>
      <c r="S264" s="3888"/>
      <c r="T264" s="3888"/>
      <c r="U264" s="338"/>
      <c r="V264" s="3738"/>
      <c r="W264" s="3738"/>
      <c r="X264" s="3738"/>
      <c r="Y264" s="3738"/>
      <c r="Z264" s="3738"/>
      <c r="AA264" s="3738"/>
      <c r="AB264" s="3738"/>
      <c r="AC264" s="3738"/>
      <c r="AD264" s="3738"/>
      <c r="AE264" s="3837"/>
      <c r="AF264" s="901"/>
      <c r="AG264" s="3976"/>
      <c r="AH264" s="3837"/>
      <c r="AI264" s="3837"/>
    </row>
    <row r="265" spans="6:35" ht="18">
      <c r="F265" s="3837"/>
      <c r="G265" s="3837"/>
      <c r="H265" s="3837"/>
      <c r="I265" s="3837"/>
      <c r="J265" s="3837"/>
      <c r="K265" s="3837"/>
      <c r="L265" s="3837"/>
      <c r="M265" s="3837"/>
      <c r="N265" s="3837"/>
      <c r="S265" s="3888"/>
      <c r="T265" s="3888"/>
      <c r="U265" s="338"/>
      <c r="V265" s="3738"/>
      <c r="W265" s="3738"/>
      <c r="X265" s="3738"/>
      <c r="Y265" s="3738"/>
      <c r="Z265" s="3738"/>
      <c r="AA265" s="3738"/>
      <c r="AB265" s="3738"/>
      <c r="AC265" s="3738"/>
      <c r="AD265" s="3738"/>
      <c r="AE265" s="3837"/>
      <c r="AF265" s="901"/>
      <c r="AG265" s="3976"/>
      <c r="AH265" s="3837"/>
      <c r="AI265" s="3837"/>
    </row>
    <row r="266" spans="6:35" ht="18">
      <c r="F266" s="3837"/>
      <c r="G266" s="3837"/>
      <c r="H266" s="3837"/>
      <c r="I266" s="3837"/>
      <c r="J266" s="3837"/>
      <c r="K266" s="3837"/>
      <c r="L266" s="3837"/>
      <c r="M266" s="3837"/>
      <c r="N266" s="3837"/>
      <c r="S266" s="3888"/>
      <c r="T266" s="3888"/>
      <c r="U266" s="338"/>
      <c r="V266" s="3738"/>
      <c r="W266" s="3738"/>
      <c r="X266" s="3738"/>
      <c r="Y266" s="3738"/>
      <c r="Z266" s="3738"/>
      <c r="AA266" s="3738"/>
      <c r="AB266" s="3738"/>
      <c r="AC266" s="3738"/>
      <c r="AD266" s="3738"/>
      <c r="AE266" s="3837"/>
      <c r="AF266" s="901"/>
      <c r="AG266" s="3976"/>
      <c r="AH266" s="3837"/>
      <c r="AI266" s="3837"/>
    </row>
    <row r="267" spans="6:35" ht="18">
      <c r="F267" s="3837"/>
      <c r="G267" s="3837"/>
      <c r="H267" s="3837"/>
      <c r="I267" s="3837"/>
      <c r="J267" s="3837"/>
      <c r="K267" s="3837"/>
      <c r="L267" s="3837"/>
      <c r="M267" s="3837"/>
      <c r="N267" s="3837"/>
      <c r="S267" s="3888"/>
      <c r="T267" s="3888"/>
      <c r="U267" s="338"/>
      <c r="V267" s="3738"/>
      <c r="W267" s="3738"/>
      <c r="X267" s="3738"/>
      <c r="Y267" s="3738"/>
      <c r="Z267" s="3738"/>
      <c r="AA267" s="3738"/>
      <c r="AB267" s="3738"/>
      <c r="AC267" s="3738"/>
      <c r="AD267" s="3738"/>
      <c r="AE267" s="3837"/>
      <c r="AF267" s="901"/>
      <c r="AG267" s="3976"/>
      <c r="AH267" s="3837"/>
      <c r="AI267" s="3837"/>
    </row>
    <row r="268" spans="6:35" ht="18">
      <c r="F268" s="3837"/>
      <c r="G268" s="3837"/>
      <c r="H268" s="3837"/>
      <c r="I268" s="3837"/>
      <c r="J268" s="3837"/>
      <c r="K268" s="3837"/>
      <c r="L268" s="3837"/>
      <c r="M268" s="3837"/>
      <c r="N268" s="3837"/>
      <c r="S268" s="3888"/>
      <c r="T268" s="3888"/>
      <c r="U268" s="338"/>
      <c r="V268" s="3738"/>
      <c r="W268" s="3738"/>
      <c r="X268" s="3738"/>
      <c r="Y268" s="3738"/>
      <c r="Z268" s="3738"/>
      <c r="AA268" s="3738"/>
      <c r="AB268" s="3738"/>
      <c r="AC268" s="3738"/>
      <c r="AD268" s="3738"/>
      <c r="AE268" s="3837"/>
      <c r="AF268" s="901"/>
      <c r="AG268" s="3976"/>
      <c r="AH268" s="3837"/>
      <c r="AI268" s="3837"/>
    </row>
    <row r="269" spans="6:35" ht="18">
      <c r="F269" s="3837"/>
      <c r="G269" s="3837"/>
      <c r="H269" s="3837"/>
      <c r="I269" s="3837"/>
      <c r="J269" s="3837"/>
      <c r="K269" s="3837"/>
      <c r="L269" s="3837"/>
      <c r="M269" s="3837"/>
      <c r="N269" s="3837"/>
      <c r="S269" s="3888"/>
      <c r="T269" s="3888"/>
      <c r="U269" s="338"/>
      <c r="V269" s="3738"/>
      <c r="W269" s="3738"/>
      <c r="X269" s="3738"/>
      <c r="Y269" s="3738"/>
      <c r="Z269" s="3738"/>
      <c r="AA269" s="3738"/>
      <c r="AB269" s="3738"/>
      <c r="AC269" s="3738"/>
      <c r="AD269" s="3738"/>
      <c r="AE269" s="3837"/>
      <c r="AF269" s="901"/>
      <c r="AG269" s="3976"/>
      <c r="AH269" s="3837"/>
      <c r="AI269" s="3837"/>
    </row>
    <row r="270" spans="6:35" ht="18">
      <c r="F270" s="3837"/>
      <c r="G270" s="3837"/>
      <c r="H270" s="3837"/>
      <c r="I270" s="3837"/>
      <c r="J270" s="3837"/>
      <c r="K270" s="3837"/>
      <c r="L270" s="3837"/>
      <c r="M270" s="3837"/>
      <c r="N270" s="3837"/>
      <c r="S270" s="3888"/>
      <c r="T270" s="3888"/>
      <c r="U270" s="338"/>
      <c r="V270" s="3738"/>
      <c r="W270" s="3738"/>
      <c r="X270" s="3738"/>
      <c r="Y270" s="3738"/>
      <c r="Z270" s="3738"/>
      <c r="AA270" s="3738"/>
      <c r="AB270" s="3738"/>
      <c r="AC270" s="3738"/>
      <c r="AD270" s="3738"/>
      <c r="AE270" s="3837"/>
      <c r="AF270" s="901"/>
      <c r="AG270" s="3976"/>
      <c r="AH270" s="3837"/>
      <c r="AI270" s="3837"/>
    </row>
    <row r="271" spans="6:35" ht="18">
      <c r="F271" s="3837"/>
      <c r="G271" s="3837"/>
      <c r="H271" s="3837"/>
      <c r="I271" s="3837"/>
      <c r="J271" s="3837"/>
      <c r="K271" s="3837"/>
      <c r="L271" s="3837"/>
      <c r="M271" s="3837"/>
      <c r="N271" s="3837"/>
      <c r="S271" s="3888"/>
      <c r="T271" s="3888"/>
      <c r="U271" s="338"/>
      <c r="V271" s="3738"/>
      <c r="W271" s="3738"/>
      <c r="X271" s="3738"/>
      <c r="Y271" s="3738"/>
      <c r="Z271" s="3738"/>
      <c r="AA271" s="3738"/>
      <c r="AB271" s="3738"/>
      <c r="AC271" s="3738"/>
      <c r="AD271" s="3738"/>
      <c r="AE271" s="3837"/>
      <c r="AF271" s="901"/>
      <c r="AG271" s="3976"/>
      <c r="AH271" s="3837"/>
      <c r="AI271" s="3837"/>
    </row>
    <row r="272" spans="6:35" ht="18">
      <c r="F272" s="3837"/>
      <c r="G272" s="3837"/>
      <c r="H272" s="3837"/>
      <c r="I272" s="3837"/>
      <c r="J272" s="3837"/>
      <c r="K272" s="3837"/>
      <c r="L272" s="3837"/>
      <c r="M272" s="3837"/>
      <c r="N272" s="3837"/>
      <c r="S272" s="3888"/>
      <c r="T272" s="3888"/>
      <c r="U272" s="338"/>
      <c r="V272" s="3738"/>
      <c r="W272" s="3738"/>
      <c r="X272" s="3738"/>
      <c r="Y272" s="3738"/>
      <c r="Z272" s="3738"/>
      <c r="AA272" s="3738"/>
      <c r="AB272" s="3738"/>
      <c r="AC272" s="3738"/>
      <c r="AD272" s="3738"/>
      <c r="AE272" s="3837"/>
      <c r="AF272" s="901"/>
      <c r="AG272" s="3976"/>
      <c r="AH272" s="3837"/>
      <c r="AI272" s="3837"/>
    </row>
    <row r="273" spans="6:35" ht="18">
      <c r="F273" s="3837"/>
      <c r="G273" s="3837"/>
      <c r="H273" s="3837"/>
      <c r="I273" s="3837"/>
      <c r="J273" s="3837"/>
      <c r="K273" s="3837"/>
      <c r="L273" s="3837"/>
      <c r="M273" s="3837"/>
      <c r="N273" s="3837"/>
      <c r="S273" s="3888"/>
      <c r="T273" s="3888"/>
      <c r="U273" s="338"/>
      <c r="V273" s="3738"/>
      <c r="W273" s="3738"/>
      <c r="X273" s="3738"/>
      <c r="Y273" s="3738"/>
      <c r="Z273" s="3738"/>
      <c r="AA273" s="3738"/>
      <c r="AB273" s="3738"/>
      <c r="AC273" s="3738"/>
      <c r="AD273" s="3738"/>
      <c r="AE273" s="3837"/>
      <c r="AF273" s="901"/>
      <c r="AG273" s="3976"/>
      <c r="AH273" s="3837"/>
      <c r="AI273" s="3837"/>
    </row>
    <row r="274" spans="6:35" ht="18">
      <c r="F274" s="3837"/>
      <c r="G274" s="3837"/>
      <c r="H274" s="3837"/>
      <c r="I274" s="3837"/>
      <c r="J274" s="3837"/>
      <c r="K274" s="3837"/>
      <c r="L274" s="3837"/>
      <c r="M274" s="3837"/>
      <c r="N274" s="3837"/>
      <c r="S274" s="3888"/>
      <c r="T274" s="3888"/>
      <c r="U274" s="338"/>
      <c r="V274" s="3738"/>
      <c r="W274" s="3738"/>
      <c r="X274" s="3738"/>
      <c r="Y274" s="3738"/>
      <c r="Z274" s="3738"/>
      <c r="AA274" s="3738"/>
      <c r="AB274" s="3738"/>
      <c r="AC274" s="3738"/>
      <c r="AD274" s="3738"/>
      <c r="AE274" s="3837"/>
      <c r="AF274" s="901"/>
      <c r="AG274" s="3976"/>
      <c r="AH274" s="3837"/>
      <c r="AI274" s="3837"/>
    </row>
    <row r="275" spans="6:35">
      <c r="F275" s="3837"/>
      <c r="G275" s="3837"/>
      <c r="H275" s="3837"/>
      <c r="I275" s="3837"/>
      <c r="J275" s="3837"/>
      <c r="K275" s="3837"/>
      <c r="L275" s="3837"/>
      <c r="M275" s="3837"/>
      <c r="N275" s="3837"/>
      <c r="AH275" s="3837"/>
      <c r="AI275" s="3837"/>
    </row>
  </sheetData>
  <sheetProtection password="F07E" sheet="1" objects="1" scenarios="1"/>
  <mergeCells count="26">
    <mergeCell ref="V96:AD96"/>
    <mergeCell ref="W113:AA113"/>
    <mergeCell ref="C5:D6"/>
    <mergeCell ref="B10:J10"/>
    <mergeCell ref="C131:G131"/>
    <mergeCell ref="V89:X91"/>
    <mergeCell ref="V92:AD92"/>
    <mergeCell ref="V93:AD93"/>
    <mergeCell ref="V94:AD94"/>
    <mergeCell ref="V95:AD95"/>
    <mergeCell ref="C133:G133"/>
    <mergeCell ref="L8:M8"/>
    <mergeCell ref="L4:M4"/>
    <mergeCell ref="L5:M6"/>
    <mergeCell ref="C11:M11"/>
    <mergeCell ref="L7:M7"/>
    <mergeCell ref="E8:K8"/>
    <mergeCell ref="E7:K7"/>
    <mergeCell ref="E5:K5"/>
    <mergeCell ref="E6:K6"/>
    <mergeCell ref="K10:M10"/>
    <mergeCell ref="C43:M43"/>
    <mergeCell ref="K9:M9"/>
    <mergeCell ref="B7:D7"/>
    <mergeCell ref="B8:D8"/>
    <mergeCell ref="B5:B6"/>
  </mergeCells>
  <phoneticPr fontId="12" type="noConversion"/>
  <conditionalFormatting sqref="F42">
    <cfRule type="expression" dxfId="397" priority="202" stopIfTrue="1">
      <formula>IF(File_Marr_Sep&lt;&gt;"",M41&gt;191000)</formula>
    </cfRule>
  </conditionalFormatting>
  <conditionalFormatting sqref="P59:P60">
    <cfRule type="expression" dxfId="396" priority="208" stopIfTrue="1">
      <formula>$R$57="Stop"</formula>
    </cfRule>
  </conditionalFormatting>
  <conditionalFormatting sqref="I19">
    <cfRule type="expression" dxfId="395" priority="211" stopIfTrue="1">
      <formula>IF($M$19&gt;0,1,0)</formula>
    </cfRule>
  </conditionalFormatting>
  <conditionalFormatting sqref="I38">
    <cfRule type="expression" dxfId="394" priority="212" stopIfTrue="1">
      <formula>IF($M$38&gt;0,1,0)</formula>
    </cfRule>
    <cfRule type="expression" dxfId="393" priority="213" stopIfTrue="1">
      <formula>IF(AND($M$38&lt;&gt;"",$M$38&lt;=0),1,0)</formula>
    </cfRule>
  </conditionalFormatting>
  <conditionalFormatting sqref="I20">
    <cfRule type="expression" dxfId="392" priority="200" stopIfTrue="1">
      <formula>IF(OR(AND(M19&lt;&gt;"",M19&gt;0),AND(M20&lt;&gt;"",M20&gt;0),AND(M24&lt;&gt;"",M24&gt;0)),1,0)</formula>
    </cfRule>
  </conditionalFormatting>
  <conditionalFormatting sqref="I23">
    <cfRule type="expression" dxfId="391" priority="215" stopIfTrue="1">
      <formula>IF($M$23&lt;0,1,0)</formula>
    </cfRule>
  </conditionalFormatting>
  <conditionalFormatting sqref="K38">
    <cfRule type="expression" dxfId="390" priority="198" stopIfTrue="1">
      <formula>IF($M$38&gt;0,1,0)</formula>
    </cfRule>
    <cfRule type="expression" dxfId="389" priority="199" stopIfTrue="1">
      <formula>IF(AND($M$38&lt;&gt;"",$M$38&lt;=0),1,0)</formula>
    </cfRule>
  </conditionalFormatting>
  <conditionalFormatting sqref="G23">
    <cfRule type="expression" dxfId="388" priority="197" stopIfTrue="1">
      <formula>IF($M$23&lt;0,1,0)</formula>
    </cfRule>
  </conditionalFormatting>
  <conditionalFormatting sqref="K50">
    <cfRule type="expression" dxfId="387" priority="756" stopIfTrue="1">
      <formula>AltMinTaxInc-#REF!&lt;0</formula>
    </cfRule>
  </conditionalFormatting>
  <conditionalFormatting sqref="O45 X75">
    <cfRule type="expression" dxfId="386" priority="35">
      <formula>IF(AND($O$45&lt;&gt;"",$AA$87=0),1,0)</formula>
    </cfRule>
  </conditionalFormatting>
  <conditionalFormatting sqref="B10:M10">
    <cfRule type="expression" dxfId="385" priority="182">
      <formula>IF(NoColor,1,0)</formula>
    </cfRule>
  </conditionalFormatting>
  <conditionalFormatting sqref="M13">
    <cfRule type="expression" dxfId="384" priority="181">
      <formula>IF(NoColor,1,0)</formula>
    </cfRule>
  </conditionalFormatting>
  <conditionalFormatting sqref="M15">
    <cfRule type="expression" dxfId="383" priority="180">
      <formula>IF(NoColor,1,0)</formula>
    </cfRule>
  </conditionalFormatting>
  <conditionalFormatting sqref="M16">
    <cfRule type="expression" dxfId="382" priority="179">
      <formula>IF(NoColor,1,0)</formula>
    </cfRule>
  </conditionalFormatting>
  <conditionalFormatting sqref="M17:M40">
    <cfRule type="expression" dxfId="381" priority="178">
      <formula>IF(NoColor,1,0)</formula>
    </cfRule>
  </conditionalFormatting>
  <conditionalFormatting sqref="M42">
    <cfRule type="expression" dxfId="380" priority="177">
      <formula>IF(NoColor,1,0)</formula>
    </cfRule>
  </conditionalFormatting>
  <conditionalFormatting sqref="M44:M49">
    <cfRule type="expression" dxfId="379" priority="176">
      <formula>IF(NoColor,1,0)</formula>
    </cfRule>
  </conditionalFormatting>
  <conditionalFormatting sqref="M51">
    <cfRule type="expression" dxfId="378" priority="175">
      <formula>IF(NoColor,1,0)</formula>
    </cfRule>
  </conditionalFormatting>
  <conditionalFormatting sqref="M55">
    <cfRule type="expression" dxfId="377" priority="174">
      <formula>IF(NoColor,1,0)</formula>
    </cfRule>
  </conditionalFormatting>
  <conditionalFormatting sqref="M58:M59">
    <cfRule type="expression" dxfId="376" priority="173">
      <formula>IF(NoColor,1,0)</formula>
    </cfRule>
  </conditionalFormatting>
  <conditionalFormatting sqref="M62:M63">
    <cfRule type="expression" dxfId="375" priority="172">
      <formula>IF(NoColor,1,0)</formula>
    </cfRule>
  </conditionalFormatting>
  <conditionalFormatting sqref="M71">
    <cfRule type="expression" dxfId="374" priority="171">
      <formula>IF(NoColor,1,0)</formula>
    </cfRule>
  </conditionalFormatting>
  <conditionalFormatting sqref="M82">
    <cfRule type="expression" dxfId="373" priority="167">
      <formula>IF(NoColor,1,0)</formula>
    </cfRule>
  </conditionalFormatting>
  <conditionalFormatting sqref="M83">
    <cfRule type="expression" dxfId="372" priority="166">
      <formula>IF(NoColor,1,0)</formula>
    </cfRule>
  </conditionalFormatting>
  <conditionalFormatting sqref="M85">
    <cfRule type="expression" dxfId="371" priority="165">
      <formula>IF(NoColor,1,0)</formula>
    </cfRule>
  </conditionalFormatting>
  <conditionalFormatting sqref="M109">
    <cfRule type="expression" dxfId="370" priority="158">
      <formula>IF(NoColor,1,0)</formula>
    </cfRule>
  </conditionalFormatting>
  <conditionalFormatting sqref="K114">
    <cfRule type="expression" dxfId="369" priority="157">
      <formula>IF(NoColor,1,0)</formula>
    </cfRule>
  </conditionalFormatting>
  <conditionalFormatting sqref="M117">
    <cfRule type="expression" dxfId="368" priority="156">
      <formula>IF(NoColor,1,0)</formula>
    </cfRule>
  </conditionalFormatting>
  <conditionalFormatting sqref="M119">
    <cfRule type="expression" dxfId="367" priority="155">
      <formula>IF(NoColor,1,0)</formula>
    </cfRule>
  </conditionalFormatting>
  <conditionalFormatting sqref="M124">
    <cfRule type="expression" dxfId="366" priority="154">
      <formula>IF(NoColor,1,0)</formula>
    </cfRule>
  </conditionalFormatting>
  <conditionalFormatting sqref="M126">
    <cfRule type="expression" dxfId="365" priority="153">
      <formula>IF(NoColor,1,0)</formula>
    </cfRule>
  </conditionalFormatting>
  <conditionalFormatting sqref="R14">
    <cfRule type="expression" dxfId="364" priority="151">
      <formula>IF(AND(P15&lt;&gt;"",you_over_64="",sp_over_64=""),1,0)</formula>
    </cfRule>
  </conditionalFormatting>
  <conditionalFormatting sqref="R15">
    <cfRule type="expression" dxfId="363" priority="150">
      <formula>IF(AND(P15&lt;&gt;"",you_over_64="",sp_over_64=""),1,0)</formula>
    </cfRule>
  </conditionalFormatting>
  <conditionalFormatting sqref="S18">
    <cfRule type="expression" dxfId="362" priority="149">
      <formula>IF(AND(P15&lt;&gt;"",you_over_64="",sp_over_64=""),1,0)</formula>
    </cfRule>
  </conditionalFormatting>
  <conditionalFormatting sqref="P23:P35">
    <cfRule type="expression" dxfId="361" priority="148">
      <formula>IF(File_Marr_Sep&lt;&gt;"",1,0)</formula>
    </cfRule>
  </conditionalFormatting>
  <conditionalFormatting sqref="R40:R41">
    <cfRule type="expression" dxfId="360" priority="146">
      <formula>IF(File_Marr_Sep&lt;&gt;"",1,0)</formula>
    </cfRule>
  </conditionalFormatting>
  <conditionalFormatting sqref="P22">
    <cfRule type="expression" dxfId="359" priority="145">
      <formula>IF(File_Marr_Sep&lt;&gt;"",1,0)</formula>
    </cfRule>
  </conditionalFormatting>
  <conditionalFormatting sqref="K110">
    <cfRule type="expression" dxfId="358" priority="142">
      <formula>IF(NoColor,1,0)</formula>
    </cfRule>
  </conditionalFormatting>
  <conditionalFormatting sqref="K111">
    <cfRule type="expression" dxfId="357" priority="141">
      <formula>IF(NoColor,1,0)</formula>
    </cfRule>
  </conditionalFormatting>
  <conditionalFormatting sqref="M113">
    <cfRule type="expression" dxfId="356" priority="140">
      <formula>IF(NoColor,1,0)</formula>
    </cfRule>
  </conditionalFormatting>
  <conditionalFormatting sqref="K116">
    <cfRule type="expression" dxfId="355" priority="139">
      <formula>IF(NoColor,1,0)</formula>
    </cfRule>
  </conditionalFormatting>
  <conditionalFormatting sqref="P22:P35">
    <cfRule type="expression" dxfId="354" priority="134">
      <formula>IF(File_Mar_Sep&lt;&gt;"",1,0)</formula>
    </cfRule>
  </conditionalFormatting>
  <conditionalFormatting sqref="M50">
    <cfRule type="expression" dxfId="353" priority="133">
      <formula>IF(NoColor,1,0)</formula>
    </cfRule>
  </conditionalFormatting>
  <conditionalFormatting sqref="M94">
    <cfRule type="expression" dxfId="352" priority="132">
      <formula>IF(NoColor,1,0)</formula>
    </cfRule>
  </conditionalFormatting>
  <conditionalFormatting sqref="M95">
    <cfRule type="expression" dxfId="351" priority="131">
      <formula>IF(NoColor,1,0)</formula>
    </cfRule>
  </conditionalFormatting>
  <conditionalFormatting sqref="M96">
    <cfRule type="expression" dxfId="350" priority="130">
      <formula>IF(NoColor,1,0)</formula>
    </cfRule>
  </conditionalFormatting>
  <conditionalFormatting sqref="M97">
    <cfRule type="expression" dxfId="349" priority="129">
      <formula>IF(NoColor,1,0)</formula>
    </cfRule>
  </conditionalFormatting>
  <conditionalFormatting sqref="M98">
    <cfRule type="expression" dxfId="348" priority="128">
      <formula>IF(NoColor,1,0)</formula>
    </cfRule>
  </conditionalFormatting>
  <conditionalFormatting sqref="M104">
    <cfRule type="expression" dxfId="347" priority="126">
      <formula>IF(NoColor,1,0)</formula>
    </cfRule>
  </conditionalFormatting>
  <conditionalFormatting sqref="M75">
    <cfRule type="expression" dxfId="346" priority="125">
      <formula>IF(NoColor,1,0)</formula>
    </cfRule>
  </conditionalFormatting>
  <conditionalFormatting sqref="M77">
    <cfRule type="expression" dxfId="345" priority="124">
      <formula>IF(NoColor,1,0)</formula>
    </cfRule>
  </conditionalFormatting>
  <conditionalFormatting sqref="M81">
    <cfRule type="expression" dxfId="344" priority="123">
      <formula>IF(NoColor,1,0)</formula>
    </cfRule>
  </conditionalFormatting>
  <conditionalFormatting sqref="M88">
    <cfRule type="expression" dxfId="343" priority="122">
      <formula>IF(NoColor,1,0)</formula>
    </cfRule>
  </conditionalFormatting>
  <conditionalFormatting sqref="M120">
    <cfRule type="expression" dxfId="342" priority="121">
      <formula>IF(NoColor,1,0)</formula>
    </cfRule>
  </conditionalFormatting>
  <conditionalFormatting sqref="M121">
    <cfRule type="expression" dxfId="341" priority="120">
      <formula>IF(NoColor,1,0)</formula>
    </cfRule>
  </conditionalFormatting>
  <conditionalFormatting sqref="M122">
    <cfRule type="expression" dxfId="340" priority="119">
      <formula>IF(NoColor,1,0)</formula>
    </cfRule>
  </conditionalFormatting>
  <conditionalFormatting sqref="M112">
    <cfRule type="expression" dxfId="339" priority="117">
      <formula>IF(NoColor,1,0)</formula>
    </cfRule>
  </conditionalFormatting>
  <conditionalFormatting sqref="K15">
    <cfRule type="expression" dxfId="338" priority="924">
      <formula>IF(AND(P15&lt;&gt;"",S18="",you_over_64="",sp_over_64=""),1,0)</formula>
    </cfRule>
  </conditionalFormatting>
  <conditionalFormatting sqref="P45">
    <cfRule type="expression" dxfId="337" priority="925">
      <formula>IF(Q45,1,0)</formula>
    </cfRule>
    <cfRule type="expression" dxfId="336" priority="926">
      <formula>IF(NOT(Q45),1,0)</formula>
    </cfRule>
  </conditionalFormatting>
  <conditionalFormatting sqref="W38">
    <cfRule type="expression" dxfId="335" priority="116">
      <formula>IF(U38="X",1,0)</formula>
    </cfRule>
  </conditionalFormatting>
  <conditionalFormatting sqref="M102">
    <cfRule type="expression" dxfId="334" priority="81">
      <formula>IF(NoColor,1,0)</formula>
    </cfRule>
  </conditionalFormatting>
  <conditionalFormatting sqref="V74:AA87">
    <cfRule type="expression" dxfId="333" priority="34">
      <formula>IF(NoColor,1,0)</formula>
    </cfRule>
    <cfRule type="expression" dxfId="332" priority="186">
      <formula>IF(ChildUnder24="",1,0)</formula>
    </cfRule>
  </conditionalFormatting>
  <conditionalFormatting sqref="AC119:AC120">
    <cfRule type="expression" dxfId="331" priority="49" stopIfTrue="1">
      <formula>ChildUnder14&lt;&gt;""</formula>
    </cfRule>
  </conditionalFormatting>
  <conditionalFormatting sqref="AC114">
    <cfRule type="expression" dxfId="330" priority="50" stopIfTrue="1">
      <formula>ChildUnder14=""</formula>
    </cfRule>
  </conditionalFormatting>
  <conditionalFormatting sqref="Z109:Z111">
    <cfRule type="expression" dxfId="329" priority="51" stopIfTrue="1">
      <formula>IF($O$45&lt;&gt;"",1,0)</formula>
    </cfRule>
  </conditionalFormatting>
  <conditionalFormatting sqref="V92:V93 V94:AD94">
    <cfRule type="expression" dxfId="328" priority="52" stopIfTrue="1">
      <formula>OR(AND(OR(File_Single&lt;&gt;"",File_Head&lt;&gt;""),$M$43&gt;=#REF!),AND(OR(File_Marr_Joint&lt;&gt;"",File_Qual_Widow&lt;&gt;""),$M$43&gt;=#REF!),AND(File_Marr_Sep&lt;&gt;"",$M$43&gt;=#REF!))</formula>
    </cfRule>
  </conditionalFormatting>
  <conditionalFormatting sqref="V95:V96">
    <cfRule type="expression" dxfId="327" priority="53" stopIfTrue="1">
      <formula>OR(AND(OR(File_Single&lt;&gt;"",File_Head&lt;&gt;""),$M$43&gt;=#REF!),AND(OR(File_Marr_Joint&lt;&gt;"",File_Qual_Widow&lt;&gt;""),$M$43&gt;=#REF!),AND(File_Marr_Sep&lt;&gt;"",$M$43&gt;=#REF!))</formula>
    </cfRule>
  </conditionalFormatting>
  <conditionalFormatting sqref="V126">
    <cfRule type="expression" dxfId="326" priority="48">
      <formula>IF($AP$79,1,0)</formula>
    </cfRule>
  </conditionalFormatting>
  <conditionalFormatting sqref="S5:AF72">
    <cfRule type="expression" dxfId="325" priority="39">
      <formula>IF(NoColor,1,0)</formula>
    </cfRule>
  </conditionalFormatting>
  <conditionalFormatting sqref="V89:AD121">
    <cfRule type="expression" dxfId="324" priority="38">
      <formula>IF(NoColor,1,0)</formula>
    </cfRule>
  </conditionalFormatting>
  <conditionalFormatting sqref="V123:AD149">
    <cfRule type="expression" dxfId="323" priority="37">
      <formula>IF(NoColor,1,0)</formula>
    </cfRule>
  </conditionalFormatting>
  <conditionalFormatting sqref="X75">
    <cfRule type="expression" dxfId="322" priority="55">
      <formula>IF(NoColor,1,0)</formula>
    </cfRule>
  </conditionalFormatting>
  <conditionalFormatting sqref="Y77">
    <cfRule type="expression" dxfId="321" priority="36">
      <formula>IF(NoColor,1,0)</formula>
    </cfRule>
  </conditionalFormatting>
  <conditionalFormatting sqref="Y79">
    <cfRule type="expression" dxfId="320" priority="33">
      <formula>IF(NoColor,1,0)</formula>
    </cfRule>
  </conditionalFormatting>
  <conditionalFormatting sqref="Y80">
    <cfRule type="expression" dxfId="319" priority="32">
      <formula>IF(NoColor,1,0)</formula>
    </cfRule>
  </conditionalFormatting>
  <conditionalFormatting sqref="Y82">
    <cfRule type="expression" dxfId="318" priority="31">
      <formula>IF(NoColor,1,0)</formula>
    </cfRule>
  </conditionalFormatting>
  <conditionalFormatting sqref="Y83">
    <cfRule type="expression" dxfId="317" priority="30">
      <formula>IF(NoColor,1,0)</formula>
    </cfRule>
  </conditionalFormatting>
  <conditionalFormatting sqref="Y84">
    <cfRule type="expression" dxfId="316" priority="29">
      <formula>IF(NoColor,1,0)</formula>
    </cfRule>
  </conditionalFormatting>
  <conditionalFormatting sqref="Y86">
    <cfRule type="expression" dxfId="315" priority="28">
      <formula>IF(NoColor,1,0)</formula>
    </cfRule>
  </conditionalFormatting>
  <conditionalFormatting sqref="AA87">
    <cfRule type="expression" dxfId="314" priority="27">
      <formula>IF(NoColor,1,0)</formula>
    </cfRule>
  </conditionalFormatting>
  <conditionalFormatting sqref="AA86">
    <cfRule type="expression" dxfId="313" priority="26">
      <formula>IF(NoColor,1,0)</formula>
    </cfRule>
  </conditionalFormatting>
  <conditionalFormatting sqref="AA83">
    <cfRule type="expression" dxfId="312" priority="25">
      <formula>IF(NoColor,1,0)</formula>
    </cfRule>
  </conditionalFormatting>
  <conditionalFormatting sqref="AA80">
    <cfRule type="expression" dxfId="311" priority="24">
      <formula>IF(NoColor,1,0)</formula>
    </cfRule>
  </conditionalFormatting>
  <conditionalFormatting sqref="AA77">
    <cfRule type="expression" dxfId="310" priority="23">
      <formula>IF(NoColor,1,0)</formula>
    </cfRule>
  </conditionalFormatting>
  <conditionalFormatting sqref="AA80">
    <cfRule type="expression" dxfId="309" priority="22">
      <formula>IF(NoColor,1,0)</formula>
    </cfRule>
  </conditionalFormatting>
  <conditionalFormatting sqref="AA83">
    <cfRule type="expression" dxfId="308" priority="21">
      <formula>IF(NoColor,1,0)</formula>
    </cfRule>
  </conditionalFormatting>
  <conditionalFormatting sqref="AA83">
    <cfRule type="expression" dxfId="307" priority="20">
      <formula>IF(NoColor,1,0)</formula>
    </cfRule>
  </conditionalFormatting>
  <conditionalFormatting sqref="AA86">
    <cfRule type="expression" dxfId="306" priority="19">
      <formula>IF(NoColor,1,0)</formula>
    </cfRule>
  </conditionalFormatting>
  <conditionalFormatting sqref="AA86">
    <cfRule type="expression" dxfId="305" priority="18">
      <formula>IF(NoColor,1,0)</formula>
    </cfRule>
  </conditionalFormatting>
  <conditionalFormatting sqref="AA86">
    <cfRule type="expression" dxfId="304" priority="17">
      <formula>IF(NoColor,1,0)</formula>
    </cfRule>
  </conditionalFormatting>
  <conditionalFormatting sqref="AA80">
    <cfRule type="expression" dxfId="303" priority="16">
      <formula>IF(NoColor,1,0)</formula>
    </cfRule>
  </conditionalFormatting>
  <conditionalFormatting sqref="AA83">
    <cfRule type="expression" dxfId="302" priority="15">
      <formula>IF(NoColor,1,0)</formula>
    </cfRule>
  </conditionalFormatting>
  <conditionalFormatting sqref="AA83">
    <cfRule type="expression" dxfId="301" priority="14">
      <formula>IF(NoColor,1,0)</formula>
    </cfRule>
  </conditionalFormatting>
  <conditionalFormatting sqref="AA83">
    <cfRule type="expression" dxfId="300" priority="13">
      <formula>IF(NoColor,1,0)</formula>
    </cfRule>
  </conditionalFormatting>
  <conditionalFormatting sqref="AA86">
    <cfRule type="expression" dxfId="299" priority="12">
      <formula>IF(NoColor,1,0)</formula>
    </cfRule>
  </conditionalFormatting>
  <conditionalFormatting sqref="AA86">
    <cfRule type="expression" dxfId="298" priority="11">
      <formula>IF(NoColor,1,0)</formula>
    </cfRule>
  </conditionalFormatting>
  <conditionalFormatting sqref="AA86">
    <cfRule type="expression" dxfId="297" priority="10">
      <formula>IF(NoColor,1,0)</formula>
    </cfRule>
  </conditionalFormatting>
  <conditionalFormatting sqref="AA86">
    <cfRule type="expression" dxfId="296" priority="9">
      <formula>IF(NoColor,1,0)</formula>
    </cfRule>
  </conditionalFormatting>
  <conditionalFormatting sqref="AA86">
    <cfRule type="expression" dxfId="295" priority="8">
      <formula>IF(NoColor,1,0)</formula>
    </cfRule>
  </conditionalFormatting>
  <conditionalFormatting sqref="AA86">
    <cfRule type="expression" dxfId="294" priority="7">
      <formula>IF(NoColor,1,0)</formula>
    </cfRule>
  </conditionalFormatting>
  <conditionalFormatting sqref="O56">
    <cfRule type="expression" dxfId="293" priority="4">
      <formula>IF(AND($M$58&gt;0,AMT&gt;0),1,0)</formula>
    </cfRule>
  </conditionalFormatting>
  <conditionalFormatting sqref="P41">
    <cfRule type="expression" dxfId="292" priority="1">
      <formula>IF(File_Mar_Sep&lt;&gt;"",1,0)</formula>
    </cfRule>
  </conditionalFormatting>
  <conditionalFormatting sqref="P41">
    <cfRule type="expression" dxfId="291" priority="2">
      <formula>IF(File_Marr_Sep&lt;&gt;"",1,0)</formula>
    </cfRule>
  </conditionalFormatting>
  <hyperlinks>
    <hyperlink ref="C131:G131" r:id="rId1" display="Download Form 6251"/>
    <hyperlink ref="C133:G133" r:id="rId2" display="Download Form 6251 Instructions"/>
  </hyperlinks>
  <printOptions horizontalCentered="1"/>
  <pageMargins left="0.44" right="0.25" top="0.22" bottom="0.25" header="0.27" footer="0.25"/>
  <pageSetup scale="87" fitToHeight="0" orientation="portrait" horizontalDpi="120" verticalDpi="144" r:id="rId3"/>
  <headerFooter alignWithMargins="0"/>
  <rowBreaks count="2" manualBreakCount="2">
    <brk id="65" min="1" max="12" man="1"/>
    <brk id="127" min="1" max="12"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Y62"/>
  <sheetViews>
    <sheetView zoomScaleNormal="100" workbookViewId="0">
      <pane ySplit="1" topLeftCell="A30" activePane="bottomLeft" state="frozen"/>
      <selection activeCell="D26" sqref="D26"/>
      <selection pane="bottomLeft" activeCell="K8" sqref="K8"/>
    </sheetView>
  </sheetViews>
  <sheetFormatPr defaultRowHeight="12.75"/>
  <cols>
    <col min="1" max="1" width="2.5703125" customWidth="1"/>
    <col min="2" max="2" width="4.42578125" customWidth="1"/>
    <col min="3" max="3" width="44" customWidth="1"/>
    <col min="4" max="12" width="13.140625" customWidth="1"/>
    <col min="13" max="13" width="13.42578125" customWidth="1"/>
    <col min="14" max="14" width="12.42578125" customWidth="1"/>
    <col min="16" max="24" width="9.140625" hidden="1" customWidth="1"/>
  </cols>
  <sheetData>
    <row r="1" spans="1:25" ht="36.75" customHeight="1" thickBot="1">
      <c r="A1" s="2079"/>
      <c r="B1" s="678" t="s">
        <v>163</v>
      </c>
      <c r="C1" s="679"/>
      <c r="D1" s="680"/>
      <c r="E1" s="680"/>
      <c r="F1" s="680"/>
      <c r="G1" s="680"/>
      <c r="H1" s="680"/>
      <c r="I1" s="680"/>
      <c r="J1" s="680"/>
      <c r="K1" s="680"/>
      <c r="L1" s="680"/>
      <c r="M1" s="680"/>
      <c r="N1" s="680"/>
      <c r="O1" s="704"/>
      <c r="P1" s="660"/>
      <c r="Q1" s="660"/>
      <c r="R1" s="660"/>
      <c r="S1" s="660"/>
      <c r="T1" s="660"/>
      <c r="U1" s="660"/>
      <c r="V1" s="660"/>
      <c r="W1" s="660"/>
      <c r="X1" s="660"/>
    </row>
    <row r="2" spans="1:25" ht="41.25" customHeight="1" thickTop="1" thickBot="1">
      <c r="A2" s="2080"/>
      <c r="B2" s="1194"/>
      <c r="C2" s="2618" t="str">
        <f>IF(Name_1st_Yours="","Enter your name on Form 1040",NameYours)</f>
        <v>Enter your name on Form 1040</v>
      </c>
      <c r="D2" s="3779" t="s">
        <v>453</v>
      </c>
      <c r="E2" s="3779" t="s">
        <v>454</v>
      </c>
      <c r="F2" s="3779" t="s">
        <v>455</v>
      </c>
      <c r="G2" s="3779" t="s">
        <v>590</v>
      </c>
      <c r="H2" s="3780" t="s">
        <v>3158</v>
      </c>
      <c r="I2" s="3780" t="s">
        <v>3159</v>
      </c>
      <c r="J2" s="3780" t="s">
        <v>3160</v>
      </c>
      <c r="K2" s="3780" t="s">
        <v>3715</v>
      </c>
      <c r="L2" s="3780" t="s">
        <v>3716</v>
      </c>
      <c r="M2" s="801" t="s">
        <v>335</v>
      </c>
      <c r="N2" s="675" t="s">
        <v>660</v>
      </c>
      <c r="O2" s="175"/>
      <c r="P2" s="478"/>
      <c r="Q2" s="478"/>
      <c r="R2" s="478"/>
      <c r="S2" s="478"/>
      <c r="T2" s="478"/>
      <c r="U2" s="478"/>
      <c r="V2" s="478"/>
      <c r="W2" s="478"/>
      <c r="X2" s="478"/>
    </row>
    <row r="3" spans="1:25" ht="13.5" thickBot="1">
      <c r="A3" s="2070"/>
      <c r="B3" s="2072"/>
      <c r="C3" s="2073" t="s">
        <v>2441</v>
      </c>
      <c r="D3" s="3781"/>
      <c r="E3" s="4430"/>
      <c r="F3" s="4430"/>
      <c r="G3" s="4431"/>
      <c r="H3" s="4431"/>
      <c r="I3" s="4431"/>
      <c r="J3" s="4431"/>
      <c r="K3" s="4431"/>
      <c r="L3" s="4431"/>
      <c r="M3" s="2074" t="s">
        <v>659</v>
      </c>
      <c r="N3" s="2071" t="s">
        <v>630</v>
      </c>
      <c r="O3" s="672"/>
      <c r="P3" s="64"/>
      <c r="Q3" s="64"/>
      <c r="R3" s="64"/>
      <c r="S3" s="64"/>
      <c r="T3" s="64"/>
      <c r="U3" s="64"/>
      <c r="V3" s="64"/>
      <c r="W3" s="64"/>
      <c r="X3" s="64"/>
      <c r="Y3" s="2856" t="s">
        <v>1394</v>
      </c>
    </row>
    <row r="4" spans="1:25" ht="13.5" customHeight="1">
      <c r="A4" s="2070"/>
      <c r="B4" s="661">
        <v>1</v>
      </c>
      <c r="C4" s="2089" t="s">
        <v>757</v>
      </c>
      <c r="D4" s="3784"/>
      <c r="E4" s="3784"/>
      <c r="F4" s="3784"/>
      <c r="G4" s="3785"/>
      <c r="H4" s="3785"/>
      <c r="I4" s="3785"/>
      <c r="J4" s="3785"/>
      <c r="K4" s="3785"/>
      <c r="L4" s="3785"/>
      <c r="M4" s="701">
        <f t="shared" ref="M4:M9" si="0">SUM(P4:X4)</f>
        <v>0</v>
      </c>
      <c r="N4" s="701">
        <f t="shared" ref="N4:N9" si="1">SUM(D4:L4)-M4</f>
        <v>0</v>
      </c>
      <c r="O4" s="557"/>
      <c r="P4" s="705">
        <f t="shared" ref="P4:X4" si="2">IF(D$3="ira",D4,0)</f>
        <v>0</v>
      </c>
      <c r="Q4" s="705">
        <f t="shared" si="2"/>
        <v>0</v>
      </c>
      <c r="R4" s="705">
        <f t="shared" si="2"/>
        <v>0</v>
      </c>
      <c r="S4" s="705">
        <f t="shared" si="2"/>
        <v>0</v>
      </c>
      <c r="T4" s="705">
        <f t="shared" si="2"/>
        <v>0</v>
      </c>
      <c r="U4" s="705">
        <f t="shared" si="2"/>
        <v>0</v>
      </c>
      <c r="V4" s="705">
        <f t="shared" si="2"/>
        <v>0</v>
      </c>
      <c r="W4" s="705">
        <f t="shared" si="2"/>
        <v>0</v>
      </c>
      <c r="X4" s="705">
        <f t="shared" si="2"/>
        <v>0</v>
      </c>
    </row>
    <row r="5" spans="1:25" ht="13.5" customHeight="1">
      <c r="A5" s="2070"/>
      <c r="B5" s="662" t="s">
        <v>550</v>
      </c>
      <c r="C5" s="2090" t="s">
        <v>452</v>
      </c>
      <c r="D5" s="3786"/>
      <c r="E5" s="3787"/>
      <c r="F5" s="3787"/>
      <c r="G5" s="3788"/>
      <c r="H5" s="3788"/>
      <c r="I5" s="3788"/>
      <c r="J5" s="3788"/>
      <c r="K5" s="3788"/>
      <c r="L5" s="3788"/>
      <c r="M5" s="706">
        <f t="shared" si="0"/>
        <v>0</v>
      </c>
      <c r="N5" s="702">
        <f t="shared" si="1"/>
        <v>0</v>
      </c>
      <c r="O5" s="557"/>
      <c r="P5" s="705">
        <f t="shared" ref="P5:P11" si="3">IF(D$3="ira",D5,0)</f>
        <v>0</v>
      </c>
      <c r="Q5" s="705">
        <f t="shared" ref="Q5:Q11" si="4">IF(E$3="ira",E5,0)</f>
        <v>0</v>
      </c>
      <c r="R5" s="705">
        <f t="shared" ref="R5:R11" si="5">IF(F$3="ira",F5,0)</f>
        <v>0</v>
      </c>
      <c r="S5" s="705">
        <f t="shared" ref="S5:X9" si="6">IF(G$3="ira",G5,0)</f>
        <v>0</v>
      </c>
      <c r="T5" s="705">
        <f t="shared" si="6"/>
        <v>0</v>
      </c>
      <c r="U5" s="705">
        <f t="shared" si="6"/>
        <v>0</v>
      </c>
      <c r="V5" s="705">
        <f t="shared" si="6"/>
        <v>0</v>
      </c>
      <c r="W5" s="705">
        <f t="shared" si="6"/>
        <v>0</v>
      </c>
      <c r="X5" s="705">
        <f t="shared" si="6"/>
        <v>0</v>
      </c>
    </row>
    <row r="6" spans="1:25" ht="13.5" customHeight="1">
      <c r="A6" s="2070"/>
      <c r="B6" s="2081">
        <v>3</v>
      </c>
      <c r="C6" s="2082" t="s">
        <v>1389</v>
      </c>
      <c r="D6" s="3786"/>
      <c r="E6" s="3787"/>
      <c r="F6" s="3787"/>
      <c r="G6" s="3788"/>
      <c r="H6" s="3788"/>
      <c r="I6" s="3788"/>
      <c r="J6" s="3788"/>
      <c r="K6" s="3788"/>
      <c r="L6" s="3788"/>
      <c r="M6" s="706">
        <f t="shared" si="0"/>
        <v>0</v>
      </c>
      <c r="N6" s="702">
        <f t="shared" si="1"/>
        <v>0</v>
      </c>
      <c r="O6" s="557"/>
      <c r="P6" s="705">
        <f>IF(D$3="ira",D6,0)</f>
        <v>0</v>
      </c>
      <c r="Q6" s="705">
        <f>IF(E$3="ira",E6,0)</f>
        <v>0</v>
      </c>
      <c r="R6" s="705">
        <f>IF(F$3="ira",F6,0)</f>
        <v>0</v>
      </c>
      <c r="S6" s="705">
        <f t="shared" si="6"/>
        <v>0</v>
      </c>
      <c r="T6" s="705">
        <f t="shared" si="6"/>
        <v>0</v>
      </c>
      <c r="U6" s="705">
        <f t="shared" si="6"/>
        <v>0</v>
      </c>
      <c r="V6" s="705">
        <f t="shared" si="6"/>
        <v>0</v>
      </c>
      <c r="W6" s="705">
        <f t="shared" si="6"/>
        <v>0</v>
      </c>
      <c r="X6" s="705">
        <f t="shared" si="6"/>
        <v>0</v>
      </c>
    </row>
    <row r="7" spans="1:25" ht="13.5" customHeight="1">
      <c r="A7" s="2070"/>
      <c r="B7" s="662">
        <v>4</v>
      </c>
      <c r="C7" s="2090" t="s">
        <v>277</v>
      </c>
      <c r="D7" s="3786"/>
      <c r="E7" s="3787"/>
      <c r="F7" s="3787"/>
      <c r="G7" s="3788"/>
      <c r="H7" s="3788"/>
      <c r="I7" s="3788"/>
      <c r="J7" s="3788"/>
      <c r="K7" s="3788"/>
      <c r="L7" s="3788"/>
      <c r="M7" s="706">
        <f t="shared" si="0"/>
        <v>0</v>
      </c>
      <c r="N7" s="702">
        <f t="shared" si="1"/>
        <v>0</v>
      </c>
      <c r="O7" s="557"/>
      <c r="P7" s="705">
        <f t="shared" si="3"/>
        <v>0</v>
      </c>
      <c r="Q7" s="705">
        <f t="shared" si="4"/>
        <v>0</v>
      </c>
      <c r="R7" s="705">
        <f t="shared" si="5"/>
        <v>0</v>
      </c>
      <c r="S7" s="705">
        <f t="shared" si="6"/>
        <v>0</v>
      </c>
      <c r="T7" s="705">
        <f t="shared" si="6"/>
        <v>0</v>
      </c>
      <c r="U7" s="705">
        <f t="shared" si="6"/>
        <v>0</v>
      </c>
      <c r="V7" s="705">
        <f t="shared" si="6"/>
        <v>0</v>
      </c>
      <c r="W7" s="705">
        <f t="shared" si="6"/>
        <v>0</v>
      </c>
      <c r="X7" s="705">
        <f t="shared" si="6"/>
        <v>0</v>
      </c>
    </row>
    <row r="8" spans="1:25" ht="27" customHeight="1">
      <c r="A8" s="2070"/>
      <c r="B8" s="2083">
        <v>5</v>
      </c>
      <c r="C8" s="2084" t="s">
        <v>1390</v>
      </c>
      <c r="D8" s="3786"/>
      <c r="E8" s="3787"/>
      <c r="F8" s="3787"/>
      <c r="G8" s="3788"/>
      <c r="H8" s="3788"/>
      <c r="I8" s="3788"/>
      <c r="J8" s="3788"/>
      <c r="K8" s="3788"/>
      <c r="L8" s="3788"/>
      <c r="M8" s="706">
        <f t="shared" si="0"/>
        <v>0</v>
      </c>
      <c r="N8" s="702">
        <f t="shared" si="1"/>
        <v>0</v>
      </c>
      <c r="O8" s="567"/>
      <c r="P8" s="705">
        <f t="shared" si="3"/>
        <v>0</v>
      </c>
      <c r="Q8" s="705">
        <f t="shared" si="4"/>
        <v>0</v>
      </c>
      <c r="R8" s="705">
        <f t="shared" si="5"/>
        <v>0</v>
      </c>
      <c r="S8" s="705">
        <f t="shared" si="6"/>
        <v>0</v>
      </c>
      <c r="T8" s="705">
        <f t="shared" si="6"/>
        <v>0</v>
      </c>
      <c r="U8" s="705">
        <f t="shared" si="6"/>
        <v>0</v>
      </c>
      <c r="V8" s="705">
        <f t="shared" si="6"/>
        <v>0</v>
      </c>
      <c r="W8" s="705">
        <f t="shared" si="6"/>
        <v>0</v>
      </c>
      <c r="X8" s="705">
        <f t="shared" si="6"/>
        <v>0</v>
      </c>
    </row>
    <row r="9" spans="1:25">
      <c r="A9" s="2070"/>
      <c r="B9" s="2081">
        <v>6</v>
      </c>
      <c r="C9" s="2082" t="s">
        <v>164</v>
      </c>
      <c r="D9" s="3786"/>
      <c r="E9" s="3787"/>
      <c r="F9" s="3787"/>
      <c r="G9" s="3788"/>
      <c r="H9" s="3788"/>
      <c r="I9" s="3788"/>
      <c r="J9" s="3788"/>
      <c r="K9" s="3788"/>
      <c r="L9" s="3788"/>
      <c r="M9" s="706">
        <f t="shared" si="0"/>
        <v>0</v>
      </c>
      <c r="N9" s="702">
        <f t="shared" si="1"/>
        <v>0</v>
      </c>
      <c r="O9" s="567"/>
      <c r="P9" s="705">
        <f t="shared" si="3"/>
        <v>0</v>
      </c>
      <c r="Q9" s="705">
        <f t="shared" si="4"/>
        <v>0</v>
      </c>
      <c r="R9" s="705">
        <f t="shared" si="5"/>
        <v>0</v>
      </c>
      <c r="S9" s="705">
        <f t="shared" si="6"/>
        <v>0</v>
      </c>
      <c r="T9" s="705">
        <f t="shared" si="6"/>
        <v>0</v>
      </c>
      <c r="U9" s="705">
        <f t="shared" si="6"/>
        <v>0</v>
      </c>
      <c r="V9" s="705">
        <f t="shared" si="6"/>
        <v>0</v>
      </c>
      <c r="W9" s="705">
        <f t="shared" si="6"/>
        <v>0</v>
      </c>
      <c r="X9" s="705">
        <f t="shared" si="6"/>
        <v>0</v>
      </c>
    </row>
    <row r="10" spans="1:25">
      <c r="A10" s="2070"/>
      <c r="B10" s="2081">
        <v>7</v>
      </c>
      <c r="C10" s="2082" t="s">
        <v>1391</v>
      </c>
      <c r="D10" s="3789"/>
      <c r="E10" s="3790"/>
      <c r="F10" s="3790"/>
      <c r="G10" s="3791"/>
      <c r="H10" s="3791"/>
      <c r="I10" s="3791"/>
      <c r="J10" s="3791"/>
      <c r="K10" s="3791"/>
      <c r="L10" s="3791"/>
      <c r="M10" s="703" t="str">
        <f>" - - - -"</f>
        <v xml:space="preserve"> - - - -</v>
      </c>
      <c r="N10" s="703" t="str">
        <f>" - - - -"</f>
        <v xml:space="preserve"> - - - -</v>
      </c>
      <c r="O10" s="567"/>
      <c r="P10" s="705"/>
      <c r="Q10" s="705"/>
      <c r="R10" s="705"/>
      <c r="S10" s="705"/>
      <c r="T10" s="705"/>
      <c r="U10" s="705"/>
      <c r="V10" s="705"/>
      <c r="W10" s="705"/>
      <c r="X10" s="705"/>
    </row>
    <row r="11" spans="1:25">
      <c r="A11" s="2070"/>
      <c r="B11" s="2081">
        <v>8</v>
      </c>
      <c r="C11" s="2082" t="s">
        <v>645</v>
      </c>
      <c r="D11" s="3786"/>
      <c r="E11" s="3787"/>
      <c r="F11" s="3787"/>
      <c r="G11" s="3788"/>
      <c r="H11" s="3788"/>
      <c r="I11" s="3788"/>
      <c r="J11" s="3788"/>
      <c r="K11" s="3788"/>
      <c r="L11" s="3788"/>
      <c r="M11" s="706">
        <f t="shared" ref="M11:M16" si="7">SUM(P11:X11)</f>
        <v>0</v>
      </c>
      <c r="N11" s="702">
        <f t="shared" ref="N11:N16" si="8">SUM(D11:L11)-M11</f>
        <v>0</v>
      </c>
      <c r="O11" s="567"/>
      <c r="P11" s="705">
        <f t="shared" si="3"/>
        <v>0</v>
      </c>
      <c r="Q11" s="705">
        <f t="shared" si="4"/>
        <v>0</v>
      </c>
      <c r="R11" s="705">
        <f t="shared" si="5"/>
        <v>0</v>
      </c>
      <c r="S11" s="705">
        <f t="shared" ref="S11:X11" si="9">IF(G$3="ira",G11,0)</f>
        <v>0</v>
      </c>
      <c r="T11" s="705">
        <f t="shared" si="9"/>
        <v>0</v>
      </c>
      <c r="U11" s="705">
        <f t="shared" si="9"/>
        <v>0</v>
      </c>
      <c r="V11" s="705">
        <f t="shared" si="9"/>
        <v>0</v>
      </c>
      <c r="W11" s="705">
        <f t="shared" si="9"/>
        <v>0</v>
      </c>
      <c r="X11" s="705">
        <f t="shared" si="9"/>
        <v>0</v>
      </c>
    </row>
    <row r="12" spans="1:25">
      <c r="A12" s="2070"/>
      <c r="B12" s="2081" t="s">
        <v>458</v>
      </c>
      <c r="C12" s="2082" t="s">
        <v>460</v>
      </c>
      <c r="D12" s="3792"/>
      <c r="E12" s="3793"/>
      <c r="F12" s="3793"/>
      <c r="G12" s="3794"/>
      <c r="H12" s="3794"/>
      <c r="I12" s="3794"/>
      <c r="J12" s="3794"/>
      <c r="K12" s="3794"/>
      <c r="L12" s="3794"/>
      <c r="M12" s="707">
        <f t="shared" si="7"/>
        <v>0</v>
      </c>
      <c r="N12" s="707">
        <f t="shared" si="8"/>
        <v>0</v>
      </c>
      <c r="O12" s="567"/>
      <c r="P12" s="700">
        <f t="shared" ref="P12:X12" si="10">IF(D$3="IRA",D12,0)</f>
        <v>0</v>
      </c>
      <c r="Q12" s="700">
        <f t="shared" si="10"/>
        <v>0</v>
      </c>
      <c r="R12" s="700">
        <f t="shared" si="10"/>
        <v>0</v>
      </c>
      <c r="S12" s="700">
        <f t="shared" si="10"/>
        <v>0</v>
      </c>
      <c r="T12" s="700">
        <f t="shared" si="10"/>
        <v>0</v>
      </c>
      <c r="U12" s="700">
        <f t="shared" si="10"/>
        <v>0</v>
      </c>
      <c r="V12" s="700">
        <f t="shared" si="10"/>
        <v>0</v>
      </c>
      <c r="W12" s="700">
        <f t="shared" si="10"/>
        <v>0</v>
      </c>
      <c r="X12" s="700">
        <f t="shared" si="10"/>
        <v>0</v>
      </c>
    </row>
    <row r="13" spans="1:25">
      <c r="A13" s="2070"/>
      <c r="B13" s="2081" t="s">
        <v>459</v>
      </c>
      <c r="C13" s="2082" t="s">
        <v>676</v>
      </c>
      <c r="D13" s="3786"/>
      <c r="E13" s="3787"/>
      <c r="F13" s="3787"/>
      <c r="G13" s="3788"/>
      <c r="H13" s="3788"/>
      <c r="I13" s="3788"/>
      <c r="J13" s="3788"/>
      <c r="K13" s="3788"/>
      <c r="L13" s="3788"/>
      <c r="M13" s="706">
        <f t="shared" si="7"/>
        <v>0</v>
      </c>
      <c r="N13" s="702">
        <f t="shared" si="8"/>
        <v>0</v>
      </c>
      <c r="O13" s="567"/>
      <c r="P13" s="705">
        <f t="shared" ref="P13:X19" si="11">IF(D$3="ira",D13,0)</f>
        <v>0</v>
      </c>
      <c r="Q13" s="705">
        <f t="shared" si="11"/>
        <v>0</v>
      </c>
      <c r="R13" s="705">
        <f t="shared" si="11"/>
        <v>0</v>
      </c>
      <c r="S13" s="705">
        <f t="shared" si="11"/>
        <v>0</v>
      </c>
      <c r="T13" s="705">
        <f t="shared" si="11"/>
        <v>0</v>
      </c>
      <c r="U13" s="705">
        <f t="shared" si="11"/>
        <v>0</v>
      </c>
      <c r="V13" s="705">
        <f t="shared" si="11"/>
        <v>0</v>
      </c>
      <c r="W13" s="705">
        <f t="shared" si="11"/>
        <v>0</v>
      </c>
      <c r="X13" s="705">
        <f t="shared" si="11"/>
        <v>0</v>
      </c>
    </row>
    <row r="14" spans="1:25">
      <c r="A14" s="2070"/>
      <c r="B14" s="2081">
        <v>10</v>
      </c>
      <c r="C14" s="2082" t="s">
        <v>1392</v>
      </c>
      <c r="D14" s="3786"/>
      <c r="E14" s="3787"/>
      <c r="F14" s="3787"/>
      <c r="G14" s="3788"/>
      <c r="H14" s="3788"/>
      <c r="I14" s="3788"/>
      <c r="J14" s="3788"/>
      <c r="K14" s="3788"/>
      <c r="L14" s="3788"/>
      <c r="M14" s="706">
        <f t="shared" si="7"/>
        <v>0</v>
      </c>
      <c r="N14" s="702">
        <f t="shared" si="8"/>
        <v>0</v>
      </c>
      <c r="O14" s="567"/>
      <c r="P14" s="705">
        <f t="shared" si="11"/>
        <v>0</v>
      </c>
      <c r="Q14" s="705">
        <f t="shared" si="11"/>
        <v>0</v>
      </c>
      <c r="R14" s="705">
        <f t="shared" si="11"/>
        <v>0</v>
      </c>
      <c r="S14" s="705">
        <f t="shared" si="11"/>
        <v>0</v>
      </c>
      <c r="T14" s="705">
        <f t="shared" si="11"/>
        <v>0</v>
      </c>
      <c r="U14" s="705">
        <f t="shared" si="11"/>
        <v>0</v>
      </c>
      <c r="V14" s="705">
        <f t="shared" si="11"/>
        <v>0</v>
      </c>
      <c r="W14" s="705">
        <f t="shared" si="11"/>
        <v>0</v>
      </c>
      <c r="X14" s="705">
        <f t="shared" si="11"/>
        <v>0</v>
      </c>
    </row>
    <row r="15" spans="1:25">
      <c r="A15" s="2070"/>
      <c r="B15" s="2081">
        <v>11</v>
      </c>
      <c r="C15" s="2082" t="s">
        <v>1393</v>
      </c>
      <c r="D15" s="3786"/>
      <c r="E15" s="3787"/>
      <c r="F15" s="3787"/>
      <c r="G15" s="3788"/>
      <c r="H15" s="3788"/>
      <c r="I15" s="3788"/>
      <c r="J15" s="3788"/>
      <c r="K15" s="3788"/>
      <c r="L15" s="3788"/>
      <c r="M15" s="706">
        <f t="shared" si="7"/>
        <v>0</v>
      </c>
      <c r="N15" s="702">
        <f t="shared" si="8"/>
        <v>0</v>
      </c>
      <c r="O15" s="567"/>
      <c r="P15" s="705">
        <f t="shared" si="11"/>
        <v>0</v>
      </c>
      <c r="Q15" s="705">
        <f t="shared" si="11"/>
        <v>0</v>
      </c>
      <c r="R15" s="705">
        <f t="shared" si="11"/>
        <v>0</v>
      </c>
      <c r="S15" s="705">
        <f t="shared" si="11"/>
        <v>0</v>
      </c>
      <c r="T15" s="705">
        <f t="shared" si="11"/>
        <v>0</v>
      </c>
      <c r="U15" s="705">
        <f t="shared" si="11"/>
        <v>0</v>
      </c>
      <c r="V15" s="705">
        <f t="shared" si="11"/>
        <v>0</v>
      </c>
      <c r="W15" s="705">
        <f t="shared" si="11"/>
        <v>0</v>
      </c>
      <c r="X15" s="705">
        <f t="shared" si="11"/>
        <v>0</v>
      </c>
    </row>
    <row r="16" spans="1:25">
      <c r="A16" s="2070"/>
      <c r="B16" s="662">
        <v>12</v>
      </c>
      <c r="C16" s="2090" t="s">
        <v>677</v>
      </c>
      <c r="D16" s="3786"/>
      <c r="E16" s="3787"/>
      <c r="F16" s="3787"/>
      <c r="G16" s="3788"/>
      <c r="H16" s="3788"/>
      <c r="I16" s="3788"/>
      <c r="J16" s="3788"/>
      <c r="K16" s="3788"/>
      <c r="L16" s="3788"/>
      <c r="M16" s="706">
        <f t="shared" si="7"/>
        <v>0</v>
      </c>
      <c r="N16" s="702">
        <f t="shared" si="8"/>
        <v>0</v>
      </c>
      <c r="O16" s="567"/>
      <c r="P16" s="705">
        <f t="shared" si="11"/>
        <v>0</v>
      </c>
      <c r="Q16" s="705">
        <f t="shared" si="11"/>
        <v>0</v>
      </c>
      <c r="R16" s="705">
        <f t="shared" si="11"/>
        <v>0</v>
      </c>
      <c r="S16" s="705">
        <f t="shared" si="11"/>
        <v>0</v>
      </c>
      <c r="T16" s="705">
        <f t="shared" si="11"/>
        <v>0</v>
      </c>
      <c r="U16" s="705">
        <f t="shared" si="11"/>
        <v>0</v>
      </c>
      <c r="V16" s="705">
        <f t="shared" si="11"/>
        <v>0</v>
      </c>
      <c r="W16" s="705">
        <f t="shared" si="11"/>
        <v>0</v>
      </c>
      <c r="X16" s="705">
        <f t="shared" si="11"/>
        <v>0</v>
      </c>
    </row>
    <row r="17" spans="1:25">
      <c r="A17" s="2070"/>
      <c r="B17" s="2081">
        <v>13</v>
      </c>
      <c r="C17" s="2082" t="s">
        <v>519</v>
      </c>
      <c r="D17" s="3795"/>
      <c r="E17" s="3796"/>
      <c r="F17" s="3796"/>
      <c r="G17" s="3797"/>
      <c r="H17" s="3797"/>
      <c r="I17" s="3797"/>
      <c r="J17" s="3797"/>
      <c r="K17" s="3797"/>
      <c r="L17" s="3797"/>
      <c r="M17" s="703" t="str">
        <f>" - - - -"</f>
        <v xml:space="preserve"> - - - -</v>
      </c>
      <c r="N17" s="703" t="str">
        <f>" - - - -"</f>
        <v xml:space="preserve"> - - - -</v>
      </c>
      <c r="O17" s="567"/>
      <c r="P17" s="705">
        <f t="shared" si="11"/>
        <v>0</v>
      </c>
      <c r="Q17" s="705">
        <f t="shared" si="11"/>
        <v>0</v>
      </c>
      <c r="R17" s="705">
        <f t="shared" si="11"/>
        <v>0</v>
      </c>
      <c r="S17" s="705">
        <f t="shared" si="11"/>
        <v>0</v>
      </c>
      <c r="T17" s="705">
        <f t="shared" si="11"/>
        <v>0</v>
      </c>
      <c r="U17" s="705">
        <f t="shared" si="11"/>
        <v>0</v>
      </c>
      <c r="V17" s="705">
        <f t="shared" si="11"/>
        <v>0</v>
      </c>
      <c r="W17" s="705">
        <f t="shared" si="11"/>
        <v>0</v>
      </c>
      <c r="X17" s="705">
        <f t="shared" si="11"/>
        <v>0</v>
      </c>
    </row>
    <row r="18" spans="1:25">
      <c r="A18" s="2070"/>
      <c r="B18" s="2081">
        <v>14</v>
      </c>
      <c r="C18" s="2082" t="s">
        <v>65</v>
      </c>
      <c r="D18" s="3786"/>
      <c r="E18" s="3787"/>
      <c r="F18" s="3787"/>
      <c r="G18" s="3788"/>
      <c r="H18" s="3788"/>
      <c r="I18" s="3788"/>
      <c r="J18" s="3788"/>
      <c r="K18" s="3788"/>
      <c r="L18" s="3788"/>
      <c r="M18" s="706">
        <f>SUM(P18:X18)</f>
        <v>0</v>
      </c>
      <c r="N18" s="702">
        <f>SUM(D18:L18)-M18</f>
        <v>0</v>
      </c>
      <c r="O18" s="567"/>
      <c r="P18" s="705">
        <f t="shared" si="11"/>
        <v>0</v>
      </c>
      <c r="Q18" s="705">
        <f t="shared" si="11"/>
        <v>0</v>
      </c>
      <c r="R18" s="705">
        <f t="shared" si="11"/>
        <v>0</v>
      </c>
      <c r="S18" s="705">
        <f t="shared" si="11"/>
        <v>0</v>
      </c>
      <c r="T18" s="705">
        <f t="shared" si="11"/>
        <v>0</v>
      </c>
      <c r="U18" s="705">
        <f t="shared" si="11"/>
        <v>0</v>
      </c>
      <c r="V18" s="705">
        <f t="shared" si="11"/>
        <v>0</v>
      </c>
      <c r="W18" s="705">
        <f t="shared" si="11"/>
        <v>0</v>
      </c>
      <c r="X18" s="705">
        <f t="shared" si="11"/>
        <v>0</v>
      </c>
    </row>
    <row r="19" spans="1:25">
      <c r="A19" s="2070"/>
      <c r="B19" s="662">
        <v>15</v>
      </c>
      <c r="C19" s="2090" t="s">
        <v>357</v>
      </c>
      <c r="D19" s="3786"/>
      <c r="E19" s="3787"/>
      <c r="F19" s="3787"/>
      <c r="G19" s="3788"/>
      <c r="H19" s="3788"/>
      <c r="I19" s="3788"/>
      <c r="J19" s="3788"/>
      <c r="K19" s="3788"/>
      <c r="L19" s="3788"/>
      <c r="M19" s="706">
        <f>SUM(P19:X19)</f>
        <v>0</v>
      </c>
      <c r="N19" s="702">
        <f>SUM(D19:L19)-M19</f>
        <v>0</v>
      </c>
      <c r="O19" s="567"/>
      <c r="P19" s="705">
        <f t="shared" si="11"/>
        <v>0</v>
      </c>
      <c r="Q19" s="705">
        <f t="shared" si="11"/>
        <v>0</v>
      </c>
      <c r="R19" s="705">
        <f t="shared" si="11"/>
        <v>0</v>
      </c>
      <c r="S19" s="705">
        <f t="shared" si="11"/>
        <v>0</v>
      </c>
      <c r="T19" s="705">
        <f t="shared" si="11"/>
        <v>0</v>
      </c>
      <c r="U19" s="705">
        <f t="shared" si="11"/>
        <v>0</v>
      </c>
      <c r="V19" s="705">
        <f t="shared" si="11"/>
        <v>0</v>
      </c>
      <c r="W19" s="705">
        <f t="shared" si="11"/>
        <v>0</v>
      </c>
      <c r="X19" s="705">
        <f t="shared" si="11"/>
        <v>0</v>
      </c>
    </row>
    <row r="20" spans="1:25">
      <c r="A20" s="2070"/>
      <c r="B20" s="2081">
        <v>16</v>
      </c>
      <c r="C20" s="2082" t="s">
        <v>358</v>
      </c>
      <c r="D20" s="3786"/>
      <c r="E20" s="3787"/>
      <c r="F20" s="3787"/>
      <c r="G20" s="3788"/>
      <c r="H20" s="3788"/>
      <c r="I20" s="3788"/>
      <c r="J20" s="3788"/>
      <c r="K20" s="3788"/>
      <c r="L20" s="3788"/>
      <c r="M20" s="703" t="str">
        <f>" - - - -"</f>
        <v xml:space="preserve"> - - - -</v>
      </c>
      <c r="N20" s="703" t="str">
        <f>" - - - -"</f>
        <v xml:space="preserve"> - - - -</v>
      </c>
      <c r="O20" s="567"/>
      <c r="P20" s="705"/>
      <c r="Q20" s="705"/>
      <c r="R20" s="705"/>
      <c r="S20" s="705"/>
      <c r="T20" s="705"/>
      <c r="U20" s="705"/>
      <c r="V20" s="705"/>
      <c r="W20" s="705"/>
      <c r="X20" s="705"/>
    </row>
    <row r="21" spans="1:25" ht="13.5" thickBot="1">
      <c r="A21" s="2070"/>
      <c r="B21" s="2087">
        <v>17</v>
      </c>
      <c r="C21" s="2088" t="s">
        <v>359</v>
      </c>
      <c r="D21" s="3798"/>
      <c r="E21" s="3799"/>
      <c r="F21" s="3799"/>
      <c r="G21" s="3800"/>
      <c r="H21" s="3800"/>
      <c r="I21" s="3800"/>
      <c r="J21" s="3800"/>
      <c r="K21" s="3800"/>
      <c r="L21" s="3800"/>
      <c r="M21" s="708">
        <f>SUM(P21:X21)</f>
        <v>0</v>
      </c>
      <c r="N21" s="1150">
        <f>SUM(E21:M21)</f>
        <v>0</v>
      </c>
      <c r="O21" s="567"/>
      <c r="P21" s="705">
        <f>IF(D$3="IRA",D21,0)</f>
        <v>0</v>
      </c>
      <c r="Q21" s="705">
        <f>IF(E20="IRA",E21,0)</f>
        <v>0</v>
      </c>
      <c r="R21" s="705">
        <f t="shared" ref="R21:X21" si="12">IF(F$3="IRA",F21,0)</f>
        <v>0</v>
      </c>
      <c r="S21" s="705">
        <f t="shared" si="12"/>
        <v>0</v>
      </c>
      <c r="T21" s="705">
        <f t="shared" si="12"/>
        <v>0</v>
      </c>
      <c r="U21" s="705">
        <f t="shared" si="12"/>
        <v>0</v>
      </c>
      <c r="V21" s="705">
        <f t="shared" si="12"/>
        <v>0</v>
      </c>
      <c r="W21" s="705">
        <f t="shared" si="12"/>
        <v>0</v>
      </c>
      <c r="X21" s="705">
        <f t="shared" si="12"/>
        <v>0</v>
      </c>
    </row>
    <row r="22" spans="1:25">
      <c r="A22" s="2070"/>
      <c r="B22" s="2070"/>
      <c r="C22" s="2070"/>
      <c r="D22" s="2070"/>
      <c r="E22" s="2070"/>
      <c r="F22" s="2070"/>
      <c r="G22" s="2070"/>
      <c r="H22" s="2070"/>
      <c r="I22" s="2070"/>
      <c r="J22" s="2070"/>
      <c r="K22" s="2070"/>
      <c r="L22" s="2070"/>
      <c r="M22" s="2070"/>
      <c r="N22" s="2070"/>
      <c r="O22" s="567"/>
      <c r="P22" s="3801"/>
      <c r="Q22" s="3801"/>
      <c r="R22" s="3801"/>
      <c r="S22" s="3801"/>
      <c r="T22" s="3801"/>
      <c r="U22" s="3801"/>
      <c r="V22" s="3801"/>
      <c r="W22" s="3801"/>
      <c r="X22" s="3801"/>
    </row>
    <row r="23" spans="1:25" ht="48" customHeight="1" thickBot="1">
      <c r="A23" s="2070"/>
      <c r="B23" s="677"/>
      <c r="C23" s="2618" t="str">
        <f>IF(Name_1st_Sp="","Enter spouse's name on Form 1040",NameSpouse)</f>
        <v>Enter spouse's name on Form 1040</v>
      </c>
      <c r="D23" s="3779" t="s">
        <v>453</v>
      </c>
      <c r="E23" s="3779" t="s">
        <v>454</v>
      </c>
      <c r="F23" s="3779" t="s">
        <v>455</v>
      </c>
      <c r="G23" s="3779" t="s">
        <v>590</v>
      </c>
      <c r="H23" s="3780" t="s">
        <v>3158</v>
      </c>
      <c r="I23" s="3780" t="s">
        <v>3159</v>
      </c>
      <c r="J23" s="3780" t="s">
        <v>3160</v>
      </c>
      <c r="K23" s="3780" t="s">
        <v>3715</v>
      </c>
      <c r="L23" s="3780" t="s">
        <v>3716</v>
      </c>
      <c r="M23" s="675" t="s">
        <v>767</v>
      </c>
      <c r="N23" s="675" t="s">
        <v>660</v>
      </c>
      <c r="O23" s="175"/>
      <c r="P23" s="478"/>
      <c r="Q23" s="478"/>
      <c r="R23" s="478"/>
      <c r="S23" s="478"/>
      <c r="T23" s="478"/>
      <c r="U23" s="478"/>
      <c r="V23" s="478"/>
      <c r="W23" s="478"/>
      <c r="X23" s="478"/>
    </row>
    <row r="24" spans="1:25" ht="13.5" thickBot="1">
      <c r="A24" s="2070"/>
      <c r="B24" s="2072"/>
      <c r="C24" s="2073" t="s">
        <v>2442</v>
      </c>
      <c r="D24" s="3781"/>
      <c r="E24" s="3782"/>
      <c r="F24" s="3782"/>
      <c r="G24" s="3783"/>
      <c r="H24" s="3783"/>
      <c r="I24" s="3783"/>
      <c r="J24" s="3783"/>
      <c r="K24" s="3783"/>
      <c r="L24" s="3783"/>
      <c r="M24" s="2074" t="s">
        <v>659</v>
      </c>
      <c r="N24" s="2071" t="s">
        <v>630</v>
      </c>
      <c r="O24" s="35"/>
      <c r="P24" s="64"/>
      <c r="Q24" s="64"/>
      <c r="R24" s="64"/>
      <c r="S24" s="64"/>
      <c r="T24" s="64"/>
      <c r="U24" s="64"/>
      <c r="V24" s="64"/>
      <c r="W24" s="64"/>
      <c r="X24" s="64"/>
      <c r="Y24" s="2856" t="s">
        <v>1394</v>
      </c>
    </row>
    <row r="25" spans="1:25" ht="13.5" customHeight="1">
      <c r="A25" s="2070"/>
      <c r="B25" s="661">
        <v>1</v>
      </c>
      <c r="C25" s="2089" t="s">
        <v>757</v>
      </c>
      <c r="D25" s="3784"/>
      <c r="E25" s="3784"/>
      <c r="F25" s="3784"/>
      <c r="G25" s="3785"/>
      <c r="H25" s="3785"/>
      <c r="I25" s="3785"/>
      <c r="J25" s="3785"/>
      <c r="K25" s="3785"/>
      <c r="L25" s="3785"/>
      <c r="M25" s="701">
        <f t="shared" ref="M25:M30" si="13">SUM(P25:X25)</f>
        <v>0</v>
      </c>
      <c r="N25" s="701">
        <f t="shared" ref="N25:N30" si="14">SUM(D25:L25)-M25</f>
        <v>0</v>
      </c>
      <c r="O25" s="414"/>
      <c r="P25" s="705">
        <f t="shared" ref="P25:P40" si="15">IF(D$24="IRA",D25,0)</f>
        <v>0</v>
      </c>
      <c r="Q25" s="705">
        <f t="shared" ref="Q25:Q40" si="16">IF(E$24="IRA",E25,0)</f>
        <v>0</v>
      </c>
      <c r="R25" s="705">
        <f t="shared" ref="R25:R40" si="17">IF(F$24="IRA",F25,0)</f>
        <v>0</v>
      </c>
      <c r="S25" s="705">
        <f t="shared" ref="S25:X30" si="18">IF(G$24="IRA",G25,0)</f>
        <v>0</v>
      </c>
      <c r="T25" s="705">
        <f t="shared" si="18"/>
        <v>0</v>
      </c>
      <c r="U25" s="705">
        <f t="shared" si="18"/>
        <v>0</v>
      </c>
      <c r="V25" s="705">
        <f t="shared" si="18"/>
        <v>0</v>
      </c>
      <c r="W25" s="705">
        <f t="shared" si="18"/>
        <v>0</v>
      </c>
      <c r="X25" s="705">
        <f t="shared" si="18"/>
        <v>0</v>
      </c>
    </row>
    <row r="26" spans="1:25" ht="13.5" customHeight="1">
      <c r="A26" s="2070"/>
      <c r="B26" s="662" t="s">
        <v>550</v>
      </c>
      <c r="C26" s="2090" t="s">
        <v>452</v>
      </c>
      <c r="D26" s="3786"/>
      <c r="E26" s="3787"/>
      <c r="F26" s="3787"/>
      <c r="G26" s="3788"/>
      <c r="H26" s="3788"/>
      <c r="I26" s="3788"/>
      <c r="J26" s="3788"/>
      <c r="K26" s="3788"/>
      <c r="L26" s="3788"/>
      <c r="M26" s="706">
        <f t="shared" si="13"/>
        <v>0</v>
      </c>
      <c r="N26" s="702">
        <f t="shared" si="14"/>
        <v>0</v>
      </c>
      <c r="O26" s="414"/>
      <c r="P26" s="705">
        <f t="shared" si="15"/>
        <v>0</v>
      </c>
      <c r="Q26" s="705">
        <f t="shared" si="16"/>
        <v>0</v>
      </c>
      <c r="R26" s="705">
        <f t="shared" si="17"/>
        <v>0</v>
      </c>
      <c r="S26" s="705">
        <f t="shared" si="18"/>
        <v>0</v>
      </c>
      <c r="T26" s="705">
        <f t="shared" si="18"/>
        <v>0</v>
      </c>
      <c r="U26" s="705">
        <f t="shared" si="18"/>
        <v>0</v>
      </c>
      <c r="V26" s="705">
        <f t="shared" si="18"/>
        <v>0</v>
      </c>
      <c r="W26" s="705">
        <f t="shared" si="18"/>
        <v>0</v>
      </c>
      <c r="X26" s="705">
        <f t="shared" si="18"/>
        <v>0</v>
      </c>
    </row>
    <row r="27" spans="1:25" ht="13.5" customHeight="1">
      <c r="A27" s="2070"/>
      <c r="B27" s="2081">
        <v>3</v>
      </c>
      <c r="C27" s="2082" t="s">
        <v>1389</v>
      </c>
      <c r="D27" s="3786"/>
      <c r="E27" s="3787"/>
      <c r="F27" s="3787"/>
      <c r="G27" s="3788"/>
      <c r="H27" s="3788"/>
      <c r="I27" s="3788"/>
      <c r="J27" s="3788"/>
      <c r="K27" s="3788"/>
      <c r="L27" s="3788"/>
      <c r="M27" s="706">
        <f t="shared" si="13"/>
        <v>0</v>
      </c>
      <c r="N27" s="702">
        <f t="shared" si="14"/>
        <v>0</v>
      </c>
      <c r="O27" s="414"/>
      <c r="P27" s="705">
        <f>IF(D$24="IRA",D27,0)</f>
        <v>0</v>
      </c>
      <c r="Q27" s="705">
        <f>IF(E$24="IRA",E27,0)</f>
        <v>0</v>
      </c>
      <c r="R27" s="705">
        <f>IF(F$24="IRA",F27,0)</f>
        <v>0</v>
      </c>
      <c r="S27" s="705">
        <f t="shared" si="18"/>
        <v>0</v>
      </c>
      <c r="T27" s="705">
        <f t="shared" si="18"/>
        <v>0</v>
      </c>
      <c r="U27" s="705">
        <f t="shared" si="18"/>
        <v>0</v>
      </c>
      <c r="V27" s="705">
        <f t="shared" si="18"/>
        <v>0</v>
      </c>
      <c r="W27" s="705">
        <f t="shared" si="18"/>
        <v>0</v>
      </c>
      <c r="X27" s="705">
        <f t="shared" si="18"/>
        <v>0</v>
      </c>
    </row>
    <row r="28" spans="1:25" ht="13.5" customHeight="1">
      <c r="A28" s="2070"/>
      <c r="B28" s="662">
        <v>4</v>
      </c>
      <c r="C28" s="2090" t="s">
        <v>277</v>
      </c>
      <c r="D28" s="3786"/>
      <c r="E28" s="3787"/>
      <c r="F28" s="3787"/>
      <c r="G28" s="3788"/>
      <c r="H28" s="3788"/>
      <c r="I28" s="3788"/>
      <c r="J28" s="3788"/>
      <c r="K28" s="3788"/>
      <c r="L28" s="3788"/>
      <c r="M28" s="706">
        <f t="shared" si="13"/>
        <v>0</v>
      </c>
      <c r="N28" s="702">
        <f t="shared" si="14"/>
        <v>0</v>
      </c>
      <c r="O28" s="414"/>
      <c r="P28" s="705">
        <f t="shared" si="15"/>
        <v>0</v>
      </c>
      <c r="Q28" s="705">
        <f t="shared" si="16"/>
        <v>0</v>
      </c>
      <c r="R28" s="705">
        <f t="shared" si="17"/>
        <v>0</v>
      </c>
      <c r="S28" s="705">
        <f t="shared" si="18"/>
        <v>0</v>
      </c>
      <c r="T28" s="705">
        <f t="shared" si="18"/>
        <v>0</v>
      </c>
      <c r="U28" s="705">
        <f t="shared" si="18"/>
        <v>0</v>
      </c>
      <c r="V28" s="705">
        <f t="shared" si="18"/>
        <v>0</v>
      </c>
      <c r="W28" s="705">
        <f t="shared" si="18"/>
        <v>0</v>
      </c>
      <c r="X28" s="705">
        <f t="shared" si="18"/>
        <v>0</v>
      </c>
    </row>
    <row r="29" spans="1:25" ht="26.25" customHeight="1">
      <c r="A29" s="2070"/>
      <c r="B29" s="2083">
        <v>5</v>
      </c>
      <c r="C29" s="2084" t="s">
        <v>1390</v>
      </c>
      <c r="D29" s="3786"/>
      <c r="E29" s="3787"/>
      <c r="F29" s="3787"/>
      <c r="G29" s="3788"/>
      <c r="H29" s="3788"/>
      <c r="I29" s="3788"/>
      <c r="J29" s="3788"/>
      <c r="K29" s="3788"/>
      <c r="L29" s="3788"/>
      <c r="M29" s="706">
        <f t="shared" si="13"/>
        <v>0</v>
      </c>
      <c r="N29" s="702">
        <f t="shared" si="14"/>
        <v>0</v>
      </c>
      <c r="O29" s="35"/>
      <c r="P29" s="705">
        <f t="shared" si="15"/>
        <v>0</v>
      </c>
      <c r="Q29" s="705">
        <f t="shared" si="16"/>
        <v>0</v>
      </c>
      <c r="R29" s="705">
        <f t="shared" si="17"/>
        <v>0</v>
      </c>
      <c r="S29" s="705">
        <f t="shared" si="18"/>
        <v>0</v>
      </c>
      <c r="T29" s="705">
        <f t="shared" si="18"/>
        <v>0</v>
      </c>
      <c r="U29" s="705">
        <f t="shared" si="18"/>
        <v>0</v>
      </c>
      <c r="V29" s="705">
        <f t="shared" si="18"/>
        <v>0</v>
      </c>
      <c r="W29" s="705">
        <f t="shared" si="18"/>
        <v>0</v>
      </c>
      <c r="X29" s="705">
        <f t="shared" si="18"/>
        <v>0</v>
      </c>
    </row>
    <row r="30" spans="1:25">
      <c r="A30" s="2070"/>
      <c r="B30" s="2081">
        <v>6</v>
      </c>
      <c r="C30" s="2082" t="s">
        <v>164</v>
      </c>
      <c r="D30" s="3786"/>
      <c r="E30" s="3787"/>
      <c r="F30" s="3787"/>
      <c r="G30" s="3788"/>
      <c r="H30" s="3788"/>
      <c r="I30" s="3788"/>
      <c r="J30" s="3788"/>
      <c r="K30" s="3788"/>
      <c r="L30" s="3788"/>
      <c r="M30" s="706">
        <f t="shared" si="13"/>
        <v>0</v>
      </c>
      <c r="N30" s="702">
        <f t="shared" si="14"/>
        <v>0</v>
      </c>
      <c r="O30" s="35"/>
      <c r="P30" s="705">
        <f t="shared" si="15"/>
        <v>0</v>
      </c>
      <c r="Q30" s="705">
        <f t="shared" si="16"/>
        <v>0</v>
      </c>
      <c r="R30" s="705">
        <f t="shared" si="17"/>
        <v>0</v>
      </c>
      <c r="S30" s="705">
        <f t="shared" si="18"/>
        <v>0</v>
      </c>
      <c r="T30" s="705">
        <f t="shared" si="18"/>
        <v>0</v>
      </c>
      <c r="U30" s="705">
        <f t="shared" si="18"/>
        <v>0</v>
      </c>
      <c r="V30" s="705">
        <f t="shared" si="18"/>
        <v>0</v>
      </c>
      <c r="W30" s="705">
        <f t="shared" si="18"/>
        <v>0</v>
      </c>
      <c r="X30" s="705">
        <f t="shared" si="18"/>
        <v>0</v>
      </c>
    </row>
    <row r="31" spans="1:25">
      <c r="A31" s="2070"/>
      <c r="B31" s="2081">
        <v>7</v>
      </c>
      <c r="C31" s="2082" t="s">
        <v>1391</v>
      </c>
      <c r="D31" s="3789"/>
      <c r="E31" s="3790"/>
      <c r="F31" s="3790"/>
      <c r="G31" s="3791"/>
      <c r="H31" s="3791"/>
      <c r="I31" s="3791"/>
      <c r="J31" s="3791"/>
      <c r="K31" s="3791"/>
      <c r="L31" s="3791"/>
      <c r="M31" s="703" t="str">
        <f>" - - - -"</f>
        <v xml:space="preserve"> - - - -</v>
      </c>
      <c r="N31" s="703" t="str">
        <f>" - - - -"</f>
        <v xml:space="preserve"> - - - -</v>
      </c>
      <c r="O31" s="35"/>
      <c r="P31" s="705"/>
      <c r="Q31" s="705"/>
      <c r="R31" s="705"/>
      <c r="S31" s="705"/>
      <c r="T31" s="705"/>
      <c r="U31" s="705"/>
      <c r="V31" s="705"/>
      <c r="W31" s="705"/>
      <c r="X31" s="705"/>
    </row>
    <row r="32" spans="1:25">
      <c r="A32" s="2070"/>
      <c r="B32" s="2081">
        <v>8</v>
      </c>
      <c r="C32" s="2082" t="s">
        <v>645</v>
      </c>
      <c r="D32" s="3786"/>
      <c r="E32" s="3787"/>
      <c r="F32" s="3787"/>
      <c r="G32" s="3788"/>
      <c r="H32" s="3788"/>
      <c r="I32" s="3788"/>
      <c r="J32" s="3788"/>
      <c r="K32" s="3788"/>
      <c r="L32" s="3788"/>
      <c r="M32" s="706">
        <f t="shared" ref="M32:M37" si="19">SUM(P32:X32)</f>
        <v>0</v>
      </c>
      <c r="N32" s="702">
        <f t="shared" ref="N32:N37" si="20">SUM(D32:L32)-M32</f>
        <v>0</v>
      </c>
      <c r="O32" s="35"/>
      <c r="P32" s="705">
        <f t="shared" si="15"/>
        <v>0</v>
      </c>
      <c r="Q32" s="705">
        <f t="shared" si="16"/>
        <v>0</v>
      </c>
      <c r="R32" s="705">
        <f t="shared" si="17"/>
        <v>0</v>
      </c>
      <c r="S32" s="705">
        <f t="shared" ref="S32:X34" si="21">IF(G$24="IRA",G32,0)</f>
        <v>0</v>
      </c>
      <c r="T32" s="705">
        <f t="shared" si="21"/>
        <v>0</v>
      </c>
      <c r="U32" s="705">
        <f t="shared" si="21"/>
        <v>0</v>
      </c>
      <c r="V32" s="705">
        <f t="shared" si="21"/>
        <v>0</v>
      </c>
      <c r="W32" s="705">
        <f t="shared" si="21"/>
        <v>0</v>
      </c>
      <c r="X32" s="705">
        <f t="shared" si="21"/>
        <v>0</v>
      </c>
    </row>
    <row r="33" spans="1:24">
      <c r="A33" s="2070"/>
      <c r="B33" s="2081" t="s">
        <v>458</v>
      </c>
      <c r="C33" s="2082" t="s">
        <v>460</v>
      </c>
      <c r="D33" s="3792"/>
      <c r="E33" s="3793"/>
      <c r="F33" s="3793"/>
      <c r="G33" s="3794"/>
      <c r="H33" s="3794"/>
      <c r="I33" s="3794"/>
      <c r="J33" s="3794"/>
      <c r="K33" s="3794"/>
      <c r="L33" s="3794"/>
      <c r="M33" s="707">
        <f t="shared" si="19"/>
        <v>0</v>
      </c>
      <c r="N33" s="707">
        <f t="shared" si="20"/>
        <v>0</v>
      </c>
      <c r="O33" s="35"/>
      <c r="P33" s="700">
        <f t="shared" si="15"/>
        <v>0</v>
      </c>
      <c r="Q33" s="700">
        <f t="shared" si="16"/>
        <v>0</v>
      </c>
      <c r="R33" s="700">
        <f t="shared" si="17"/>
        <v>0</v>
      </c>
      <c r="S33" s="700">
        <f t="shared" si="21"/>
        <v>0</v>
      </c>
      <c r="T33" s="700">
        <f t="shared" si="21"/>
        <v>0</v>
      </c>
      <c r="U33" s="700">
        <f t="shared" si="21"/>
        <v>0</v>
      </c>
      <c r="V33" s="700">
        <f t="shared" si="21"/>
        <v>0</v>
      </c>
      <c r="W33" s="700">
        <f t="shared" si="21"/>
        <v>0</v>
      </c>
      <c r="X33" s="700">
        <f t="shared" si="21"/>
        <v>0</v>
      </c>
    </row>
    <row r="34" spans="1:24">
      <c r="A34" s="2070"/>
      <c r="B34" s="2081" t="s">
        <v>459</v>
      </c>
      <c r="C34" s="2082" t="s">
        <v>676</v>
      </c>
      <c r="D34" s="3786"/>
      <c r="E34" s="3787"/>
      <c r="F34" s="3787"/>
      <c r="G34" s="3788"/>
      <c r="H34" s="3788"/>
      <c r="I34" s="3788"/>
      <c r="J34" s="3788"/>
      <c r="K34" s="3788"/>
      <c r="L34" s="3788"/>
      <c r="M34" s="706">
        <f t="shared" si="19"/>
        <v>0</v>
      </c>
      <c r="N34" s="702">
        <f t="shared" si="20"/>
        <v>0</v>
      </c>
      <c r="O34" s="35"/>
      <c r="P34" s="705">
        <f t="shared" si="15"/>
        <v>0</v>
      </c>
      <c r="Q34" s="705">
        <f t="shared" si="16"/>
        <v>0</v>
      </c>
      <c r="R34" s="705">
        <f t="shared" si="17"/>
        <v>0</v>
      </c>
      <c r="S34" s="705">
        <f t="shared" si="21"/>
        <v>0</v>
      </c>
      <c r="T34" s="705">
        <f t="shared" si="21"/>
        <v>0</v>
      </c>
      <c r="U34" s="705">
        <f t="shared" si="21"/>
        <v>0</v>
      </c>
      <c r="V34" s="705">
        <f t="shared" si="21"/>
        <v>0</v>
      </c>
      <c r="W34" s="705">
        <f t="shared" si="21"/>
        <v>0</v>
      </c>
      <c r="X34" s="705">
        <f t="shared" si="21"/>
        <v>0</v>
      </c>
    </row>
    <row r="35" spans="1:24">
      <c r="A35" s="2070"/>
      <c r="B35" s="2081">
        <v>10</v>
      </c>
      <c r="C35" s="2082" t="s">
        <v>1392</v>
      </c>
      <c r="D35" s="3786"/>
      <c r="E35" s="3787"/>
      <c r="F35" s="3787"/>
      <c r="G35" s="3788"/>
      <c r="H35" s="3788"/>
      <c r="I35" s="3788"/>
      <c r="J35" s="3788"/>
      <c r="K35" s="3788"/>
      <c r="L35" s="3788"/>
      <c r="M35" s="706">
        <f t="shared" si="19"/>
        <v>0</v>
      </c>
      <c r="N35" s="702">
        <f t="shared" si="20"/>
        <v>0</v>
      </c>
      <c r="O35" s="567"/>
      <c r="P35" s="705">
        <f t="shared" ref="P35:X36" si="22">IF(D$3="ira",D35,0)</f>
        <v>0</v>
      </c>
      <c r="Q35" s="705">
        <f t="shared" si="22"/>
        <v>0</v>
      </c>
      <c r="R35" s="705">
        <f t="shared" si="22"/>
        <v>0</v>
      </c>
      <c r="S35" s="705">
        <f t="shared" si="22"/>
        <v>0</v>
      </c>
      <c r="T35" s="705">
        <f t="shared" si="22"/>
        <v>0</v>
      </c>
      <c r="U35" s="705">
        <f t="shared" si="22"/>
        <v>0</v>
      </c>
      <c r="V35" s="705">
        <f t="shared" si="22"/>
        <v>0</v>
      </c>
      <c r="W35" s="705">
        <f t="shared" si="22"/>
        <v>0</v>
      </c>
      <c r="X35" s="705">
        <f t="shared" si="22"/>
        <v>0</v>
      </c>
    </row>
    <row r="36" spans="1:24">
      <c r="A36" s="2070"/>
      <c r="B36" s="2081">
        <v>11</v>
      </c>
      <c r="C36" s="2082" t="s">
        <v>1393</v>
      </c>
      <c r="D36" s="3786"/>
      <c r="E36" s="3787"/>
      <c r="F36" s="3787"/>
      <c r="G36" s="3788"/>
      <c r="H36" s="3788"/>
      <c r="I36" s="3788"/>
      <c r="J36" s="3788"/>
      <c r="K36" s="3788"/>
      <c r="L36" s="3788"/>
      <c r="M36" s="706">
        <f t="shared" si="19"/>
        <v>0</v>
      </c>
      <c r="N36" s="702">
        <f t="shared" si="20"/>
        <v>0</v>
      </c>
      <c r="O36" s="567"/>
      <c r="P36" s="705">
        <f t="shared" si="22"/>
        <v>0</v>
      </c>
      <c r="Q36" s="705">
        <f t="shared" si="22"/>
        <v>0</v>
      </c>
      <c r="R36" s="705">
        <f t="shared" si="22"/>
        <v>0</v>
      </c>
      <c r="S36" s="705">
        <f t="shared" si="22"/>
        <v>0</v>
      </c>
      <c r="T36" s="705">
        <f t="shared" si="22"/>
        <v>0</v>
      </c>
      <c r="U36" s="705">
        <f t="shared" si="22"/>
        <v>0</v>
      </c>
      <c r="V36" s="705">
        <f t="shared" si="22"/>
        <v>0</v>
      </c>
      <c r="W36" s="705">
        <f t="shared" si="22"/>
        <v>0</v>
      </c>
      <c r="X36" s="705">
        <f t="shared" si="22"/>
        <v>0</v>
      </c>
    </row>
    <row r="37" spans="1:24">
      <c r="A37" s="2070"/>
      <c r="B37" s="662">
        <v>12</v>
      </c>
      <c r="C37" s="2090" t="s">
        <v>677</v>
      </c>
      <c r="D37" s="3786"/>
      <c r="E37" s="3787"/>
      <c r="F37" s="3787"/>
      <c r="G37" s="3788"/>
      <c r="H37" s="3788"/>
      <c r="I37" s="3788"/>
      <c r="J37" s="3788"/>
      <c r="K37" s="3788"/>
      <c r="L37" s="3788"/>
      <c r="M37" s="706">
        <f t="shared" si="19"/>
        <v>0</v>
      </c>
      <c r="N37" s="702">
        <f t="shared" si="20"/>
        <v>0</v>
      </c>
      <c r="O37" s="35"/>
      <c r="P37" s="705">
        <f t="shared" si="15"/>
        <v>0</v>
      </c>
      <c r="Q37" s="705">
        <f t="shared" si="16"/>
        <v>0</v>
      </c>
      <c r="R37" s="705">
        <f t="shared" si="17"/>
        <v>0</v>
      </c>
      <c r="S37" s="705">
        <f t="shared" ref="S37:X40" si="23">IF(G$24="IRA",G37,0)</f>
        <v>0</v>
      </c>
      <c r="T37" s="705">
        <f t="shared" si="23"/>
        <v>0</v>
      </c>
      <c r="U37" s="705">
        <f t="shared" si="23"/>
        <v>0</v>
      </c>
      <c r="V37" s="705">
        <f t="shared" si="23"/>
        <v>0</v>
      </c>
      <c r="W37" s="705">
        <f t="shared" si="23"/>
        <v>0</v>
      </c>
      <c r="X37" s="705">
        <f t="shared" si="23"/>
        <v>0</v>
      </c>
    </row>
    <row r="38" spans="1:24">
      <c r="A38" s="2070"/>
      <c r="B38" s="2081">
        <v>13</v>
      </c>
      <c r="C38" s="2082" t="s">
        <v>519</v>
      </c>
      <c r="D38" s="3795"/>
      <c r="E38" s="3796"/>
      <c r="F38" s="3796"/>
      <c r="G38" s="3797"/>
      <c r="H38" s="3797"/>
      <c r="I38" s="3797"/>
      <c r="J38" s="3797"/>
      <c r="K38" s="3797"/>
      <c r="L38" s="3797"/>
      <c r="M38" s="703" t="str">
        <f>" - - - -"</f>
        <v xml:space="preserve"> - - - -</v>
      </c>
      <c r="N38" s="703" t="str">
        <f>" - - - -"</f>
        <v xml:space="preserve"> - - - -</v>
      </c>
      <c r="O38" s="35"/>
      <c r="P38" s="705">
        <f t="shared" si="15"/>
        <v>0</v>
      </c>
      <c r="Q38" s="705">
        <f t="shared" si="16"/>
        <v>0</v>
      </c>
      <c r="R38" s="705">
        <f t="shared" si="17"/>
        <v>0</v>
      </c>
      <c r="S38" s="705">
        <f t="shared" si="23"/>
        <v>0</v>
      </c>
      <c r="T38" s="705">
        <f t="shared" si="23"/>
        <v>0</v>
      </c>
      <c r="U38" s="705">
        <f t="shared" si="23"/>
        <v>0</v>
      </c>
      <c r="V38" s="705">
        <f t="shared" si="23"/>
        <v>0</v>
      </c>
      <c r="W38" s="705">
        <f t="shared" si="23"/>
        <v>0</v>
      </c>
      <c r="X38" s="705">
        <f t="shared" si="23"/>
        <v>0</v>
      </c>
    </row>
    <row r="39" spans="1:24">
      <c r="A39" s="2070"/>
      <c r="B39" s="2081">
        <v>14</v>
      </c>
      <c r="C39" s="2082" t="s">
        <v>65</v>
      </c>
      <c r="D39" s="3786"/>
      <c r="E39" s="3787"/>
      <c r="F39" s="3787"/>
      <c r="G39" s="3788"/>
      <c r="H39" s="3788"/>
      <c r="I39" s="3788"/>
      <c r="J39" s="3788"/>
      <c r="K39" s="3788"/>
      <c r="L39" s="3788"/>
      <c r="M39" s="706">
        <f>SUM(P39:X39)</f>
        <v>0</v>
      </c>
      <c r="N39" s="702">
        <f>SUM(D39:L39)-M39</f>
        <v>0</v>
      </c>
      <c r="O39" s="35"/>
      <c r="P39" s="705">
        <f t="shared" si="15"/>
        <v>0</v>
      </c>
      <c r="Q39" s="705">
        <f t="shared" si="16"/>
        <v>0</v>
      </c>
      <c r="R39" s="705">
        <f t="shared" si="17"/>
        <v>0</v>
      </c>
      <c r="S39" s="705">
        <f t="shared" si="23"/>
        <v>0</v>
      </c>
      <c r="T39" s="705">
        <f t="shared" si="23"/>
        <v>0</v>
      </c>
      <c r="U39" s="705">
        <f t="shared" si="23"/>
        <v>0</v>
      </c>
      <c r="V39" s="705">
        <f t="shared" si="23"/>
        <v>0</v>
      </c>
      <c r="W39" s="705">
        <f t="shared" si="23"/>
        <v>0</v>
      </c>
      <c r="X39" s="705">
        <f t="shared" si="23"/>
        <v>0</v>
      </c>
    </row>
    <row r="40" spans="1:24">
      <c r="A40" s="2070"/>
      <c r="B40" s="662">
        <v>15</v>
      </c>
      <c r="C40" s="2090" t="s">
        <v>357</v>
      </c>
      <c r="D40" s="3786"/>
      <c r="E40" s="3787"/>
      <c r="F40" s="3787"/>
      <c r="G40" s="3788"/>
      <c r="H40" s="3788"/>
      <c r="I40" s="3788"/>
      <c r="J40" s="3788"/>
      <c r="K40" s="3788"/>
      <c r="L40" s="3788"/>
      <c r="M40" s="706">
        <f>SUM(P40:X40)</f>
        <v>0</v>
      </c>
      <c r="N40" s="702">
        <f>SUM(D40:L40)-M40</f>
        <v>0</v>
      </c>
      <c r="O40" s="35"/>
      <c r="P40" s="705">
        <f t="shared" si="15"/>
        <v>0</v>
      </c>
      <c r="Q40" s="705">
        <f t="shared" si="16"/>
        <v>0</v>
      </c>
      <c r="R40" s="705">
        <f t="shared" si="17"/>
        <v>0</v>
      </c>
      <c r="S40" s="705">
        <f t="shared" si="23"/>
        <v>0</v>
      </c>
      <c r="T40" s="705">
        <f t="shared" si="23"/>
        <v>0</v>
      </c>
      <c r="U40" s="705">
        <f t="shared" si="23"/>
        <v>0</v>
      </c>
      <c r="V40" s="705">
        <f t="shared" si="23"/>
        <v>0</v>
      </c>
      <c r="W40" s="705">
        <f t="shared" si="23"/>
        <v>0</v>
      </c>
      <c r="X40" s="705">
        <f t="shared" si="23"/>
        <v>0</v>
      </c>
    </row>
    <row r="41" spans="1:24">
      <c r="A41" s="2070"/>
      <c r="B41" s="2081">
        <v>16</v>
      </c>
      <c r="C41" s="2082" t="s">
        <v>358</v>
      </c>
      <c r="D41" s="3786"/>
      <c r="E41" s="3787"/>
      <c r="F41" s="3787"/>
      <c r="G41" s="3788"/>
      <c r="H41" s="3788"/>
      <c r="I41" s="3788"/>
      <c r="J41" s="3788"/>
      <c r="K41" s="3788"/>
      <c r="L41" s="3788"/>
      <c r="M41" s="703" t="str">
        <f>" - - - -"</f>
        <v xml:space="preserve"> - - - -</v>
      </c>
      <c r="N41" s="703" t="str">
        <f>" - - - -"</f>
        <v xml:space="preserve"> - - - -</v>
      </c>
      <c r="O41" s="35"/>
      <c r="P41" s="705"/>
      <c r="Q41" s="705"/>
      <c r="R41" s="705"/>
      <c r="S41" s="705"/>
      <c r="T41" s="705"/>
      <c r="U41" s="705"/>
      <c r="V41" s="705"/>
      <c r="W41" s="705"/>
      <c r="X41" s="705"/>
    </row>
    <row r="42" spans="1:24" ht="13.5" thickBot="1">
      <c r="A42" s="2070"/>
      <c r="B42" s="2087">
        <v>17</v>
      </c>
      <c r="C42" s="2088" t="s">
        <v>359</v>
      </c>
      <c r="D42" s="3798"/>
      <c r="E42" s="3799"/>
      <c r="F42" s="3799"/>
      <c r="G42" s="3800"/>
      <c r="H42" s="3800"/>
      <c r="I42" s="3800"/>
      <c r="J42" s="3800"/>
      <c r="K42" s="3800"/>
      <c r="L42" s="3800"/>
      <c r="M42" s="708">
        <f>SUM(P42:X42)</f>
        <v>0</v>
      </c>
      <c r="N42" s="1150">
        <f>SUM(E42:M42)</f>
        <v>0</v>
      </c>
      <c r="O42" s="35"/>
      <c r="P42" s="705">
        <f t="shared" ref="P42:X42" si="24">IF(D$24="IRA",D42,0)</f>
        <v>0</v>
      </c>
      <c r="Q42" s="705">
        <f t="shared" si="24"/>
        <v>0</v>
      </c>
      <c r="R42" s="705">
        <f t="shared" si="24"/>
        <v>0</v>
      </c>
      <c r="S42" s="705">
        <f t="shared" si="24"/>
        <v>0</v>
      </c>
      <c r="T42" s="705">
        <f t="shared" si="24"/>
        <v>0</v>
      </c>
      <c r="U42" s="705">
        <f t="shared" si="24"/>
        <v>0</v>
      </c>
      <c r="V42" s="705">
        <f t="shared" si="24"/>
        <v>0</v>
      </c>
      <c r="W42" s="705">
        <f t="shared" si="24"/>
        <v>0</v>
      </c>
      <c r="X42" s="705">
        <f t="shared" si="24"/>
        <v>0</v>
      </c>
    </row>
    <row r="43" spans="1:24" ht="49.5" customHeight="1" thickBot="1">
      <c r="A43" s="2070"/>
      <c r="B43" s="677"/>
      <c r="C43" s="677" t="s">
        <v>360</v>
      </c>
      <c r="D43" s="675" t="s">
        <v>767</v>
      </c>
      <c r="E43" s="675" t="s">
        <v>768</v>
      </c>
      <c r="F43" s="675"/>
      <c r="G43" s="675"/>
      <c r="H43" s="675"/>
      <c r="I43" s="675"/>
      <c r="J43" s="675"/>
      <c r="K43" s="675"/>
      <c r="L43" s="675"/>
      <c r="M43" s="675"/>
      <c r="N43" s="675"/>
      <c r="O43" s="675"/>
      <c r="P43" s="175"/>
      <c r="Q43" s="478"/>
      <c r="R43" s="478"/>
      <c r="S43" s="478"/>
      <c r="T43" s="478"/>
      <c r="U43" s="478"/>
      <c r="V43" s="478"/>
      <c r="W43" s="478"/>
      <c r="X43" s="478"/>
    </row>
    <row r="44" spans="1:24" ht="13.5" thickBot="1">
      <c r="A44" s="2070"/>
      <c r="B44" s="2072"/>
      <c r="C44" s="2075"/>
      <c r="D44" s="2076" t="s">
        <v>659</v>
      </c>
      <c r="E44" s="2077" t="s">
        <v>630</v>
      </c>
      <c r="F44" s="2091" t="s">
        <v>1394</v>
      </c>
      <c r="G44" s="567"/>
      <c r="H44" s="567"/>
      <c r="I44" s="567"/>
      <c r="J44" s="567"/>
      <c r="K44" s="567"/>
      <c r="L44" s="567"/>
      <c r="M44" s="44"/>
      <c r="N44" s="673"/>
      <c r="O44" s="44"/>
      <c r="P44" s="35"/>
      <c r="Q44" s="64"/>
      <c r="R44" s="64"/>
      <c r="S44" s="64"/>
      <c r="T44" s="64"/>
      <c r="U44" s="64"/>
      <c r="V44" s="64"/>
      <c r="W44" s="64"/>
      <c r="X44" s="64"/>
    </row>
    <row r="45" spans="1:24" ht="13.5" customHeight="1">
      <c r="A45" s="2070"/>
      <c r="B45" s="661">
        <v>1</v>
      </c>
      <c r="C45" s="2089" t="s">
        <v>757</v>
      </c>
      <c r="D45" s="3728">
        <f t="shared" ref="D45:E48" si="25">SUM(M4,M25)</f>
        <v>0</v>
      </c>
      <c r="E45" s="3728">
        <f t="shared" si="25"/>
        <v>0</v>
      </c>
      <c r="F45" s="670"/>
      <c r="G45" s="557"/>
      <c r="H45" s="557"/>
      <c r="I45" s="557"/>
      <c r="J45" s="557"/>
      <c r="K45" s="557"/>
      <c r="L45" s="557"/>
      <c r="M45" s="557"/>
      <c r="N45" s="671"/>
      <c r="O45" s="55"/>
      <c r="P45" s="414"/>
      <c r="Q45" s="306"/>
      <c r="R45" s="306"/>
      <c r="S45" s="306"/>
      <c r="T45" s="306"/>
      <c r="U45" s="306"/>
      <c r="V45" s="306"/>
      <c r="W45" s="306"/>
      <c r="X45" s="306"/>
    </row>
    <row r="46" spans="1:24" ht="13.5" customHeight="1">
      <c r="A46" s="2070"/>
      <c r="B46" s="662" t="s">
        <v>550</v>
      </c>
      <c r="C46" s="2090" t="s">
        <v>452</v>
      </c>
      <c r="D46" s="3729">
        <f t="shared" si="25"/>
        <v>0</v>
      </c>
      <c r="E46" s="3729">
        <f t="shared" si="25"/>
        <v>0</v>
      </c>
      <c r="F46" s="676" t="s">
        <v>295</v>
      </c>
      <c r="G46" s="557"/>
      <c r="H46" s="557"/>
      <c r="I46" s="557"/>
      <c r="J46" s="557"/>
      <c r="K46" s="557"/>
      <c r="L46" s="557"/>
      <c r="M46" s="557"/>
      <c r="N46" s="671"/>
      <c r="O46" s="55"/>
      <c r="P46" s="414"/>
      <c r="Q46" s="306"/>
      <c r="R46" s="306"/>
      <c r="S46" s="306"/>
      <c r="T46" s="306"/>
      <c r="U46" s="306"/>
      <c r="V46" s="306"/>
      <c r="W46" s="306"/>
      <c r="X46" s="306"/>
    </row>
    <row r="47" spans="1:24" ht="13.5" customHeight="1">
      <c r="A47" s="2070"/>
      <c r="B47" s="2081">
        <v>3</v>
      </c>
      <c r="C47" s="2082" t="s">
        <v>1389</v>
      </c>
      <c r="D47" s="3730">
        <f t="shared" si="25"/>
        <v>0</v>
      </c>
      <c r="E47" s="3730">
        <f t="shared" si="25"/>
        <v>0</v>
      </c>
      <c r="F47" s="676" t="s">
        <v>631</v>
      </c>
      <c r="G47" s="557"/>
      <c r="H47" s="557"/>
      <c r="I47" s="557"/>
      <c r="J47" s="557"/>
      <c r="K47" s="557"/>
      <c r="L47" s="557"/>
      <c r="M47" s="557"/>
      <c r="N47" s="671"/>
      <c r="O47" s="55"/>
    </row>
    <row r="48" spans="1:24" ht="13.5" customHeight="1">
      <c r="A48" s="2070"/>
      <c r="B48" s="662">
        <v>4</v>
      </c>
      <c r="C48" s="2090" t="s">
        <v>277</v>
      </c>
      <c r="D48" s="3729">
        <f t="shared" si="25"/>
        <v>0</v>
      </c>
      <c r="E48" s="3729">
        <f t="shared" si="25"/>
        <v>0</v>
      </c>
      <c r="F48" s="676" t="s">
        <v>10</v>
      </c>
      <c r="G48" s="557"/>
      <c r="H48" s="557"/>
      <c r="I48" s="557"/>
      <c r="J48" s="557"/>
      <c r="K48" s="557"/>
      <c r="L48" s="557"/>
      <c r="M48" s="557"/>
      <c r="N48" s="671"/>
      <c r="O48" s="55"/>
      <c r="P48" s="414"/>
      <c r="Q48" s="306"/>
      <c r="R48" s="306"/>
      <c r="S48" s="306"/>
      <c r="T48" s="306"/>
      <c r="U48" s="306"/>
      <c r="V48" s="306"/>
      <c r="W48" s="306"/>
      <c r="X48" s="306"/>
    </row>
    <row r="49" spans="1:24" ht="26.25" customHeight="1">
      <c r="A49" s="2070"/>
      <c r="B49" s="2083">
        <v>5</v>
      </c>
      <c r="C49" s="2084" t="s">
        <v>1390</v>
      </c>
      <c r="D49" s="3730">
        <f>SUM(M8,M29)</f>
        <v>0</v>
      </c>
      <c r="E49" s="3730">
        <f t="shared" ref="E49" si="26">SUM(N8,N29)</f>
        <v>0</v>
      </c>
      <c r="F49" s="2078" t="s">
        <v>407</v>
      </c>
      <c r="G49" s="567"/>
      <c r="H49" s="567"/>
      <c r="I49" s="567"/>
      <c r="J49" s="567"/>
      <c r="K49" s="567"/>
      <c r="L49" s="567"/>
      <c r="M49" s="557"/>
      <c r="N49" s="673"/>
      <c r="O49" s="44"/>
      <c r="P49" s="35"/>
      <c r="Q49" s="64"/>
      <c r="R49" s="64"/>
      <c r="S49" s="64"/>
      <c r="T49" s="64"/>
      <c r="U49" s="64"/>
      <c r="V49" s="64"/>
      <c r="W49" s="64"/>
      <c r="X49" s="64"/>
    </row>
    <row r="50" spans="1:24">
      <c r="A50" s="2070"/>
      <c r="B50" s="2081">
        <v>6</v>
      </c>
      <c r="C50" s="2082" t="s">
        <v>164</v>
      </c>
      <c r="D50" s="3730">
        <f>SUM(M9,M30)</f>
        <v>0</v>
      </c>
      <c r="E50" s="3730">
        <f>SUM(N9,N30)</f>
        <v>0</v>
      </c>
      <c r="F50" s="676"/>
      <c r="G50" s="567"/>
      <c r="H50" s="567"/>
      <c r="I50" s="567"/>
      <c r="J50" s="567"/>
      <c r="K50" s="567"/>
      <c r="L50" s="567"/>
      <c r="M50" s="557"/>
      <c r="N50" s="674"/>
      <c r="O50" s="21"/>
      <c r="P50" s="35"/>
      <c r="Q50" s="64"/>
      <c r="R50" s="64"/>
      <c r="S50" s="64"/>
      <c r="T50" s="64"/>
      <c r="U50" s="64"/>
      <c r="V50" s="64"/>
      <c r="W50" s="64"/>
      <c r="X50" s="64"/>
    </row>
    <row r="51" spans="1:24">
      <c r="A51" s="2070"/>
      <c r="B51" s="2081">
        <v>7</v>
      </c>
      <c r="C51" s="2082" t="s">
        <v>165</v>
      </c>
      <c r="D51" s="2085" t="str">
        <f>" - - - -"</f>
        <v xml:space="preserve"> - - - -</v>
      </c>
      <c r="E51" s="2085" t="str">
        <f>" - - - -"</f>
        <v xml:space="preserve"> - - - -</v>
      </c>
      <c r="F51" s="672"/>
      <c r="G51" s="567"/>
      <c r="H51" s="567"/>
      <c r="I51" s="567"/>
      <c r="J51" s="567"/>
      <c r="K51" s="567"/>
      <c r="L51" s="567"/>
      <c r="M51" s="557"/>
      <c r="N51" s="673"/>
      <c r="O51" s="44"/>
      <c r="P51" s="35"/>
      <c r="Q51" s="64"/>
      <c r="R51" s="64"/>
      <c r="S51" s="64"/>
      <c r="T51" s="64"/>
      <c r="U51" s="64"/>
      <c r="V51" s="64"/>
      <c r="W51" s="64"/>
      <c r="X51" s="64"/>
    </row>
    <row r="52" spans="1:24">
      <c r="A52" s="2070"/>
      <c r="B52" s="2081">
        <v>8</v>
      </c>
      <c r="C52" s="2082" t="s">
        <v>645</v>
      </c>
      <c r="D52" s="3730">
        <f>SUM(M11,M32)</f>
        <v>0</v>
      </c>
      <c r="E52" s="3730">
        <f>SUM(N11,N32)</f>
        <v>0</v>
      </c>
      <c r="F52" s="672"/>
      <c r="G52" s="567"/>
      <c r="H52" s="567"/>
      <c r="I52" s="567"/>
      <c r="J52" s="567"/>
      <c r="K52" s="567"/>
      <c r="L52" s="567"/>
      <c r="M52" s="557"/>
      <c r="N52" s="673"/>
      <c r="O52" s="44"/>
      <c r="P52" s="35"/>
      <c r="Q52" s="64"/>
      <c r="R52" s="64"/>
      <c r="S52" s="64"/>
      <c r="T52" s="64"/>
      <c r="U52" s="64"/>
      <c r="V52" s="64"/>
      <c r="W52" s="64"/>
      <c r="X52" s="64"/>
    </row>
    <row r="53" spans="1:24">
      <c r="A53" s="2070"/>
      <c r="B53" s="2081" t="s">
        <v>458</v>
      </c>
      <c r="C53" s="2082" t="s">
        <v>280</v>
      </c>
      <c r="D53" s="2086">
        <f t="shared" ref="D53:E53" si="27">SUM(M12,M33)</f>
        <v>0</v>
      </c>
      <c r="E53" s="2086">
        <f t="shared" si="27"/>
        <v>0</v>
      </c>
      <c r="F53" s="672"/>
      <c r="G53" s="567"/>
      <c r="H53" s="567"/>
      <c r="I53" s="567"/>
      <c r="J53" s="567"/>
      <c r="K53" s="567"/>
      <c r="L53" s="567"/>
      <c r="M53" s="557"/>
      <c r="N53" s="673"/>
      <c r="O53" s="44"/>
      <c r="P53" s="35"/>
      <c r="Q53" s="64"/>
      <c r="R53" s="64"/>
      <c r="S53" s="64"/>
      <c r="T53" s="64"/>
      <c r="U53" s="64"/>
      <c r="V53" s="64"/>
      <c r="W53" s="64"/>
      <c r="X53" s="64"/>
    </row>
    <row r="54" spans="1:24">
      <c r="A54" s="2070"/>
      <c r="B54" s="2081" t="s">
        <v>459</v>
      </c>
      <c r="C54" s="2082" t="s">
        <v>676</v>
      </c>
      <c r="D54" s="3730">
        <f t="shared" ref="D54:E57" si="28">SUM(M13,M34)</f>
        <v>0</v>
      </c>
      <c r="E54" s="3730">
        <f t="shared" si="28"/>
        <v>0</v>
      </c>
      <c r="F54" s="672"/>
      <c r="G54" s="567"/>
      <c r="H54" s="567"/>
      <c r="I54" s="567"/>
      <c r="J54" s="567"/>
      <c r="K54" s="567"/>
      <c r="L54" s="567"/>
      <c r="M54" s="557"/>
      <c r="N54" s="673"/>
      <c r="O54" s="44"/>
      <c r="P54" s="35"/>
      <c r="Q54" s="64"/>
      <c r="R54" s="64"/>
      <c r="S54" s="64"/>
      <c r="T54" s="64"/>
      <c r="U54" s="64"/>
      <c r="V54" s="64"/>
      <c r="W54" s="64"/>
      <c r="X54" s="64"/>
    </row>
    <row r="55" spans="1:24">
      <c r="A55" s="2070"/>
      <c r="B55" s="2081">
        <v>10</v>
      </c>
      <c r="C55" s="2082" t="s">
        <v>1392</v>
      </c>
      <c r="D55" s="3730">
        <f t="shared" si="28"/>
        <v>0</v>
      </c>
      <c r="E55" s="3730">
        <f t="shared" si="28"/>
        <v>0</v>
      </c>
      <c r="F55" s="567"/>
      <c r="G55" s="557"/>
      <c r="H55" s="557"/>
      <c r="I55" s="557"/>
      <c r="J55" s="557"/>
      <c r="K55" s="557"/>
      <c r="L55" s="557"/>
      <c r="M55" s="557"/>
      <c r="N55" s="671"/>
      <c r="O55" s="55"/>
    </row>
    <row r="56" spans="1:24">
      <c r="A56" s="2070"/>
      <c r="B56" s="2081">
        <v>11</v>
      </c>
      <c r="C56" s="2082" t="s">
        <v>1393</v>
      </c>
      <c r="D56" s="3730">
        <f t="shared" si="28"/>
        <v>0</v>
      </c>
      <c r="E56" s="3730">
        <f t="shared" si="28"/>
        <v>0</v>
      </c>
      <c r="F56" s="567"/>
      <c r="G56" s="557"/>
      <c r="H56" s="557"/>
      <c r="I56" s="557"/>
      <c r="J56" s="557"/>
      <c r="K56" s="557"/>
      <c r="L56" s="557"/>
      <c r="M56" s="557"/>
      <c r="N56" s="671"/>
      <c r="O56" s="55"/>
    </row>
    <row r="57" spans="1:24">
      <c r="A57" s="2070"/>
      <c r="B57" s="662">
        <v>12</v>
      </c>
      <c r="C57" s="2090" t="s">
        <v>677</v>
      </c>
      <c r="D57" s="3729">
        <f t="shared" si="28"/>
        <v>0</v>
      </c>
      <c r="E57" s="3729">
        <f t="shared" si="28"/>
        <v>0</v>
      </c>
      <c r="F57" s="672"/>
      <c r="G57" s="567"/>
      <c r="H57" s="567"/>
      <c r="I57" s="567"/>
      <c r="J57" s="567"/>
      <c r="K57" s="567"/>
      <c r="L57" s="567"/>
      <c r="M57" s="557"/>
      <c r="N57" s="673"/>
      <c r="O57" s="44"/>
      <c r="P57" s="35"/>
      <c r="Q57" s="64"/>
      <c r="R57" s="64"/>
      <c r="S57" s="64"/>
      <c r="T57" s="64"/>
      <c r="U57" s="64"/>
      <c r="V57" s="64"/>
      <c r="W57" s="64"/>
      <c r="X57" s="64"/>
    </row>
    <row r="58" spans="1:24">
      <c r="A58" s="2070"/>
      <c r="B58" s="2081">
        <v>13</v>
      </c>
      <c r="C58" s="2082" t="s">
        <v>519</v>
      </c>
      <c r="D58" s="2085" t="str">
        <f>" - - - -"</f>
        <v xml:space="preserve"> - - - -</v>
      </c>
      <c r="E58" s="2085" t="str">
        <f>" - - - -"</f>
        <v xml:space="preserve"> - - - -</v>
      </c>
      <c r="F58" s="672"/>
      <c r="G58" s="567"/>
      <c r="H58" s="567"/>
      <c r="I58" s="567"/>
      <c r="J58" s="567"/>
      <c r="K58" s="567"/>
      <c r="L58" s="567"/>
      <c r="M58" s="557"/>
      <c r="N58" s="673"/>
      <c r="O58" s="44"/>
      <c r="P58" s="35"/>
      <c r="Q58" s="64"/>
      <c r="R58" s="64"/>
      <c r="S58" s="64"/>
      <c r="T58" s="64"/>
      <c r="U58" s="64"/>
      <c r="V58" s="64"/>
      <c r="W58" s="64"/>
      <c r="X58" s="64"/>
    </row>
    <row r="59" spans="1:24">
      <c r="A59" s="2070"/>
      <c r="B59" s="2081">
        <v>14</v>
      </c>
      <c r="C59" s="2082" t="s">
        <v>65</v>
      </c>
      <c r="D59" s="3730">
        <f>SUM(M18,M39)</f>
        <v>0</v>
      </c>
      <c r="E59" s="3730">
        <f>SUM(N18,N39)</f>
        <v>0</v>
      </c>
      <c r="F59" s="672"/>
      <c r="G59" s="567"/>
      <c r="H59" s="567"/>
      <c r="I59" s="567"/>
      <c r="J59" s="567"/>
      <c r="K59" s="567"/>
      <c r="L59" s="567"/>
      <c r="M59" s="44"/>
      <c r="N59" s="673"/>
      <c r="O59" s="44"/>
      <c r="P59" s="35"/>
      <c r="Q59" s="64"/>
      <c r="R59" s="64"/>
      <c r="S59" s="64"/>
      <c r="T59" s="64"/>
      <c r="U59" s="64"/>
      <c r="V59" s="64"/>
      <c r="W59" s="64"/>
      <c r="X59" s="64"/>
    </row>
    <row r="60" spans="1:24">
      <c r="A60" s="2070"/>
      <c r="B60" s="662">
        <v>15</v>
      </c>
      <c r="C60" s="2090" t="s">
        <v>357</v>
      </c>
      <c r="D60" s="3729">
        <f>SUM(M19,M40)</f>
        <v>0</v>
      </c>
      <c r="E60" s="3729">
        <f>SUM(N19,N40)</f>
        <v>0</v>
      </c>
      <c r="F60" s="672"/>
      <c r="G60" s="567"/>
      <c r="H60" s="567"/>
      <c r="I60" s="567"/>
      <c r="J60" s="567"/>
      <c r="K60" s="567"/>
      <c r="L60" s="567"/>
      <c r="M60" s="44"/>
      <c r="N60" s="673"/>
      <c r="O60" s="44"/>
      <c r="P60" s="35"/>
      <c r="Q60" s="64"/>
      <c r="R60" s="64"/>
      <c r="S60" s="64"/>
      <c r="T60" s="64"/>
      <c r="U60" s="64"/>
      <c r="V60" s="64"/>
      <c r="W60" s="64"/>
      <c r="X60" s="64"/>
    </row>
    <row r="61" spans="1:24">
      <c r="A61" s="2070"/>
      <c r="B61" s="2081">
        <v>16</v>
      </c>
      <c r="C61" s="2082" t="s">
        <v>358</v>
      </c>
      <c r="D61" s="2085" t="str">
        <f>" - - - -"</f>
        <v xml:space="preserve"> - - - -</v>
      </c>
      <c r="E61" s="2085" t="str">
        <f>" - - - -"</f>
        <v xml:space="preserve"> - - - -</v>
      </c>
      <c r="F61" s="672"/>
      <c r="G61" s="567"/>
      <c r="H61" s="567"/>
      <c r="I61" s="567"/>
      <c r="J61" s="567"/>
      <c r="K61" s="567"/>
      <c r="L61" s="567"/>
      <c r="M61" s="44"/>
      <c r="N61" s="673"/>
      <c r="O61" s="44"/>
      <c r="P61" s="35"/>
      <c r="Q61" s="64"/>
      <c r="R61" s="64"/>
      <c r="S61" s="64"/>
      <c r="T61" s="64"/>
      <c r="U61" s="64"/>
      <c r="V61" s="64"/>
      <c r="W61" s="64"/>
      <c r="X61" s="64"/>
    </row>
    <row r="62" spans="1:24" ht="13.5" thickBot="1">
      <c r="A62" s="2070"/>
      <c r="B62" s="2087">
        <v>17</v>
      </c>
      <c r="C62" s="2088" t="s">
        <v>359</v>
      </c>
      <c r="D62" s="3731">
        <f>SUM(M21,M42)</f>
        <v>0</v>
      </c>
      <c r="E62" s="3731">
        <f>SUM(N21,N42)</f>
        <v>0</v>
      </c>
      <c r="F62" s="672"/>
      <c r="G62" s="567"/>
      <c r="H62" s="567"/>
      <c r="I62" s="567"/>
      <c r="J62" s="567"/>
      <c r="K62" s="567"/>
      <c r="L62" s="567"/>
      <c r="M62" s="44"/>
      <c r="N62" s="673"/>
      <c r="O62" s="44"/>
      <c r="P62" s="35"/>
      <c r="Q62" s="64"/>
      <c r="R62" s="64"/>
      <c r="S62" s="64"/>
      <c r="T62" s="64"/>
      <c r="U62" s="64"/>
      <c r="V62" s="64"/>
      <c r="W62" s="64"/>
      <c r="X62" s="64"/>
    </row>
  </sheetData>
  <sheetProtection password="F07E" sheet="1" objects="1" scenarios="1"/>
  <phoneticPr fontId="42" type="noConversion"/>
  <conditionalFormatting sqref="D2:J21">
    <cfRule type="expression" dxfId="1955" priority="6">
      <formula>IF(NoColor,1,0)</formula>
    </cfRule>
  </conditionalFormatting>
  <conditionalFormatting sqref="D23:J42">
    <cfRule type="expression" dxfId="1954" priority="5">
      <formula>IF(NoColor,1,0)</formula>
    </cfRule>
  </conditionalFormatting>
  <conditionalFormatting sqref="K2:K21">
    <cfRule type="expression" dxfId="1953" priority="4">
      <formula>IF(NoColor,1,0)</formula>
    </cfRule>
  </conditionalFormatting>
  <conditionalFormatting sqref="K23:K42">
    <cfRule type="expression" dxfId="1952" priority="3">
      <formula>IF(NoColor,1,0)</formula>
    </cfRule>
  </conditionalFormatting>
  <conditionalFormatting sqref="L2:L21">
    <cfRule type="expression" dxfId="1951" priority="2">
      <formula>IF(NoColor,1,0)</formula>
    </cfRule>
  </conditionalFormatting>
  <conditionalFormatting sqref="L23:L42">
    <cfRule type="expression" dxfId="1950" priority="1">
      <formula>IF(NoColor,1,0)</formula>
    </cfRule>
  </conditionalFormatting>
  <printOptions gridLines="1" gridLinesSet="0"/>
  <pageMargins left="0.75" right="0.75" top="1" bottom="1" header="0.5" footer="0.5"/>
  <pageSetup scale="89" fitToHeight="0" orientation="landscape" horizontalDpi="360" verticalDpi="360" r:id="rId1"/>
  <headerFooter alignWithMargins="0">
    <oddHeader>&amp;A</oddHeader>
    <oddFooter>Page &amp;P</oddFooter>
  </headerFooter>
  <rowBreaks count="2" manualBreakCount="2">
    <brk id="22" max="9" man="1"/>
    <brk id="42" max="9"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C123"/>
  <sheetViews>
    <sheetView zoomScaleNormal="100" zoomScaleSheetLayoutView="100" workbookViewId="0">
      <selection activeCell="C25" sqref="C25"/>
    </sheetView>
  </sheetViews>
  <sheetFormatPr defaultColWidth="3.7109375" defaultRowHeight="12.75"/>
  <cols>
    <col min="1" max="1" width="3.7109375" style="1658" customWidth="1"/>
    <col min="2" max="2" width="4.140625" style="64" customWidth="1"/>
    <col min="3" max="3" width="2.28515625" style="64" customWidth="1"/>
    <col min="4" max="9" width="3.7109375" style="64" customWidth="1"/>
    <col min="10" max="12" width="4" style="64" customWidth="1"/>
    <col min="13" max="19" width="3.7109375" style="64" customWidth="1"/>
    <col min="20" max="23" width="3.85546875" style="64" customWidth="1"/>
    <col min="24" max="24" width="3.7109375" style="64" customWidth="1"/>
    <col min="25" max="26" width="5.42578125" style="64" customWidth="1"/>
    <col min="27" max="28" width="6.42578125" style="64" customWidth="1"/>
    <col min="29" max="32" width="3.7109375" style="64" customWidth="1"/>
    <col min="33" max="33" width="6" style="1659" customWidth="1"/>
    <col min="34" max="34" width="4.85546875" style="2458" customWidth="1"/>
    <col min="35" max="35" width="8.5703125" style="2458" bestFit="1" customWidth="1"/>
    <col min="36" max="36" width="29.28515625" style="64" customWidth="1"/>
    <col min="37" max="40" width="13.7109375" style="64" customWidth="1"/>
    <col min="41" max="41" width="10" style="64" customWidth="1"/>
    <col min="42" max="42" width="15.5703125" style="64" customWidth="1"/>
    <col min="43" max="43" width="15.42578125" style="64" customWidth="1"/>
    <col min="44" max="44" width="3.7109375" style="64"/>
    <col min="45" max="46" width="5" style="64" hidden="1" customWidth="1"/>
    <col min="47" max="47" width="0" style="64" hidden="1" customWidth="1"/>
    <col min="48" max="48" width="1.7109375" style="64" hidden="1" customWidth="1"/>
    <col min="49" max="49" width="5" style="64" hidden="1" customWidth="1"/>
    <col min="50" max="52" width="0" style="64" hidden="1" customWidth="1"/>
    <col min="53" max="55" width="7" style="64" hidden="1" customWidth="1"/>
    <col min="56" max="16384" width="3.7109375" style="64"/>
  </cols>
  <sheetData>
    <row r="1" spans="1:35" s="437" customFormat="1">
      <c r="A1" s="1706"/>
      <c r="B1" s="1706"/>
      <c r="C1" s="1706"/>
      <c r="D1" s="1706"/>
      <c r="E1" s="1706"/>
      <c r="F1" s="1706"/>
      <c r="G1" s="1706"/>
      <c r="H1" s="1706"/>
      <c r="I1" s="1706"/>
      <c r="J1" s="1706"/>
      <c r="K1" s="1706"/>
      <c r="L1" s="1706"/>
      <c r="M1" s="1706"/>
      <c r="N1" s="1706"/>
      <c r="O1" s="1706"/>
      <c r="P1" s="1706"/>
      <c r="Q1" s="1706"/>
      <c r="R1" s="1706"/>
      <c r="S1" s="1706"/>
      <c r="T1" s="1706"/>
      <c r="U1" s="1706"/>
      <c r="V1" s="1706"/>
      <c r="W1" s="1706"/>
      <c r="X1" s="1706"/>
      <c r="Y1" s="1706"/>
      <c r="Z1" s="1706"/>
      <c r="AA1" s="1706"/>
      <c r="AB1" s="1706"/>
      <c r="AC1" s="1706"/>
      <c r="AD1" s="1706"/>
      <c r="AE1" s="1706"/>
      <c r="AF1" s="1706"/>
      <c r="AG1" s="1706"/>
      <c r="AH1" s="1421"/>
      <c r="AI1" s="1421"/>
    </row>
    <row r="2" spans="1:35">
      <c r="A2" s="112"/>
      <c r="B2" s="6387" t="s">
        <v>1396</v>
      </c>
      <c r="C2" s="6388"/>
      <c r="D2" s="6388"/>
      <c r="E2" s="6388"/>
      <c r="F2" s="6388"/>
      <c r="G2" s="6388"/>
      <c r="H2" s="6388"/>
      <c r="I2" s="6388"/>
      <c r="J2" s="6388"/>
      <c r="K2" s="6388"/>
      <c r="L2" s="2097"/>
      <c r="M2" s="112"/>
      <c r="N2" s="112"/>
      <c r="O2" s="112"/>
      <c r="P2" s="112"/>
      <c r="Q2" s="112"/>
      <c r="R2" s="112"/>
      <c r="S2" s="112"/>
      <c r="T2" s="112"/>
      <c r="U2" s="112"/>
      <c r="V2" s="112"/>
      <c r="W2" s="112"/>
      <c r="X2" s="112"/>
      <c r="Y2" s="112"/>
      <c r="Z2" s="112"/>
      <c r="AA2" s="1511"/>
      <c r="AB2" s="112"/>
      <c r="AC2" s="112"/>
      <c r="AD2" s="112"/>
      <c r="AE2" s="112"/>
      <c r="AF2" s="112"/>
      <c r="AG2" s="1706"/>
    </row>
    <row r="3" spans="1:35" s="437" customFormat="1">
      <c r="A3" s="1706"/>
      <c r="B3" s="1706"/>
      <c r="C3" s="1706"/>
      <c r="D3" s="1706"/>
      <c r="E3" s="1706"/>
      <c r="F3" s="1706"/>
      <c r="G3" s="1706"/>
      <c r="H3" s="1706"/>
      <c r="I3" s="1706"/>
      <c r="J3" s="1706"/>
      <c r="K3" s="1706"/>
      <c r="L3" s="1706"/>
      <c r="M3" s="1706"/>
      <c r="N3" s="1706"/>
      <c r="O3" s="1706"/>
      <c r="P3" s="1706"/>
      <c r="Q3" s="1706"/>
      <c r="R3" s="1706"/>
      <c r="S3" s="1706"/>
      <c r="T3" s="1706"/>
      <c r="U3" s="1706"/>
      <c r="V3" s="1706"/>
      <c r="W3" s="1706"/>
      <c r="X3" s="1706"/>
      <c r="Y3" s="1706"/>
      <c r="Z3" s="1706"/>
      <c r="AA3" s="1706"/>
      <c r="AB3" s="1706"/>
      <c r="AC3" s="1706"/>
      <c r="AD3" s="1706"/>
      <c r="AE3" s="1706"/>
      <c r="AF3" s="1706"/>
      <c r="AG3" s="1706"/>
      <c r="AH3" s="1421"/>
      <c r="AI3" s="1421"/>
    </row>
    <row r="4" spans="1:35" ht="11.25" customHeight="1">
      <c r="A4" s="1706"/>
      <c r="B4" s="6392" t="s">
        <v>1104</v>
      </c>
      <c r="C4" s="6157"/>
      <c r="D4" s="6157"/>
      <c r="E4" s="6157"/>
      <c r="F4" s="6157"/>
      <c r="G4" s="44"/>
      <c r="H4" s="6396" t="s">
        <v>1105</v>
      </c>
      <c r="I4" s="6397"/>
      <c r="J4" s="6397"/>
      <c r="K4" s="6397"/>
      <c r="L4" s="6397"/>
      <c r="M4" s="6397"/>
      <c r="N4" s="6397"/>
      <c r="O4" s="6397"/>
      <c r="P4" s="6397"/>
      <c r="Q4" s="6397"/>
      <c r="R4" s="6397"/>
      <c r="S4" s="6397"/>
      <c r="T4" s="6397"/>
      <c r="U4" s="6397"/>
      <c r="V4" s="6397"/>
      <c r="W4" s="6397"/>
      <c r="X4" s="6397"/>
      <c r="Y4" s="6397"/>
      <c r="Z4" s="6397"/>
      <c r="AA4" s="6398"/>
      <c r="AB4" s="6393" t="s">
        <v>249</v>
      </c>
      <c r="AC4" s="6162"/>
      <c r="AD4" s="6162"/>
      <c r="AE4" s="6162"/>
      <c r="AF4" s="6162"/>
      <c r="AG4" s="1706"/>
      <c r="AH4" s="1645"/>
    </row>
    <row r="5" spans="1:35" ht="11.25" customHeight="1">
      <c r="A5" s="1706"/>
      <c r="B5" s="6157"/>
      <c r="C5" s="6157"/>
      <c r="D5" s="6157"/>
      <c r="E5" s="6157"/>
      <c r="F5" s="6157"/>
      <c r="G5" s="44"/>
      <c r="H5" s="6399"/>
      <c r="I5" s="6397"/>
      <c r="J5" s="6397"/>
      <c r="K5" s="6397"/>
      <c r="L5" s="6397"/>
      <c r="M5" s="6397"/>
      <c r="N5" s="6397"/>
      <c r="O5" s="6397"/>
      <c r="P5" s="6397"/>
      <c r="Q5" s="6397"/>
      <c r="R5" s="6397"/>
      <c r="S5" s="6397"/>
      <c r="T5" s="6397"/>
      <c r="U5" s="6397"/>
      <c r="V5" s="6397"/>
      <c r="W5" s="6397"/>
      <c r="X5" s="6397"/>
      <c r="Y5" s="6397"/>
      <c r="Z5" s="6397"/>
      <c r="AA5" s="6398"/>
      <c r="AB5" s="6394">
        <f>TaxYear</f>
        <v>2016</v>
      </c>
      <c r="AC5" s="6395"/>
      <c r="AD5" s="6395"/>
      <c r="AE5" s="6395"/>
      <c r="AF5" s="6395"/>
      <c r="AG5" s="1706"/>
      <c r="AH5" s="1645"/>
    </row>
    <row r="6" spans="1:35" ht="11.25" customHeight="1">
      <c r="A6" s="1706"/>
      <c r="B6" s="6157"/>
      <c r="C6" s="6157"/>
      <c r="D6" s="6157"/>
      <c r="E6" s="6157"/>
      <c r="F6" s="6157"/>
      <c r="G6" s="44"/>
      <c r="H6" s="6400"/>
      <c r="I6" s="4724"/>
      <c r="J6" s="4724"/>
      <c r="K6" s="4724"/>
      <c r="L6" s="4724"/>
      <c r="M6" s="4724"/>
      <c r="N6" s="4724"/>
      <c r="O6" s="4724"/>
      <c r="P6" s="4724"/>
      <c r="Q6" s="4724"/>
      <c r="R6" s="4724"/>
      <c r="S6" s="4724"/>
      <c r="T6" s="4724"/>
      <c r="U6" s="4724"/>
      <c r="V6" s="4724"/>
      <c r="W6" s="4724"/>
      <c r="X6" s="4724"/>
      <c r="Y6" s="4724"/>
      <c r="Z6" s="4724"/>
      <c r="AA6" s="6107"/>
      <c r="AB6" s="6157"/>
      <c r="AC6" s="6395"/>
      <c r="AD6" s="6395"/>
      <c r="AE6" s="6395"/>
      <c r="AF6" s="6395"/>
      <c r="AG6" s="1706"/>
      <c r="AH6" s="1643"/>
    </row>
    <row r="7" spans="1:35" ht="11.25" customHeight="1">
      <c r="A7" s="1706"/>
      <c r="B7" s="44"/>
      <c r="C7" s="44"/>
      <c r="D7" s="44"/>
      <c r="E7" s="44"/>
      <c r="F7" s="44"/>
      <c r="G7" s="44"/>
      <c r="H7" s="6404" t="s">
        <v>2058</v>
      </c>
      <c r="I7" s="6405"/>
      <c r="J7" s="6405"/>
      <c r="K7" s="6405"/>
      <c r="L7" s="6405"/>
      <c r="M7" s="6405"/>
      <c r="N7" s="6405"/>
      <c r="O7" s="6405"/>
      <c r="P7" s="6405"/>
      <c r="Q7" s="6405"/>
      <c r="R7" s="6405"/>
      <c r="S7" s="6405"/>
      <c r="T7" s="6405"/>
      <c r="U7" s="6405"/>
      <c r="V7" s="6405"/>
      <c r="W7" s="6405"/>
      <c r="X7" s="6405"/>
      <c r="Y7" s="6405"/>
      <c r="Z7" s="6405"/>
      <c r="AA7" s="6406"/>
      <c r="AB7" s="6157"/>
      <c r="AC7" s="6395"/>
      <c r="AD7" s="6395"/>
      <c r="AE7" s="6395"/>
      <c r="AF7" s="6395"/>
      <c r="AG7" s="1706"/>
    </row>
    <row r="8" spans="1:35" ht="10.5" customHeight="1">
      <c r="A8" s="1706"/>
      <c r="B8" s="45" t="s">
        <v>293</v>
      </c>
      <c r="C8" s="44"/>
      <c r="D8" s="44"/>
      <c r="E8" s="44"/>
      <c r="F8" s="44"/>
      <c r="G8" s="44"/>
      <c r="H8" s="6389" t="s">
        <v>2057</v>
      </c>
      <c r="I8" s="6390"/>
      <c r="J8" s="6390"/>
      <c r="K8" s="6390"/>
      <c r="L8" s="6390"/>
      <c r="M8" s="6390"/>
      <c r="N8" s="6390"/>
      <c r="O8" s="6390"/>
      <c r="P8" s="6390"/>
      <c r="Q8" s="6390"/>
      <c r="R8" s="6390"/>
      <c r="S8" s="6390"/>
      <c r="T8" s="6390"/>
      <c r="U8" s="6390"/>
      <c r="V8" s="6390"/>
      <c r="W8" s="6390"/>
      <c r="X8" s="6390"/>
      <c r="Y8" s="6390"/>
      <c r="Z8" s="6390"/>
      <c r="AA8" s="6391"/>
      <c r="AB8" s="6401" t="s">
        <v>1432</v>
      </c>
      <c r="AC8" s="6402"/>
      <c r="AD8" s="6402"/>
      <c r="AE8" s="6402"/>
      <c r="AF8" s="6402"/>
      <c r="AG8" s="1706"/>
    </row>
    <row r="9" spans="1:35" ht="10.5" customHeight="1" thickBot="1">
      <c r="A9" s="1706"/>
      <c r="B9" s="43" t="s">
        <v>364</v>
      </c>
      <c r="C9" s="52"/>
      <c r="D9" s="52"/>
      <c r="E9" s="52"/>
      <c r="F9" s="52"/>
      <c r="G9" s="52"/>
      <c r="H9" s="2462"/>
      <c r="I9" s="2461"/>
      <c r="J9" s="2461"/>
      <c r="K9" s="2461"/>
      <c r="L9" s="2461"/>
      <c r="M9" s="2461"/>
      <c r="N9" s="2461"/>
      <c r="O9" s="2461"/>
      <c r="P9" s="2461"/>
      <c r="Q9" s="2461"/>
      <c r="R9" s="2461"/>
      <c r="S9" s="2461"/>
      <c r="T9" s="2461"/>
      <c r="U9" s="2461"/>
      <c r="V9" s="2461"/>
      <c r="W9" s="2461"/>
      <c r="X9" s="2461"/>
      <c r="Y9" s="2461"/>
      <c r="Z9" s="2461"/>
      <c r="AA9" s="2463"/>
      <c r="AB9" s="6403"/>
      <c r="AC9" s="6403"/>
      <c r="AD9" s="6403"/>
      <c r="AE9" s="6403"/>
      <c r="AF9" s="6403"/>
      <c r="AG9" s="1706"/>
    </row>
    <row r="10" spans="1:35">
      <c r="A10" s="1706"/>
      <c r="B10" s="56" t="s">
        <v>98</v>
      </c>
      <c r="C10" s="35"/>
      <c r="D10" s="35"/>
      <c r="E10" s="35"/>
      <c r="F10" s="35"/>
      <c r="G10" s="35"/>
      <c r="H10" s="35"/>
      <c r="I10" s="35"/>
      <c r="J10" s="35"/>
      <c r="K10" s="35"/>
      <c r="L10" s="35"/>
      <c r="M10" s="35"/>
      <c r="N10" s="35"/>
      <c r="O10" s="35"/>
      <c r="P10" s="35"/>
      <c r="Q10" s="35"/>
      <c r="R10" s="35"/>
      <c r="S10" s="35"/>
      <c r="T10" s="35"/>
      <c r="U10" s="35"/>
      <c r="V10" s="2466" t="s">
        <v>1458</v>
      </c>
      <c r="W10" s="35"/>
      <c r="X10" s="35"/>
      <c r="Y10" s="35"/>
      <c r="Z10" s="50"/>
      <c r="AA10" s="35"/>
      <c r="AB10" s="35"/>
      <c r="AC10" s="35"/>
      <c r="AD10" s="35"/>
      <c r="AE10" s="35"/>
      <c r="AF10" s="35"/>
      <c r="AG10" s="1706"/>
    </row>
    <row r="11" spans="1:35" ht="16.5" thickBot="1">
      <c r="A11" s="1706"/>
      <c r="B11" s="6342" t="str">
        <f>Names</f>
        <v/>
      </c>
      <c r="C11" s="6343"/>
      <c r="D11" s="6343"/>
      <c r="E11" s="6343"/>
      <c r="F11" s="6343"/>
      <c r="G11" s="6343"/>
      <c r="H11" s="6343"/>
      <c r="I11" s="6343"/>
      <c r="J11" s="6343"/>
      <c r="K11" s="6343"/>
      <c r="L11" s="6343"/>
      <c r="M11" s="6343"/>
      <c r="N11" s="6343"/>
      <c r="O11" s="6343"/>
      <c r="P11" s="6343"/>
      <c r="Q11" s="6343"/>
      <c r="R11" s="6343"/>
      <c r="S11" s="6343"/>
      <c r="T11" s="6343"/>
      <c r="U11" s="6344"/>
      <c r="V11" s="6345">
        <f>SS_Yours</f>
        <v>0</v>
      </c>
      <c r="W11" s="6346"/>
      <c r="X11" s="6346"/>
      <c r="Y11" s="6346"/>
      <c r="Z11" s="6346"/>
      <c r="AA11" s="6346"/>
      <c r="AB11" s="6346"/>
      <c r="AC11" s="6346"/>
      <c r="AD11" s="6346"/>
      <c r="AE11" s="6346"/>
      <c r="AF11" s="6346"/>
      <c r="AG11" s="1706"/>
    </row>
    <row r="12" spans="1:35" ht="12.75" customHeight="1">
      <c r="A12" s="1706"/>
      <c r="B12" s="6415" t="s">
        <v>3012</v>
      </c>
      <c r="C12" s="6416"/>
      <c r="D12" s="6416"/>
      <c r="E12" s="6416"/>
      <c r="F12" s="6416"/>
      <c r="G12" s="6416"/>
      <c r="H12" s="6416"/>
      <c r="I12" s="6416"/>
      <c r="J12" s="6416"/>
      <c r="K12" s="6416"/>
      <c r="L12" s="6416"/>
      <c r="M12" s="6416"/>
      <c r="N12" s="6416"/>
      <c r="O12" s="6416"/>
      <c r="P12" s="6416"/>
      <c r="Q12" s="6416"/>
      <c r="R12" s="6416"/>
      <c r="S12" s="6416"/>
      <c r="T12" s="6416"/>
      <c r="U12" s="6416"/>
      <c r="V12" s="6416"/>
      <c r="W12" s="6416"/>
      <c r="X12" s="6416"/>
      <c r="Y12" s="6416"/>
      <c r="Z12" s="6416"/>
      <c r="AA12" s="6416"/>
      <c r="AB12" s="6416"/>
      <c r="AC12" s="6416"/>
      <c r="AD12" s="6416"/>
      <c r="AE12" s="6416"/>
      <c r="AF12" s="6416"/>
      <c r="AG12" s="1706"/>
    </row>
    <row r="13" spans="1:35" ht="12.75" customHeight="1">
      <c r="A13" s="1706"/>
      <c r="B13" s="6417"/>
      <c r="C13" s="6417"/>
      <c r="D13" s="6417"/>
      <c r="E13" s="6417"/>
      <c r="F13" s="6417"/>
      <c r="G13" s="6417"/>
      <c r="H13" s="6417"/>
      <c r="I13" s="6417"/>
      <c r="J13" s="6417"/>
      <c r="K13" s="6417"/>
      <c r="L13" s="6417"/>
      <c r="M13" s="6417"/>
      <c r="N13" s="6417"/>
      <c r="O13" s="6417"/>
      <c r="P13" s="6417"/>
      <c r="Q13" s="6417"/>
      <c r="R13" s="6417"/>
      <c r="S13" s="6417"/>
      <c r="T13" s="6417"/>
      <c r="U13" s="6417"/>
      <c r="V13" s="6417"/>
      <c r="W13" s="6417"/>
      <c r="X13" s="6417"/>
      <c r="Y13" s="6417"/>
      <c r="Z13" s="6417"/>
      <c r="AA13" s="6417"/>
      <c r="AB13" s="6417"/>
      <c r="AC13" s="6417"/>
      <c r="AD13" s="6417"/>
      <c r="AE13" s="6417"/>
      <c r="AF13" s="6417"/>
      <c r="AG13" s="1706"/>
    </row>
    <row r="14" spans="1:35" ht="12.75" customHeight="1">
      <c r="A14" s="1706"/>
      <c r="B14" s="6418"/>
      <c r="C14" s="6418"/>
      <c r="D14" s="6418"/>
      <c r="E14" s="6418"/>
      <c r="F14" s="6418"/>
      <c r="G14" s="6418"/>
      <c r="H14" s="6418"/>
      <c r="I14" s="6418"/>
      <c r="J14" s="6418"/>
      <c r="K14" s="6418"/>
      <c r="L14" s="6418"/>
      <c r="M14" s="6418"/>
      <c r="N14" s="6418"/>
      <c r="O14" s="6418"/>
      <c r="P14" s="6418"/>
      <c r="Q14" s="6418"/>
      <c r="R14" s="6418"/>
      <c r="S14" s="6418"/>
      <c r="T14" s="6418"/>
      <c r="U14" s="6418"/>
      <c r="V14" s="6418"/>
      <c r="W14" s="6418"/>
      <c r="X14" s="6418"/>
      <c r="Y14" s="6418"/>
      <c r="Z14" s="6418"/>
      <c r="AA14" s="6418"/>
      <c r="AB14" s="6418"/>
      <c r="AC14" s="6418"/>
      <c r="AD14" s="6418"/>
      <c r="AE14" s="6418"/>
      <c r="AF14" s="6418"/>
      <c r="AG14" s="1706"/>
    </row>
    <row r="15" spans="1:35" ht="3.75" customHeight="1">
      <c r="A15" s="1706"/>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1706"/>
    </row>
    <row r="16" spans="1:35" ht="15">
      <c r="A16" s="1706"/>
      <c r="B16" s="6341" t="s">
        <v>92</v>
      </c>
      <c r="C16" s="4675"/>
      <c r="D16" s="35"/>
      <c r="E16" s="1642" t="s">
        <v>1434</v>
      </c>
      <c r="F16" s="35"/>
      <c r="G16" s="35"/>
      <c r="H16" s="35"/>
      <c r="I16" s="35"/>
      <c r="J16" s="35"/>
      <c r="K16" s="35"/>
      <c r="L16" s="35"/>
      <c r="M16" s="35"/>
      <c r="N16" s="35"/>
      <c r="O16" s="35"/>
      <c r="P16" s="35"/>
      <c r="Q16" s="35"/>
      <c r="R16" s="35"/>
      <c r="S16" s="35"/>
      <c r="T16" s="580" t="s">
        <v>2054</v>
      </c>
      <c r="U16" s="35"/>
      <c r="V16" s="35"/>
      <c r="W16" s="35"/>
      <c r="X16" s="1464" t="s">
        <v>1435</v>
      </c>
      <c r="Y16" s="35"/>
      <c r="Z16" s="35"/>
      <c r="AA16" s="35"/>
      <c r="AB16" s="35"/>
      <c r="AC16" s="35"/>
      <c r="AD16" s="35"/>
      <c r="AE16" s="35"/>
      <c r="AF16" s="35"/>
      <c r="AG16" s="1706" t="b">
        <f>IF(SUM(AG35:AG54)&gt;0,TRUE,FALSE)</f>
        <v>0</v>
      </c>
    </row>
    <row r="17" spans="1:55" s="2806" customFormat="1" ht="11.25" customHeight="1">
      <c r="A17" s="1706"/>
      <c r="B17" s="2803"/>
      <c r="C17" s="2803"/>
      <c r="D17" s="2803"/>
      <c r="E17" s="2802" t="s">
        <v>1433</v>
      </c>
      <c r="F17" s="2803"/>
      <c r="G17" s="2803"/>
      <c r="H17" s="2803"/>
      <c r="I17" s="2803"/>
      <c r="J17" s="2803"/>
      <c r="K17" s="2803"/>
      <c r="L17" s="2803"/>
      <c r="M17" s="2803"/>
      <c r="N17" s="2803"/>
      <c r="O17" s="2803"/>
      <c r="P17" s="2803"/>
      <c r="Q17" s="2803"/>
      <c r="R17" s="2803"/>
      <c r="S17" s="2803"/>
      <c r="T17" s="2807"/>
      <c r="U17" s="2803"/>
      <c r="V17" s="2803"/>
      <c r="W17" s="2803"/>
      <c r="X17" s="2808"/>
      <c r="Y17" s="2803"/>
      <c r="Z17" s="2803"/>
      <c r="AA17" s="2803"/>
      <c r="AB17" s="2803"/>
      <c r="AC17" s="2803"/>
      <c r="AD17" s="2803"/>
      <c r="AE17" s="2803"/>
      <c r="AF17" s="2803"/>
      <c r="AG17" s="1706"/>
      <c r="AH17" s="2804"/>
      <c r="AI17" s="2804"/>
    </row>
    <row r="18" spans="1:55" ht="11.25" customHeight="1">
      <c r="A18" s="1706"/>
      <c r="B18" s="35"/>
      <c r="C18" s="35"/>
      <c r="D18" s="35"/>
      <c r="E18" s="2809" t="s">
        <v>1718</v>
      </c>
      <c r="F18" s="35"/>
      <c r="G18" s="35"/>
      <c r="H18" s="35"/>
      <c r="I18" s="35"/>
      <c r="J18" s="35"/>
      <c r="K18" s="35"/>
      <c r="L18" s="35"/>
      <c r="M18" s="35"/>
      <c r="N18" s="35"/>
      <c r="O18" s="35"/>
      <c r="P18" s="35"/>
      <c r="Q18" s="35"/>
      <c r="R18" s="35"/>
      <c r="S18" s="35"/>
      <c r="T18" s="580"/>
      <c r="U18" s="35"/>
      <c r="V18" s="35"/>
      <c r="W18" s="35"/>
      <c r="X18" s="1464"/>
      <c r="Y18" s="35"/>
      <c r="Z18" s="35"/>
      <c r="AA18" s="35"/>
      <c r="AB18" s="35"/>
      <c r="AC18" s="35"/>
      <c r="AD18" s="35"/>
      <c r="AE18" s="35"/>
      <c r="AF18" s="35"/>
      <c r="AG18" s="1706"/>
      <c r="AH18" s="2804"/>
      <c r="AI18" s="2804"/>
    </row>
    <row r="19" spans="1:55" ht="11.25" customHeight="1">
      <c r="A19" s="1706"/>
      <c r="B19" s="35"/>
      <c r="C19" s="35"/>
      <c r="D19" s="35"/>
      <c r="E19" s="44" t="s">
        <v>1716</v>
      </c>
      <c r="F19" s="35"/>
      <c r="G19" s="35"/>
      <c r="H19" s="35"/>
      <c r="I19" s="35"/>
      <c r="J19" s="35"/>
      <c r="K19" s="35"/>
      <c r="L19" s="35"/>
      <c r="M19" s="35"/>
      <c r="N19" s="35"/>
      <c r="O19" s="35"/>
      <c r="P19" s="35"/>
      <c r="Q19" s="35"/>
      <c r="R19" s="35"/>
      <c r="S19" s="35"/>
      <c r="T19" s="580"/>
      <c r="U19" s="35"/>
      <c r="V19" s="35"/>
      <c r="W19" s="35"/>
      <c r="X19" s="1464"/>
      <c r="Y19" s="35"/>
      <c r="Z19" s="35"/>
      <c r="AA19" s="35"/>
      <c r="AB19" s="35"/>
      <c r="AC19" s="35"/>
      <c r="AD19" s="35"/>
      <c r="AE19" s="35"/>
      <c r="AF19" s="35"/>
      <c r="AG19" s="1706"/>
      <c r="AH19" s="2804"/>
      <c r="AI19" s="2804"/>
    </row>
    <row r="20" spans="1:55" ht="11.25" customHeight="1">
      <c r="A20" s="1706"/>
      <c r="B20" s="63"/>
      <c r="C20" s="63"/>
      <c r="D20" s="63"/>
      <c r="E20" s="63" t="s">
        <v>1717</v>
      </c>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1706"/>
    </row>
    <row r="21" spans="1:55">
      <c r="A21" s="1706"/>
      <c r="B21" s="364" t="s">
        <v>1443</v>
      </c>
      <c r="C21" s="360"/>
      <c r="D21" s="360"/>
      <c r="E21" s="360"/>
      <c r="F21" s="360"/>
      <c r="G21" s="360"/>
      <c r="H21" s="360"/>
      <c r="I21" s="360"/>
      <c r="J21" s="360"/>
      <c r="K21" s="364"/>
      <c r="L21" s="364" t="s">
        <v>1442</v>
      </c>
      <c r="M21" s="360"/>
      <c r="N21" s="360"/>
      <c r="O21" s="360"/>
      <c r="P21" s="360"/>
      <c r="Q21" s="360" t="s">
        <v>1441</v>
      </c>
      <c r="R21" s="360"/>
      <c r="S21" s="360"/>
      <c r="T21" s="360"/>
      <c r="U21" s="360"/>
      <c r="V21" s="360"/>
      <c r="W21" s="360"/>
      <c r="X21" s="360"/>
      <c r="Y21" s="360"/>
      <c r="Z21" s="360"/>
      <c r="AA21" s="360"/>
      <c r="AB21" s="360"/>
      <c r="AC21" s="360"/>
      <c r="AD21" s="360"/>
      <c r="AE21" s="360"/>
      <c r="AF21" s="360"/>
      <c r="AG21" s="1706"/>
    </row>
    <row r="22" spans="1:55">
      <c r="A22" s="1706"/>
      <c r="B22" s="1464" t="s">
        <v>1439</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c r="AD22" s="360"/>
      <c r="AE22" s="360"/>
      <c r="AF22" s="360"/>
      <c r="AG22" s="1706"/>
      <c r="BA22" s="6419" t="s">
        <v>1573</v>
      </c>
      <c r="BB22" s="5423"/>
      <c r="BC22" s="6420"/>
    </row>
    <row r="23" spans="1:55">
      <c r="A23" s="1706"/>
      <c r="B23" s="1464" t="s">
        <v>1440</v>
      </c>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1706"/>
      <c r="BA23" s="6421" t="s">
        <v>1572</v>
      </c>
      <c r="BB23" s="6421" t="s">
        <v>1562</v>
      </c>
      <c r="BC23" s="6421" t="s">
        <v>1563</v>
      </c>
    </row>
    <row r="24" spans="1:55" ht="4.5" customHeight="1" thickBot="1">
      <c r="A24" s="1706"/>
      <c r="B24" s="360"/>
      <c r="C24" s="360"/>
      <c r="D24" s="360"/>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1706"/>
      <c r="BA24" s="6422"/>
      <c r="BB24" s="6422"/>
      <c r="BC24" s="6422"/>
    </row>
    <row r="25" spans="1:55" ht="12" customHeight="1" thickBot="1">
      <c r="A25" s="1706"/>
      <c r="B25" s="2574">
        <f>IF(C25&lt;&gt;"",1,0)</f>
        <v>0</v>
      </c>
      <c r="C25" s="2573"/>
      <c r="D25" s="688" t="s">
        <v>1722</v>
      </c>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1706"/>
      <c r="AJ25" s="6423"/>
      <c r="AK25" s="6424"/>
      <c r="AL25" s="6424"/>
      <c r="AM25" s="6424"/>
      <c r="AN25" s="6424"/>
      <c r="AO25" s="6424"/>
      <c r="AP25" s="6424"/>
      <c r="AQ25" s="6424"/>
      <c r="BA25" s="6422"/>
      <c r="BB25" s="6422"/>
      <c r="BC25" s="6422"/>
    </row>
    <row r="26" spans="1:55" ht="4.5" customHeight="1" thickBot="1">
      <c r="A26" s="1706"/>
      <c r="B26" s="2574"/>
      <c r="C26" s="360"/>
      <c r="D26" s="360"/>
      <c r="E26" s="360"/>
      <c r="F26" s="360"/>
      <c r="G26" s="360"/>
      <c r="H26" s="360"/>
      <c r="I26" s="360"/>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1706"/>
      <c r="BA26" s="6422"/>
      <c r="BB26" s="6422"/>
      <c r="BC26" s="6422"/>
    </row>
    <row r="27" spans="1:55" ht="11.25" customHeight="1" thickBot="1">
      <c r="A27" s="1706"/>
      <c r="B27" s="2574">
        <f>IF(C27&lt;&gt;"",1,0)</f>
        <v>0</v>
      </c>
      <c r="C27" s="2573"/>
      <c r="D27" s="688" t="s">
        <v>3215</v>
      </c>
      <c r="E27" s="360"/>
      <c r="F27" s="360"/>
      <c r="G27" s="360"/>
      <c r="H27" s="360"/>
      <c r="I27" s="360"/>
      <c r="J27" s="360"/>
      <c r="K27" s="360"/>
      <c r="L27" s="360"/>
      <c r="M27" s="360"/>
      <c r="N27" s="360"/>
      <c r="O27" s="360"/>
      <c r="P27" s="360"/>
      <c r="Q27" s="360"/>
      <c r="R27" s="360"/>
      <c r="S27" s="360"/>
      <c r="T27" s="360"/>
      <c r="U27" s="360"/>
      <c r="V27" s="360"/>
      <c r="W27" s="360"/>
      <c r="X27" s="360"/>
      <c r="Y27" s="360"/>
      <c r="Z27" s="360"/>
      <c r="AA27" s="360"/>
      <c r="AB27" s="360"/>
      <c r="AC27" s="360"/>
      <c r="AD27" s="360"/>
      <c r="AE27" s="360"/>
      <c r="AF27" s="360"/>
      <c r="AG27" s="1706"/>
      <c r="AJ27" s="6423"/>
      <c r="AK27" s="6424"/>
      <c r="AL27" s="6424"/>
      <c r="AM27" s="6424"/>
      <c r="AN27" s="6424"/>
      <c r="AO27" s="6424"/>
      <c r="AP27" s="6424"/>
      <c r="AQ27" s="6424"/>
      <c r="BA27" s="6422"/>
      <c r="BB27" s="6422"/>
      <c r="BC27" s="6422"/>
    </row>
    <row r="28" spans="1:55" ht="4.5" customHeight="1" thickBot="1">
      <c r="A28" s="1706"/>
      <c r="B28" s="2574"/>
      <c r="C28" s="360"/>
      <c r="D28" s="360"/>
      <c r="E28" s="360"/>
      <c r="F28" s="360"/>
      <c r="G28" s="360"/>
      <c r="H28" s="360"/>
      <c r="I28" s="360"/>
      <c r="J28" s="360"/>
      <c r="K28" s="360"/>
      <c r="L28" s="360"/>
      <c r="M28" s="360"/>
      <c r="N28" s="360"/>
      <c r="O28" s="360"/>
      <c r="P28" s="360"/>
      <c r="Q28" s="360"/>
      <c r="R28" s="360"/>
      <c r="S28" s="360"/>
      <c r="T28" s="360"/>
      <c r="U28" s="360"/>
      <c r="V28" s="360"/>
      <c r="W28" s="360"/>
      <c r="X28" s="360"/>
      <c r="Y28" s="360"/>
      <c r="Z28" s="360"/>
      <c r="AA28" s="360"/>
      <c r="AB28" s="360"/>
      <c r="AC28" s="360"/>
      <c r="AD28" s="360"/>
      <c r="AE28" s="360"/>
      <c r="AF28" s="360"/>
      <c r="AG28" s="1706"/>
      <c r="BA28" s="6422"/>
      <c r="BB28" s="6422"/>
      <c r="BC28" s="6422"/>
    </row>
    <row r="29" spans="1:55" ht="12" customHeight="1" thickBot="1">
      <c r="A29" s="1706">
        <f>SUM(B25:B29)</f>
        <v>0</v>
      </c>
      <c r="B29" s="2574">
        <f>IF(C29&lt;&gt;"",1,0)</f>
        <v>0</v>
      </c>
      <c r="C29" s="2573"/>
      <c r="D29" s="688" t="s">
        <v>1444</v>
      </c>
      <c r="E29" s="360"/>
      <c r="F29" s="360"/>
      <c r="G29" s="360"/>
      <c r="H29" s="360"/>
      <c r="I29" s="360"/>
      <c r="J29" s="360"/>
      <c r="K29" s="360"/>
      <c r="L29" s="360"/>
      <c r="M29" s="360"/>
      <c r="N29" s="360"/>
      <c r="O29" s="360"/>
      <c r="P29" s="360"/>
      <c r="Q29" s="360"/>
      <c r="R29" s="6407" t="str">
        <f>IF(SpaceUsed_8949A_ST,"ERROR: DO NOT use the space bar to uncheck a box. Use the 'Delete' key.",IF(A29&gt;1,"Check only ONE box.",IF($A$31&gt;0,"",IF(A29&lt;1,"Check ONE box.",""))))</f>
        <v>Check ONE box.</v>
      </c>
      <c r="S29" s="6408"/>
      <c r="T29" s="6408"/>
      <c r="U29" s="6408"/>
      <c r="V29" s="6408"/>
      <c r="W29" s="6408"/>
      <c r="X29" s="6408"/>
      <c r="Y29" s="6408"/>
      <c r="Z29" s="6408"/>
      <c r="AA29" s="6408"/>
      <c r="AB29" s="6408"/>
      <c r="AC29" s="6408"/>
      <c r="AD29" s="6408"/>
      <c r="AE29" s="6408"/>
      <c r="AF29" s="360"/>
      <c r="AG29" s="1706"/>
      <c r="AH29" s="2901" t="b">
        <f>IF(OR(F8949ASBOXA=CHAR(32),F8949ASBOXB=CHAR(32),F8949ASBOXC=CHAR(32)),TRUE,FALSE)</f>
        <v>0</v>
      </c>
      <c r="AJ29" s="6423" t="s">
        <v>1400</v>
      </c>
      <c r="AK29" s="6424"/>
      <c r="AL29" s="6424"/>
      <c r="AM29" s="6424"/>
      <c r="AN29" s="6424"/>
      <c r="AO29" s="6424"/>
      <c r="AP29" s="6424"/>
      <c r="AQ29" s="6424"/>
      <c r="BA29" s="6422"/>
      <c r="BB29" s="6422"/>
      <c r="BC29" s="6422"/>
    </row>
    <row r="30" spans="1:55" ht="3.75" customHeight="1">
      <c r="A30" s="1706"/>
      <c r="B30" s="361"/>
      <c r="C30" s="1647"/>
      <c r="D30" s="361"/>
      <c r="E30" s="361"/>
      <c r="F30" s="361"/>
      <c r="G30" s="361"/>
      <c r="H30" s="361"/>
      <c r="I30" s="361"/>
      <c r="J30" s="361"/>
      <c r="K30" s="361"/>
      <c r="L30" s="361"/>
      <c r="M30" s="361"/>
      <c r="N30" s="1647"/>
      <c r="O30" s="361"/>
      <c r="P30" s="361"/>
      <c r="Q30" s="361"/>
      <c r="R30" s="361"/>
      <c r="S30" s="361"/>
      <c r="T30" s="361"/>
      <c r="U30" s="361"/>
      <c r="V30" s="361"/>
      <c r="W30" s="361"/>
      <c r="X30" s="361"/>
      <c r="Y30" s="1647"/>
      <c r="Z30" s="361"/>
      <c r="AA30" s="361"/>
      <c r="AB30" s="361"/>
      <c r="AC30" s="361"/>
      <c r="AD30" s="361"/>
      <c r="AE30" s="361"/>
      <c r="AF30" s="361"/>
      <c r="AG30" s="1706"/>
      <c r="BA30" s="6422"/>
      <c r="BB30" s="6422"/>
      <c r="BC30" s="6422"/>
    </row>
    <row r="31" spans="1:55" ht="21" customHeight="1">
      <c r="A31" s="1706">
        <f>A29</f>
        <v>0</v>
      </c>
      <c r="B31" s="6319">
        <v>1</v>
      </c>
      <c r="C31" s="6322" t="s">
        <v>1106</v>
      </c>
      <c r="D31" s="6323"/>
      <c r="E31" s="6323"/>
      <c r="F31" s="6323"/>
      <c r="G31" s="6323"/>
      <c r="H31" s="6323"/>
      <c r="I31" s="6324"/>
      <c r="J31" s="6331" t="s">
        <v>1449</v>
      </c>
      <c r="K31" s="6332"/>
      <c r="L31" s="6333"/>
      <c r="M31" s="6331" t="s">
        <v>1450</v>
      </c>
      <c r="N31" s="6332"/>
      <c r="O31" s="6332"/>
      <c r="P31" s="6333"/>
      <c r="Q31" s="6331" t="s">
        <v>1451</v>
      </c>
      <c r="R31" s="6332"/>
      <c r="S31" s="6332"/>
      <c r="T31" s="6333"/>
      <c r="U31" s="6357" t="s">
        <v>1456</v>
      </c>
      <c r="V31" s="5273"/>
      <c r="W31" s="5273"/>
      <c r="X31" s="6312"/>
      <c r="Y31" s="6379" t="s">
        <v>1452</v>
      </c>
      <c r="Z31" s="6380"/>
      <c r="AA31" s="6380"/>
      <c r="AB31" s="6381"/>
      <c r="AC31" s="6357" t="s">
        <v>1455</v>
      </c>
      <c r="AD31" s="5273"/>
      <c r="AE31" s="5273"/>
      <c r="AF31" s="5273"/>
      <c r="AG31" s="1706"/>
      <c r="AJ31" s="6409" t="s">
        <v>1399</v>
      </c>
      <c r="AK31" s="6409" t="s">
        <v>1459</v>
      </c>
      <c r="AL31" s="6409" t="s">
        <v>1460</v>
      </c>
      <c r="AM31" s="6409" t="s">
        <v>1461</v>
      </c>
      <c r="AN31" s="6411" t="s">
        <v>1462</v>
      </c>
      <c r="AO31" s="6379" t="s">
        <v>1452</v>
      </c>
      <c r="AP31" s="5285"/>
      <c r="AQ31" s="6409" t="s">
        <v>1545</v>
      </c>
      <c r="BA31" s="6422"/>
      <c r="BB31" s="6422"/>
      <c r="BC31" s="6422"/>
    </row>
    <row r="32" spans="1:55" ht="21" customHeight="1">
      <c r="A32" s="1706"/>
      <c r="B32" s="4708"/>
      <c r="C32" s="6325"/>
      <c r="D32" s="6326"/>
      <c r="E32" s="6326"/>
      <c r="F32" s="6326"/>
      <c r="G32" s="6326"/>
      <c r="H32" s="6326"/>
      <c r="I32" s="6327"/>
      <c r="J32" s="6334"/>
      <c r="K32" s="6335"/>
      <c r="L32" s="6336"/>
      <c r="M32" s="6334"/>
      <c r="N32" s="6335"/>
      <c r="O32" s="6335"/>
      <c r="P32" s="6336"/>
      <c r="Q32" s="6334"/>
      <c r="R32" s="6335"/>
      <c r="S32" s="6335"/>
      <c r="T32" s="6336"/>
      <c r="U32" s="6358"/>
      <c r="V32" s="6359"/>
      <c r="W32" s="6359"/>
      <c r="X32" s="6360"/>
      <c r="Y32" s="6382"/>
      <c r="Z32" s="6383"/>
      <c r="AA32" s="6383"/>
      <c r="AB32" s="6384"/>
      <c r="AC32" s="6358"/>
      <c r="AD32" s="6359"/>
      <c r="AE32" s="6359"/>
      <c r="AF32" s="6359"/>
      <c r="AG32" s="1706"/>
      <c r="AJ32" s="6409"/>
      <c r="AK32" s="6409"/>
      <c r="AL32" s="6409"/>
      <c r="AM32" s="6409"/>
      <c r="AN32" s="6411"/>
      <c r="AO32" s="5430"/>
      <c r="AP32" s="5291"/>
      <c r="AQ32" s="6409"/>
      <c r="BA32" s="6422"/>
      <c r="BB32" s="6422"/>
      <c r="BC32" s="6422"/>
    </row>
    <row r="33" spans="1:55" ht="18" customHeight="1">
      <c r="A33" s="1706"/>
      <c r="B33" s="6320"/>
      <c r="C33" s="6328"/>
      <c r="D33" s="6328"/>
      <c r="E33" s="6328"/>
      <c r="F33" s="6328"/>
      <c r="G33" s="6328"/>
      <c r="H33" s="6328"/>
      <c r="I33" s="6327"/>
      <c r="J33" s="6337"/>
      <c r="K33" s="6335"/>
      <c r="L33" s="6336"/>
      <c r="M33" s="6337"/>
      <c r="N33" s="6335"/>
      <c r="O33" s="6335"/>
      <c r="P33" s="6336"/>
      <c r="Q33" s="6337"/>
      <c r="R33" s="6335"/>
      <c r="S33" s="6335"/>
      <c r="T33" s="6336"/>
      <c r="U33" s="5274"/>
      <c r="V33" s="6359"/>
      <c r="W33" s="6359"/>
      <c r="X33" s="6360"/>
      <c r="Y33" s="6311" t="s">
        <v>1453</v>
      </c>
      <c r="Z33" s="6312"/>
      <c r="AA33" s="6314" t="s">
        <v>1454</v>
      </c>
      <c r="AB33" s="6315"/>
      <c r="AC33" s="5274"/>
      <c r="AD33" s="6359"/>
      <c r="AE33" s="6359"/>
      <c r="AF33" s="6359"/>
      <c r="AG33" s="1706"/>
      <c r="AJ33" s="6410"/>
      <c r="AK33" s="6410"/>
      <c r="AL33" s="6410"/>
      <c r="AM33" s="6410"/>
      <c r="AN33" s="6412"/>
      <c r="AO33" s="6414" t="s">
        <v>1463</v>
      </c>
      <c r="AP33" s="6413" t="s">
        <v>1454</v>
      </c>
      <c r="AQ33" s="6410"/>
      <c r="BA33" s="6422"/>
      <c r="BB33" s="6422"/>
      <c r="BC33" s="6422"/>
    </row>
    <row r="34" spans="1:55" ht="18" customHeight="1">
      <c r="A34" s="1706"/>
      <c r="B34" s="6321"/>
      <c r="C34" s="6329"/>
      <c r="D34" s="6329"/>
      <c r="E34" s="6329"/>
      <c r="F34" s="6329"/>
      <c r="G34" s="6329"/>
      <c r="H34" s="6329"/>
      <c r="I34" s="6330"/>
      <c r="J34" s="6338"/>
      <c r="K34" s="6339"/>
      <c r="L34" s="6340"/>
      <c r="M34" s="6338"/>
      <c r="N34" s="6339"/>
      <c r="O34" s="6339"/>
      <c r="P34" s="6340"/>
      <c r="Q34" s="6338"/>
      <c r="R34" s="6339"/>
      <c r="S34" s="6339"/>
      <c r="T34" s="6340"/>
      <c r="U34" s="5276"/>
      <c r="V34" s="5277"/>
      <c r="W34" s="5277"/>
      <c r="X34" s="6313"/>
      <c r="Y34" s="5276"/>
      <c r="Z34" s="6313"/>
      <c r="AA34" s="5411"/>
      <c r="AB34" s="5342"/>
      <c r="AC34" s="5276"/>
      <c r="AD34" s="5277"/>
      <c r="AE34" s="5277"/>
      <c r="AF34" s="5277"/>
      <c r="AG34" s="1706"/>
      <c r="AJ34" s="6410"/>
      <c r="AK34" s="6410"/>
      <c r="AL34" s="6410"/>
      <c r="AM34" s="6410"/>
      <c r="AN34" s="6412"/>
      <c r="AO34" s="5244"/>
      <c r="AP34" s="5244"/>
      <c r="AQ34" s="6410"/>
      <c r="BA34" s="6422"/>
      <c r="BB34" s="6422"/>
      <c r="BC34" s="6422"/>
    </row>
    <row r="35" spans="1:55" s="2459" customFormat="1" ht="19.5" customHeight="1">
      <c r="A35" s="1706">
        <f t="shared" ref="A35:A54" si="0">IF(OR(U35&lt;&gt;"",Y35&lt;&gt;""),1,0)</f>
        <v>0</v>
      </c>
      <c r="B35" s="6301" t="str">
        <f>IF(AJ35="","",AJ35)</f>
        <v/>
      </c>
      <c r="C35" s="6302"/>
      <c r="D35" s="6302"/>
      <c r="E35" s="6302"/>
      <c r="F35" s="6302"/>
      <c r="G35" s="6302"/>
      <c r="H35" s="6302"/>
      <c r="I35" s="6303"/>
      <c r="J35" s="6304" t="str">
        <f>IF(AK35="","",AK35)</f>
        <v/>
      </c>
      <c r="K35" s="6305"/>
      <c r="L35" s="6305"/>
      <c r="M35" s="6304" t="str">
        <f>IF(AL35="","",AL35)</f>
        <v/>
      </c>
      <c r="N35" s="6305"/>
      <c r="O35" s="6305"/>
      <c r="P35" s="6306"/>
      <c r="Q35" s="4641" t="str">
        <f>IF(AM35="","",AM35)</f>
        <v/>
      </c>
      <c r="R35" s="6307"/>
      <c r="S35" s="6307"/>
      <c r="T35" s="6308"/>
      <c r="U35" s="4641" t="str">
        <f>IF(AN35="","",AN35)</f>
        <v/>
      </c>
      <c r="V35" s="6307"/>
      <c r="W35" s="6307"/>
      <c r="X35" s="6308"/>
      <c r="Y35" s="6300" t="str">
        <f>IF(AO35&lt;&gt;"",AO35,"")</f>
        <v/>
      </c>
      <c r="Z35" s="4756"/>
      <c r="AA35" s="6300" t="str">
        <f>IF(AP35="","",AP35)</f>
        <v/>
      </c>
      <c r="AB35" s="4756"/>
      <c r="AC35" s="6309" t="str">
        <f>IF(AQ35&lt;&gt;"",AQ35,IF(AND(Q35&lt;&gt;"",U35&lt;&gt;""),SUM(Q35,-U35,AA35),""))</f>
        <v/>
      </c>
      <c r="AD35" s="6310"/>
      <c r="AE35" s="6310"/>
      <c r="AF35" s="6310"/>
      <c r="AG35" s="2631">
        <f>IF(OR(J35="",M35=""),0,IF(OR(BA35,BB35,BC35),0,1))</f>
        <v>0</v>
      </c>
      <c r="AH35" s="1644"/>
      <c r="AI35" s="1644" t="e">
        <f t="shared" ref="AI35:AI54" si="1">M35-J35</f>
        <v>#VALUE!</v>
      </c>
      <c r="AJ35" s="2467"/>
      <c r="AK35" s="2471"/>
      <c r="AL35" s="2471"/>
      <c r="AM35" s="2469"/>
      <c r="AN35" s="2469"/>
      <c r="AO35" s="2470"/>
      <c r="AP35" s="2469"/>
      <c r="AQ35" s="2468"/>
      <c r="AS35" s="2620" t="e">
        <f>YEAR(J35)</f>
        <v>#VALUE!</v>
      </c>
      <c r="AT35" s="2620" t="e">
        <f>MONTH(J35)</f>
        <v>#VALUE!</v>
      </c>
      <c r="AU35" s="2620" t="e">
        <f>DAY(J35)</f>
        <v>#VALUE!</v>
      </c>
      <c r="AV35" s="2620"/>
      <c r="AW35" s="2620" t="e">
        <f>YEAR(M35)</f>
        <v>#VALUE!</v>
      </c>
      <c r="AX35" s="2620" t="e">
        <f>MONTH(M35)</f>
        <v>#VALUE!</v>
      </c>
      <c r="AY35" s="2620" t="e">
        <f>DAY(M35)</f>
        <v>#VALUE!</v>
      </c>
      <c r="AZ35" s="2620"/>
      <c r="BA35" s="2620" t="e">
        <f>IF(AW35=AS35,TRUE,FALSE)</f>
        <v>#VALUE!</v>
      </c>
      <c r="BB35" s="2620" t="e">
        <f>IF(AND(AW35=AS35+1,AX35&lt;AT35),TRUE,FALSE)</f>
        <v>#VALUE!</v>
      </c>
      <c r="BC35" s="2620" t="e">
        <f>IF(AND(AW35=AS35+1,AX35=AT35,AY35&lt;=AU35),TRUE,FALSE)</f>
        <v>#VALUE!</v>
      </c>
    </row>
    <row r="36" spans="1:55" s="2459" customFormat="1" ht="19.5" customHeight="1">
      <c r="A36" s="1706">
        <f t="shared" si="0"/>
        <v>0</v>
      </c>
      <c r="B36" s="6301" t="str">
        <f t="shared" ref="B36:B54" si="2">IF(AJ36="","",AJ36)</f>
        <v/>
      </c>
      <c r="C36" s="6302"/>
      <c r="D36" s="6302"/>
      <c r="E36" s="6302"/>
      <c r="F36" s="6302"/>
      <c r="G36" s="6302"/>
      <c r="H36" s="6302"/>
      <c r="I36" s="6303"/>
      <c r="J36" s="6304" t="str">
        <f t="shared" ref="J36:J54" si="3">IF(AK36="","",AK36)</f>
        <v/>
      </c>
      <c r="K36" s="6305"/>
      <c r="L36" s="6305"/>
      <c r="M36" s="6304" t="str">
        <f t="shared" ref="M36:M54" si="4">IF(AL36="","",AL36)</f>
        <v/>
      </c>
      <c r="N36" s="6305"/>
      <c r="O36" s="6305"/>
      <c r="P36" s="6306"/>
      <c r="Q36" s="4641" t="str">
        <f t="shared" ref="Q36:Q54" si="5">IF(AM36="","",AM36)</f>
        <v/>
      </c>
      <c r="R36" s="6307"/>
      <c r="S36" s="6307"/>
      <c r="T36" s="6308"/>
      <c r="U36" s="4641" t="str">
        <f t="shared" ref="U36:U54" si="6">IF(AN36="","",AN36)</f>
        <v/>
      </c>
      <c r="V36" s="6307"/>
      <c r="W36" s="6307"/>
      <c r="X36" s="6308"/>
      <c r="Y36" s="6300" t="str">
        <f>IF(AO36&lt;&gt;"",AO36,"")</f>
        <v/>
      </c>
      <c r="Z36" s="4756"/>
      <c r="AA36" s="6300" t="str">
        <f>IF(AP36="","",AP36)</f>
        <v/>
      </c>
      <c r="AB36" s="4756"/>
      <c r="AC36" s="6309" t="str">
        <f t="shared" ref="AC36:AC54" si="7">IF(AQ36&lt;&gt;"",AQ36,IF(AND(Q36&lt;&gt;"",U36&lt;&gt;""),SUM(Q36,-U36,AA36),""))</f>
        <v/>
      </c>
      <c r="AD36" s="6310"/>
      <c r="AE36" s="6310"/>
      <c r="AF36" s="6310"/>
      <c r="AG36" s="2631">
        <f t="shared" ref="AG36:AG54" si="8">IF(OR(J36="",M36=""),0,IF(OR(BA36,BB36,BC36),0,1))</f>
        <v>0</v>
      </c>
      <c r="AH36" s="1644"/>
      <c r="AI36" s="1644" t="e">
        <f t="shared" si="1"/>
        <v>#VALUE!</v>
      </c>
      <c r="AJ36" s="2467"/>
      <c r="AK36" s="2471"/>
      <c r="AL36" s="2471"/>
      <c r="AM36" s="2469"/>
      <c r="AN36" s="2469"/>
      <c r="AO36" s="2470"/>
      <c r="AP36" s="2469"/>
      <c r="AQ36" s="2468"/>
      <c r="AS36" s="2620" t="e">
        <f t="shared" ref="AS36:AS54" si="9">YEAR(J36)</f>
        <v>#VALUE!</v>
      </c>
      <c r="AT36" s="2620" t="e">
        <f t="shared" ref="AT36:AT54" si="10">MONTH(J36)</f>
        <v>#VALUE!</v>
      </c>
      <c r="AU36" s="2620" t="e">
        <f t="shared" ref="AU36:AU54" si="11">DAY(J36)</f>
        <v>#VALUE!</v>
      </c>
      <c r="AV36" s="2620"/>
      <c r="AW36" s="2620" t="e">
        <f t="shared" ref="AW36:AW54" si="12">YEAR(M36)</f>
        <v>#VALUE!</v>
      </c>
      <c r="AX36" s="2620" t="e">
        <f t="shared" ref="AX36:AX54" si="13">MONTH(M36)</f>
        <v>#VALUE!</v>
      </c>
      <c r="AY36" s="2620" t="e">
        <f t="shared" ref="AY36:AY54" si="14">DAY(M36)</f>
        <v>#VALUE!</v>
      </c>
      <c r="AZ36" s="2620"/>
      <c r="BA36" s="2620" t="e">
        <f t="shared" ref="BA36:BA54" si="15">IF(AW36=AS36,TRUE,FALSE)</f>
        <v>#VALUE!</v>
      </c>
      <c r="BB36" s="2620" t="e">
        <f t="shared" ref="BB36:BB54" si="16">IF(AND(AW36=AS36+1,AX36&lt;AT36),TRUE,FALSE)</f>
        <v>#VALUE!</v>
      </c>
      <c r="BC36" s="2620" t="e">
        <f t="shared" ref="BC36:BC54" si="17">IF(AND(AW36=AS36+1,AX36=AT36,AY36&lt;=AU36),TRUE,FALSE)</f>
        <v>#VALUE!</v>
      </c>
    </row>
    <row r="37" spans="1:55" s="2459" customFormat="1" ht="19.5" customHeight="1">
      <c r="A37" s="1706">
        <f t="shared" si="0"/>
        <v>0</v>
      </c>
      <c r="B37" s="6301" t="str">
        <f t="shared" si="2"/>
        <v/>
      </c>
      <c r="C37" s="6302"/>
      <c r="D37" s="6302"/>
      <c r="E37" s="6302"/>
      <c r="F37" s="6302"/>
      <c r="G37" s="6302"/>
      <c r="H37" s="6302"/>
      <c r="I37" s="6303"/>
      <c r="J37" s="6304" t="str">
        <f t="shared" si="3"/>
        <v/>
      </c>
      <c r="K37" s="6305"/>
      <c r="L37" s="6305"/>
      <c r="M37" s="6304" t="str">
        <f t="shared" si="4"/>
        <v/>
      </c>
      <c r="N37" s="6305"/>
      <c r="O37" s="6305"/>
      <c r="P37" s="6306"/>
      <c r="Q37" s="4641" t="str">
        <f t="shared" si="5"/>
        <v/>
      </c>
      <c r="R37" s="6307"/>
      <c r="S37" s="6307"/>
      <c r="T37" s="6308"/>
      <c r="U37" s="4641" t="str">
        <f t="shared" si="6"/>
        <v/>
      </c>
      <c r="V37" s="6307"/>
      <c r="W37" s="6307"/>
      <c r="X37" s="6308"/>
      <c r="Y37" s="6300" t="str">
        <f>IF(AO37&lt;&gt;"",AO37,"")</f>
        <v/>
      </c>
      <c r="Z37" s="4756"/>
      <c r="AA37" s="6300" t="str">
        <f>IF(AP37="","",AP37)</f>
        <v/>
      </c>
      <c r="AB37" s="4756"/>
      <c r="AC37" s="6309" t="str">
        <f t="shared" si="7"/>
        <v/>
      </c>
      <c r="AD37" s="6310"/>
      <c r="AE37" s="6310"/>
      <c r="AF37" s="6310"/>
      <c r="AG37" s="2631">
        <f t="shared" si="8"/>
        <v>0</v>
      </c>
      <c r="AH37" s="1644"/>
      <c r="AI37" s="1644" t="e">
        <f t="shared" si="1"/>
        <v>#VALUE!</v>
      </c>
      <c r="AJ37" s="2467"/>
      <c r="AK37" s="2471"/>
      <c r="AL37" s="2471"/>
      <c r="AM37" s="2469"/>
      <c r="AN37" s="2469"/>
      <c r="AO37" s="2470"/>
      <c r="AP37" s="2469"/>
      <c r="AQ37" s="2468"/>
      <c r="AS37" s="2620" t="e">
        <f t="shared" si="9"/>
        <v>#VALUE!</v>
      </c>
      <c r="AT37" s="2620" t="e">
        <f t="shared" si="10"/>
        <v>#VALUE!</v>
      </c>
      <c r="AU37" s="2620" t="e">
        <f t="shared" si="11"/>
        <v>#VALUE!</v>
      </c>
      <c r="AV37" s="2620"/>
      <c r="AW37" s="2620" t="e">
        <f t="shared" si="12"/>
        <v>#VALUE!</v>
      </c>
      <c r="AX37" s="2620" t="e">
        <f t="shared" si="13"/>
        <v>#VALUE!</v>
      </c>
      <c r="AY37" s="2620" t="e">
        <f t="shared" si="14"/>
        <v>#VALUE!</v>
      </c>
      <c r="AZ37" s="2620"/>
      <c r="BA37" s="2620" t="e">
        <f t="shared" si="15"/>
        <v>#VALUE!</v>
      </c>
      <c r="BB37" s="2620" t="e">
        <f t="shared" si="16"/>
        <v>#VALUE!</v>
      </c>
      <c r="BC37" s="2620" t="e">
        <f t="shared" si="17"/>
        <v>#VALUE!</v>
      </c>
    </row>
    <row r="38" spans="1:55" s="2459" customFormat="1" ht="19.5" customHeight="1">
      <c r="A38" s="1706">
        <f t="shared" si="0"/>
        <v>0</v>
      </c>
      <c r="B38" s="6301" t="str">
        <f t="shared" si="2"/>
        <v/>
      </c>
      <c r="C38" s="6302"/>
      <c r="D38" s="6302"/>
      <c r="E38" s="6302"/>
      <c r="F38" s="6302"/>
      <c r="G38" s="6302"/>
      <c r="H38" s="6302"/>
      <c r="I38" s="6303"/>
      <c r="J38" s="6304" t="str">
        <f t="shared" si="3"/>
        <v/>
      </c>
      <c r="K38" s="6305"/>
      <c r="L38" s="6305"/>
      <c r="M38" s="6304" t="str">
        <f t="shared" si="4"/>
        <v/>
      </c>
      <c r="N38" s="6305"/>
      <c r="O38" s="6305"/>
      <c r="P38" s="6306"/>
      <c r="Q38" s="4641" t="str">
        <f t="shared" si="5"/>
        <v/>
      </c>
      <c r="R38" s="6307"/>
      <c r="S38" s="6307"/>
      <c r="T38" s="6308"/>
      <c r="U38" s="4641" t="str">
        <f t="shared" si="6"/>
        <v/>
      </c>
      <c r="V38" s="6307"/>
      <c r="W38" s="6307"/>
      <c r="X38" s="6308"/>
      <c r="Y38" s="6300" t="str">
        <f t="shared" ref="Y38:Y54" si="18">IF(AO38&lt;&gt;"",AO38,"")</f>
        <v/>
      </c>
      <c r="Z38" s="4756"/>
      <c r="AA38" s="6300" t="str">
        <f t="shared" ref="AA38:AA54" si="19">IF(AP38="","",AP38)</f>
        <v/>
      </c>
      <c r="AB38" s="4756"/>
      <c r="AC38" s="6309" t="str">
        <f t="shared" si="7"/>
        <v/>
      </c>
      <c r="AD38" s="6310"/>
      <c r="AE38" s="6310"/>
      <c r="AF38" s="6310"/>
      <c r="AG38" s="2631">
        <f t="shared" si="8"/>
        <v>0</v>
      </c>
      <c r="AH38" s="1644"/>
      <c r="AI38" s="1644" t="e">
        <f t="shared" si="1"/>
        <v>#VALUE!</v>
      </c>
      <c r="AJ38" s="2467"/>
      <c r="AK38" s="2471"/>
      <c r="AL38" s="2471"/>
      <c r="AM38" s="2469"/>
      <c r="AN38" s="2469"/>
      <c r="AO38" s="2470"/>
      <c r="AP38" s="2469"/>
      <c r="AQ38" s="2468"/>
      <c r="AS38" s="2620" t="e">
        <f t="shared" si="9"/>
        <v>#VALUE!</v>
      </c>
      <c r="AT38" s="2620" t="e">
        <f t="shared" si="10"/>
        <v>#VALUE!</v>
      </c>
      <c r="AU38" s="2620" t="e">
        <f t="shared" si="11"/>
        <v>#VALUE!</v>
      </c>
      <c r="AV38" s="2620"/>
      <c r="AW38" s="2620" t="e">
        <f t="shared" si="12"/>
        <v>#VALUE!</v>
      </c>
      <c r="AX38" s="2620" t="e">
        <f t="shared" si="13"/>
        <v>#VALUE!</v>
      </c>
      <c r="AY38" s="2620" t="e">
        <f t="shared" si="14"/>
        <v>#VALUE!</v>
      </c>
      <c r="AZ38" s="2620"/>
      <c r="BA38" s="2620" t="e">
        <f t="shared" si="15"/>
        <v>#VALUE!</v>
      </c>
      <c r="BB38" s="2620" t="e">
        <f t="shared" si="16"/>
        <v>#VALUE!</v>
      </c>
      <c r="BC38" s="2620" t="e">
        <f t="shared" si="17"/>
        <v>#VALUE!</v>
      </c>
    </row>
    <row r="39" spans="1:55" s="2459" customFormat="1" ht="19.5" customHeight="1">
      <c r="A39" s="1706">
        <f t="shared" si="0"/>
        <v>0</v>
      </c>
      <c r="B39" s="6301" t="str">
        <f t="shared" si="2"/>
        <v/>
      </c>
      <c r="C39" s="6302"/>
      <c r="D39" s="6302"/>
      <c r="E39" s="6302"/>
      <c r="F39" s="6302"/>
      <c r="G39" s="6302"/>
      <c r="H39" s="6302"/>
      <c r="I39" s="6303"/>
      <c r="J39" s="6304" t="str">
        <f t="shared" si="3"/>
        <v/>
      </c>
      <c r="K39" s="6305"/>
      <c r="L39" s="6305"/>
      <c r="M39" s="6304" t="str">
        <f t="shared" si="4"/>
        <v/>
      </c>
      <c r="N39" s="6305"/>
      <c r="O39" s="6305"/>
      <c r="P39" s="6306"/>
      <c r="Q39" s="4641" t="str">
        <f t="shared" si="5"/>
        <v/>
      </c>
      <c r="R39" s="6307"/>
      <c r="S39" s="6307"/>
      <c r="T39" s="6308"/>
      <c r="U39" s="4641" t="str">
        <f t="shared" si="6"/>
        <v/>
      </c>
      <c r="V39" s="6307"/>
      <c r="W39" s="6307"/>
      <c r="X39" s="6308"/>
      <c r="Y39" s="6300" t="str">
        <f t="shared" si="18"/>
        <v/>
      </c>
      <c r="Z39" s="4756"/>
      <c r="AA39" s="6300" t="str">
        <f t="shared" si="19"/>
        <v/>
      </c>
      <c r="AB39" s="4756"/>
      <c r="AC39" s="6309" t="str">
        <f t="shared" si="7"/>
        <v/>
      </c>
      <c r="AD39" s="6310"/>
      <c r="AE39" s="6310"/>
      <c r="AF39" s="6310"/>
      <c r="AG39" s="2631">
        <f t="shared" si="8"/>
        <v>0</v>
      </c>
      <c r="AH39" s="1644"/>
      <c r="AI39" s="1644" t="e">
        <f t="shared" si="1"/>
        <v>#VALUE!</v>
      </c>
      <c r="AJ39" s="2467"/>
      <c r="AK39" s="2471"/>
      <c r="AL39" s="2471"/>
      <c r="AM39" s="2469"/>
      <c r="AN39" s="2469"/>
      <c r="AO39" s="2470"/>
      <c r="AP39" s="2469"/>
      <c r="AQ39" s="2468"/>
      <c r="AS39" s="2620" t="e">
        <f t="shared" si="9"/>
        <v>#VALUE!</v>
      </c>
      <c r="AT39" s="2620" t="e">
        <f t="shared" si="10"/>
        <v>#VALUE!</v>
      </c>
      <c r="AU39" s="2620" t="e">
        <f t="shared" si="11"/>
        <v>#VALUE!</v>
      </c>
      <c r="AV39" s="2620"/>
      <c r="AW39" s="2620" t="e">
        <f t="shared" si="12"/>
        <v>#VALUE!</v>
      </c>
      <c r="AX39" s="2620" t="e">
        <f t="shared" si="13"/>
        <v>#VALUE!</v>
      </c>
      <c r="AY39" s="2620" t="e">
        <f t="shared" si="14"/>
        <v>#VALUE!</v>
      </c>
      <c r="AZ39" s="2620"/>
      <c r="BA39" s="2620" t="e">
        <f t="shared" si="15"/>
        <v>#VALUE!</v>
      </c>
      <c r="BB39" s="2620" t="e">
        <f t="shared" si="16"/>
        <v>#VALUE!</v>
      </c>
      <c r="BC39" s="2620" t="e">
        <f t="shared" si="17"/>
        <v>#VALUE!</v>
      </c>
    </row>
    <row r="40" spans="1:55" s="2459" customFormat="1" ht="19.5" customHeight="1">
      <c r="A40" s="1706">
        <f t="shared" si="0"/>
        <v>0</v>
      </c>
      <c r="B40" s="6301" t="str">
        <f t="shared" si="2"/>
        <v/>
      </c>
      <c r="C40" s="6302"/>
      <c r="D40" s="6302"/>
      <c r="E40" s="6302"/>
      <c r="F40" s="6302"/>
      <c r="G40" s="6302"/>
      <c r="H40" s="6302"/>
      <c r="I40" s="6303"/>
      <c r="J40" s="6304" t="str">
        <f t="shared" si="3"/>
        <v/>
      </c>
      <c r="K40" s="6305"/>
      <c r="L40" s="6305"/>
      <c r="M40" s="6304" t="str">
        <f t="shared" si="4"/>
        <v/>
      </c>
      <c r="N40" s="6305"/>
      <c r="O40" s="6305"/>
      <c r="P40" s="6306"/>
      <c r="Q40" s="4641" t="str">
        <f t="shared" si="5"/>
        <v/>
      </c>
      <c r="R40" s="6307"/>
      <c r="S40" s="6307"/>
      <c r="T40" s="6308"/>
      <c r="U40" s="4641" t="str">
        <f t="shared" si="6"/>
        <v/>
      </c>
      <c r="V40" s="6307"/>
      <c r="W40" s="6307"/>
      <c r="X40" s="6308"/>
      <c r="Y40" s="6300" t="str">
        <f t="shared" si="18"/>
        <v/>
      </c>
      <c r="Z40" s="4756"/>
      <c r="AA40" s="6300" t="str">
        <f t="shared" si="19"/>
        <v/>
      </c>
      <c r="AB40" s="4756"/>
      <c r="AC40" s="6309" t="str">
        <f t="shared" si="7"/>
        <v/>
      </c>
      <c r="AD40" s="6310"/>
      <c r="AE40" s="6310"/>
      <c r="AF40" s="6310"/>
      <c r="AG40" s="2631">
        <f t="shared" si="8"/>
        <v>0</v>
      </c>
      <c r="AH40" s="1644"/>
      <c r="AI40" s="1644" t="e">
        <f t="shared" si="1"/>
        <v>#VALUE!</v>
      </c>
      <c r="AJ40" s="2467"/>
      <c r="AK40" s="2471"/>
      <c r="AL40" s="2471"/>
      <c r="AM40" s="2469"/>
      <c r="AN40" s="2469"/>
      <c r="AO40" s="2470"/>
      <c r="AP40" s="2469"/>
      <c r="AQ40" s="2468"/>
      <c r="AS40" s="2620" t="e">
        <f t="shared" si="9"/>
        <v>#VALUE!</v>
      </c>
      <c r="AT40" s="2620" t="e">
        <f t="shared" si="10"/>
        <v>#VALUE!</v>
      </c>
      <c r="AU40" s="2620" t="e">
        <f t="shared" si="11"/>
        <v>#VALUE!</v>
      </c>
      <c r="AV40" s="2620"/>
      <c r="AW40" s="2620" t="e">
        <f t="shared" si="12"/>
        <v>#VALUE!</v>
      </c>
      <c r="AX40" s="2620" t="e">
        <f t="shared" si="13"/>
        <v>#VALUE!</v>
      </c>
      <c r="AY40" s="2620" t="e">
        <f t="shared" si="14"/>
        <v>#VALUE!</v>
      </c>
      <c r="AZ40" s="2620"/>
      <c r="BA40" s="2620" t="e">
        <f t="shared" si="15"/>
        <v>#VALUE!</v>
      </c>
      <c r="BB40" s="2620" t="e">
        <f t="shared" si="16"/>
        <v>#VALUE!</v>
      </c>
      <c r="BC40" s="2620" t="e">
        <f t="shared" si="17"/>
        <v>#VALUE!</v>
      </c>
    </row>
    <row r="41" spans="1:55" s="2459" customFormat="1" ht="19.5" customHeight="1">
      <c r="A41" s="1706">
        <f t="shared" si="0"/>
        <v>0</v>
      </c>
      <c r="B41" s="6301" t="str">
        <f t="shared" si="2"/>
        <v/>
      </c>
      <c r="C41" s="6302"/>
      <c r="D41" s="6302"/>
      <c r="E41" s="6302"/>
      <c r="F41" s="6302"/>
      <c r="G41" s="6302"/>
      <c r="H41" s="6302"/>
      <c r="I41" s="6303"/>
      <c r="J41" s="6304" t="str">
        <f>IF(AK41="","",AK41)</f>
        <v/>
      </c>
      <c r="K41" s="6305"/>
      <c r="L41" s="6305"/>
      <c r="M41" s="6304" t="str">
        <f>IF(AL41="","",AL41)</f>
        <v/>
      </c>
      <c r="N41" s="6305"/>
      <c r="O41" s="6305"/>
      <c r="P41" s="6306"/>
      <c r="Q41" s="4641" t="str">
        <f t="shared" si="5"/>
        <v/>
      </c>
      <c r="R41" s="6307"/>
      <c r="S41" s="6307"/>
      <c r="T41" s="6308"/>
      <c r="U41" s="4641" t="str">
        <f t="shared" si="6"/>
        <v/>
      </c>
      <c r="V41" s="6307"/>
      <c r="W41" s="6307"/>
      <c r="X41" s="6308"/>
      <c r="Y41" s="6300" t="str">
        <f t="shared" si="18"/>
        <v/>
      </c>
      <c r="Z41" s="4756"/>
      <c r="AA41" s="6300" t="str">
        <f t="shared" si="19"/>
        <v/>
      </c>
      <c r="AB41" s="4756"/>
      <c r="AC41" s="6309" t="str">
        <f t="shared" si="7"/>
        <v/>
      </c>
      <c r="AD41" s="6310"/>
      <c r="AE41" s="6310"/>
      <c r="AF41" s="6310"/>
      <c r="AG41" s="2631">
        <f t="shared" si="8"/>
        <v>0</v>
      </c>
      <c r="AH41" s="1644"/>
      <c r="AI41" s="1644" t="e">
        <f t="shared" si="1"/>
        <v>#VALUE!</v>
      </c>
      <c r="AJ41" s="2467"/>
      <c r="AK41" s="2471"/>
      <c r="AL41" s="2471"/>
      <c r="AM41" s="2469"/>
      <c r="AN41" s="2469"/>
      <c r="AO41" s="2470"/>
      <c r="AP41" s="2469"/>
      <c r="AQ41" s="2468"/>
      <c r="AS41" s="2620" t="e">
        <f t="shared" si="9"/>
        <v>#VALUE!</v>
      </c>
      <c r="AT41" s="2620" t="e">
        <f t="shared" si="10"/>
        <v>#VALUE!</v>
      </c>
      <c r="AU41" s="2620" t="e">
        <f t="shared" si="11"/>
        <v>#VALUE!</v>
      </c>
      <c r="AV41" s="2620"/>
      <c r="AW41" s="2620" t="e">
        <f t="shared" si="12"/>
        <v>#VALUE!</v>
      </c>
      <c r="AX41" s="2620" t="e">
        <f t="shared" si="13"/>
        <v>#VALUE!</v>
      </c>
      <c r="AY41" s="2620" t="e">
        <f t="shared" si="14"/>
        <v>#VALUE!</v>
      </c>
      <c r="AZ41" s="2620"/>
      <c r="BA41" s="2620" t="e">
        <f t="shared" si="15"/>
        <v>#VALUE!</v>
      </c>
      <c r="BB41" s="2620" t="e">
        <f t="shared" si="16"/>
        <v>#VALUE!</v>
      </c>
      <c r="BC41" s="2620" t="e">
        <f t="shared" si="17"/>
        <v>#VALUE!</v>
      </c>
    </row>
    <row r="42" spans="1:55" s="2459" customFormat="1" ht="19.5" customHeight="1">
      <c r="A42" s="1706">
        <f t="shared" si="0"/>
        <v>0</v>
      </c>
      <c r="B42" s="6301" t="str">
        <f t="shared" si="2"/>
        <v/>
      </c>
      <c r="C42" s="6302"/>
      <c r="D42" s="6302"/>
      <c r="E42" s="6302"/>
      <c r="F42" s="6302"/>
      <c r="G42" s="6302"/>
      <c r="H42" s="6302"/>
      <c r="I42" s="6303"/>
      <c r="J42" s="6304" t="str">
        <f t="shared" si="3"/>
        <v/>
      </c>
      <c r="K42" s="6305"/>
      <c r="L42" s="6305"/>
      <c r="M42" s="6304" t="str">
        <f t="shared" si="4"/>
        <v/>
      </c>
      <c r="N42" s="6305"/>
      <c r="O42" s="6305"/>
      <c r="P42" s="6306"/>
      <c r="Q42" s="4641" t="str">
        <f t="shared" si="5"/>
        <v/>
      </c>
      <c r="R42" s="6307"/>
      <c r="S42" s="6307"/>
      <c r="T42" s="6308"/>
      <c r="U42" s="4641" t="str">
        <f t="shared" si="6"/>
        <v/>
      </c>
      <c r="V42" s="6307"/>
      <c r="W42" s="6307"/>
      <c r="X42" s="6308"/>
      <c r="Y42" s="6300" t="str">
        <f t="shared" si="18"/>
        <v/>
      </c>
      <c r="Z42" s="4756"/>
      <c r="AA42" s="6300" t="str">
        <f t="shared" si="19"/>
        <v/>
      </c>
      <c r="AB42" s="4756"/>
      <c r="AC42" s="6309" t="str">
        <f t="shared" si="7"/>
        <v/>
      </c>
      <c r="AD42" s="6310"/>
      <c r="AE42" s="6310"/>
      <c r="AF42" s="6310"/>
      <c r="AG42" s="2631">
        <f t="shared" si="8"/>
        <v>0</v>
      </c>
      <c r="AH42" s="1644"/>
      <c r="AI42" s="1644" t="e">
        <f t="shared" si="1"/>
        <v>#VALUE!</v>
      </c>
      <c r="AJ42" s="2467"/>
      <c r="AK42" s="2471"/>
      <c r="AL42" s="2471"/>
      <c r="AM42" s="2469"/>
      <c r="AN42" s="2469"/>
      <c r="AO42" s="2470"/>
      <c r="AP42" s="2469"/>
      <c r="AQ42" s="2468"/>
      <c r="AS42" s="2620" t="e">
        <f t="shared" si="9"/>
        <v>#VALUE!</v>
      </c>
      <c r="AT42" s="2620" t="e">
        <f t="shared" si="10"/>
        <v>#VALUE!</v>
      </c>
      <c r="AU42" s="2620" t="e">
        <f t="shared" si="11"/>
        <v>#VALUE!</v>
      </c>
      <c r="AV42" s="2620"/>
      <c r="AW42" s="2620" t="e">
        <f t="shared" si="12"/>
        <v>#VALUE!</v>
      </c>
      <c r="AX42" s="2620" t="e">
        <f t="shared" si="13"/>
        <v>#VALUE!</v>
      </c>
      <c r="AY42" s="2620" t="e">
        <f t="shared" si="14"/>
        <v>#VALUE!</v>
      </c>
      <c r="AZ42" s="2620"/>
      <c r="BA42" s="2620" t="e">
        <f t="shared" si="15"/>
        <v>#VALUE!</v>
      </c>
      <c r="BB42" s="2620" t="e">
        <f t="shared" si="16"/>
        <v>#VALUE!</v>
      </c>
      <c r="BC42" s="2620" t="e">
        <f t="shared" si="17"/>
        <v>#VALUE!</v>
      </c>
    </row>
    <row r="43" spans="1:55" s="2459" customFormat="1" ht="19.5" customHeight="1">
      <c r="A43" s="1706">
        <f t="shared" si="0"/>
        <v>0</v>
      </c>
      <c r="B43" s="6301" t="str">
        <f t="shared" si="2"/>
        <v/>
      </c>
      <c r="C43" s="6302"/>
      <c r="D43" s="6302"/>
      <c r="E43" s="6302"/>
      <c r="F43" s="6302"/>
      <c r="G43" s="6302"/>
      <c r="H43" s="6302"/>
      <c r="I43" s="6303"/>
      <c r="J43" s="6304" t="str">
        <f t="shared" si="3"/>
        <v/>
      </c>
      <c r="K43" s="6305"/>
      <c r="L43" s="6305"/>
      <c r="M43" s="6304" t="str">
        <f t="shared" si="4"/>
        <v/>
      </c>
      <c r="N43" s="6305"/>
      <c r="O43" s="6305"/>
      <c r="P43" s="6306"/>
      <c r="Q43" s="4641" t="str">
        <f t="shared" si="5"/>
        <v/>
      </c>
      <c r="R43" s="6307"/>
      <c r="S43" s="6307"/>
      <c r="T43" s="6308"/>
      <c r="U43" s="4641" t="str">
        <f t="shared" si="6"/>
        <v/>
      </c>
      <c r="V43" s="6307"/>
      <c r="W43" s="6307"/>
      <c r="X43" s="6308"/>
      <c r="Y43" s="6300" t="str">
        <f t="shared" si="18"/>
        <v/>
      </c>
      <c r="Z43" s="4756"/>
      <c r="AA43" s="6300" t="str">
        <f t="shared" si="19"/>
        <v/>
      </c>
      <c r="AB43" s="4756"/>
      <c r="AC43" s="6309" t="str">
        <f t="shared" si="7"/>
        <v/>
      </c>
      <c r="AD43" s="6310"/>
      <c r="AE43" s="6310"/>
      <c r="AF43" s="6310"/>
      <c r="AG43" s="2631">
        <f t="shared" si="8"/>
        <v>0</v>
      </c>
      <c r="AH43" s="1644"/>
      <c r="AI43" s="1644" t="e">
        <f t="shared" si="1"/>
        <v>#VALUE!</v>
      </c>
      <c r="AJ43" s="2467"/>
      <c r="AK43" s="2471"/>
      <c r="AL43" s="2471"/>
      <c r="AM43" s="2469"/>
      <c r="AN43" s="2469"/>
      <c r="AO43" s="2470"/>
      <c r="AP43" s="2469"/>
      <c r="AQ43" s="2468"/>
      <c r="AS43" s="2620" t="e">
        <f t="shared" si="9"/>
        <v>#VALUE!</v>
      </c>
      <c r="AT43" s="2620" t="e">
        <f t="shared" si="10"/>
        <v>#VALUE!</v>
      </c>
      <c r="AU43" s="2620" t="e">
        <f t="shared" si="11"/>
        <v>#VALUE!</v>
      </c>
      <c r="AV43" s="2620"/>
      <c r="AW43" s="2620" t="e">
        <f t="shared" si="12"/>
        <v>#VALUE!</v>
      </c>
      <c r="AX43" s="2620" t="e">
        <f t="shared" si="13"/>
        <v>#VALUE!</v>
      </c>
      <c r="AY43" s="2620" t="e">
        <f t="shared" si="14"/>
        <v>#VALUE!</v>
      </c>
      <c r="AZ43" s="2620"/>
      <c r="BA43" s="2620" t="e">
        <f t="shared" si="15"/>
        <v>#VALUE!</v>
      </c>
      <c r="BB43" s="2620" t="e">
        <f t="shared" si="16"/>
        <v>#VALUE!</v>
      </c>
      <c r="BC43" s="2620" t="e">
        <f t="shared" si="17"/>
        <v>#VALUE!</v>
      </c>
    </row>
    <row r="44" spans="1:55" s="2459" customFormat="1" ht="19.5" customHeight="1">
      <c r="A44" s="1706">
        <f t="shared" si="0"/>
        <v>0</v>
      </c>
      <c r="B44" s="6301" t="str">
        <f t="shared" si="2"/>
        <v/>
      </c>
      <c r="C44" s="6302"/>
      <c r="D44" s="6302"/>
      <c r="E44" s="6302"/>
      <c r="F44" s="6302"/>
      <c r="G44" s="6302"/>
      <c r="H44" s="6302"/>
      <c r="I44" s="6303"/>
      <c r="J44" s="6304" t="str">
        <f t="shared" si="3"/>
        <v/>
      </c>
      <c r="K44" s="6305"/>
      <c r="L44" s="6305"/>
      <c r="M44" s="6304" t="str">
        <f t="shared" si="4"/>
        <v/>
      </c>
      <c r="N44" s="6305"/>
      <c r="O44" s="6305"/>
      <c r="P44" s="6306"/>
      <c r="Q44" s="4641" t="str">
        <f t="shared" si="5"/>
        <v/>
      </c>
      <c r="R44" s="6307"/>
      <c r="S44" s="6307"/>
      <c r="T44" s="6308"/>
      <c r="U44" s="4641" t="str">
        <f t="shared" si="6"/>
        <v/>
      </c>
      <c r="V44" s="6307"/>
      <c r="W44" s="6307"/>
      <c r="X44" s="6308"/>
      <c r="Y44" s="6300" t="str">
        <f t="shared" si="18"/>
        <v/>
      </c>
      <c r="Z44" s="4756"/>
      <c r="AA44" s="6300" t="str">
        <f t="shared" si="19"/>
        <v/>
      </c>
      <c r="AB44" s="4756"/>
      <c r="AC44" s="6309" t="str">
        <f t="shared" si="7"/>
        <v/>
      </c>
      <c r="AD44" s="6310"/>
      <c r="AE44" s="6310"/>
      <c r="AF44" s="6310"/>
      <c r="AG44" s="2631">
        <f t="shared" si="8"/>
        <v>0</v>
      </c>
      <c r="AH44" s="1644"/>
      <c r="AI44" s="1644" t="e">
        <f t="shared" si="1"/>
        <v>#VALUE!</v>
      </c>
      <c r="AJ44" s="2467"/>
      <c r="AK44" s="2471"/>
      <c r="AL44" s="2471"/>
      <c r="AM44" s="2469"/>
      <c r="AN44" s="2469"/>
      <c r="AO44" s="2470"/>
      <c r="AP44" s="2469"/>
      <c r="AQ44" s="2468"/>
      <c r="AS44" s="2620" t="e">
        <f t="shared" si="9"/>
        <v>#VALUE!</v>
      </c>
      <c r="AT44" s="2620" t="e">
        <f t="shared" si="10"/>
        <v>#VALUE!</v>
      </c>
      <c r="AU44" s="2620" t="e">
        <f t="shared" si="11"/>
        <v>#VALUE!</v>
      </c>
      <c r="AV44" s="2620"/>
      <c r="AW44" s="2620" t="e">
        <f t="shared" si="12"/>
        <v>#VALUE!</v>
      </c>
      <c r="AX44" s="2620" t="e">
        <f t="shared" si="13"/>
        <v>#VALUE!</v>
      </c>
      <c r="AY44" s="2620" t="e">
        <f t="shared" si="14"/>
        <v>#VALUE!</v>
      </c>
      <c r="AZ44" s="2620"/>
      <c r="BA44" s="2620" t="e">
        <f t="shared" si="15"/>
        <v>#VALUE!</v>
      </c>
      <c r="BB44" s="2620" t="e">
        <f t="shared" si="16"/>
        <v>#VALUE!</v>
      </c>
      <c r="BC44" s="2620" t="e">
        <f t="shared" si="17"/>
        <v>#VALUE!</v>
      </c>
    </row>
    <row r="45" spans="1:55" s="2459" customFormat="1" ht="19.5" customHeight="1">
      <c r="A45" s="1706">
        <f t="shared" si="0"/>
        <v>0</v>
      </c>
      <c r="B45" s="6301" t="str">
        <f t="shared" si="2"/>
        <v/>
      </c>
      <c r="C45" s="6302"/>
      <c r="D45" s="6302"/>
      <c r="E45" s="6302"/>
      <c r="F45" s="6302"/>
      <c r="G45" s="6302"/>
      <c r="H45" s="6302"/>
      <c r="I45" s="6303"/>
      <c r="J45" s="6304" t="str">
        <f t="shared" si="3"/>
        <v/>
      </c>
      <c r="K45" s="6305"/>
      <c r="L45" s="6305"/>
      <c r="M45" s="6304" t="str">
        <f t="shared" si="4"/>
        <v/>
      </c>
      <c r="N45" s="6305"/>
      <c r="O45" s="6305"/>
      <c r="P45" s="6306"/>
      <c r="Q45" s="4641" t="str">
        <f t="shared" si="5"/>
        <v/>
      </c>
      <c r="R45" s="6307"/>
      <c r="S45" s="6307"/>
      <c r="T45" s="6308"/>
      <c r="U45" s="4641" t="str">
        <f t="shared" si="6"/>
        <v/>
      </c>
      <c r="V45" s="6307"/>
      <c r="W45" s="6307"/>
      <c r="X45" s="6308"/>
      <c r="Y45" s="6300" t="str">
        <f t="shared" si="18"/>
        <v/>
      </c>
      <c r="Z45" s="4756"/>
      <c r="AA45" s="6300" t="str">
        <f t="shared" si="19"/>
        <v/>
      </c>
      <c r="AB45" s="4756"/>
      <c r="AC45" s="6309" t="str">
        <f t="shared" si="7"/>
        <v/>
      </c>
      <c r="AD45" s="6310"/>
      <c r="AE45" s="6310"/>
      <c r="AF45" s="6310"/>
      <c r="AG45" s="2631">
        <f t="shared" si="8"/>
        <v>0</v>
      </c>
      <c r="AH45" s="1644"/>
      <c r="AI45" s="1644" t="e">
        <f t="shared" si="1"/>
        <v>#VALUE!</v>
      </c>
      <c r="AJ45" s="2467"/>
      <c r="AK45" s="2471"/>
      <c r="AL45" s="2471"/>
      <c r="AM45" s="2469"/>
      <c r="AN45" s="2469"/>
      <c r="AO45" s="2470"/>
      <c r="AP45" s="2469"/>
      <c r="AQ45" s="2468"/>
      <c r="AS45" s="2620" t="e">
        <f t="shared" si="9"/>
        <v>#VALUE!</v>
      </c>
      <c r="AT45" s="2620" t="e">
        <f t="shared" si="10"/>
        <v>#VALUE!</v>
      </c>
      <c r="AU45" s="2620" t="e">
        <f t="shared" si="11"/>
        <v>#VALUE!</v>
      </c>
      <c r="AV45" s="2620"/>
      <c r="AW45" s="2620" t="e">
        <f t="shared" si="12"/>
        <v>#VALUE!</v>
      </c>
      <c r="AX45" s="2620" t="e">
        <f t="shared" si="13"/>
        <v>#VALUE!</v>
      </c>
      <c r="AY45" s="2620" t="e">
        <f t="shared" si="14"/>
        <v>#VALUE!</v>
      </c>
      <c r="AZ45" s="2620"/>
      <c r="BA45" s="2620" t="e">
        <f t="shared" si="15"/>
        <v>#VALUE!</v>
      </c>
      <c r="BB45" s="2620" t="e">
        <f t="shared" si="16"/>
        <v>#VALUE!</v>
      </c>
      <c r="BC45" s="2620" t="e">
        <f t="shared" si="17"/>
        <v>#VALUE!</v>
      </c>
    </row>
    <row r="46" spans="1:55" s="2459" customFormat="1" ht="19.5" customHeight="1">
      <c r="A46" s="1706">
        <f t="shared" si="0"/>
        <v>0</v>
      </c>
      <c r="B46" s="6301" t="str">
        <f t="shared" si="2"/>
        <v/>
      </c>
      <c r="C46" s="6302"/>
      <c r="D46" s="6302"/>
      <c r="E46" s="6302"/>
      <c r="F46" s="6302"/>
      <c r="G46" s="6302"/>
      <c r="H46" s="6302"/>
      <c r="I46" s="6303"/>
      <c r="J46" s="6304" t="str">
        <f t="shared" si="3"/>
        <v/>
      </c>
      <c r="K46" s="6305"/>
      <c r="L46" s="6305"/>
      <c r="M46" s="6304" t="str">
        <f t="shared" si="4"/>
        <v/>
      </c>
      <c r="N46" s="6305"/>
      <c r="O46" s="6305"/>
      <c r="P46" s="6306"/>
      <c r="Q46" s="4641" t="str">
        <f t="shared" si="5"/>
        <v/>
      </c>
      <c r="R46" s="6307"/>
      <c r="S46" s="6307"/>
      <c r="T46" s="6308"/>
      <c r="U46" s="4641" t="str">
        <f t="shared" si="6"/>
        <v/>
      </c>
      <c r="V46" s="6307"/>
      <c r="W46" s="6307"/>
      <c r="X46" s="6308"/>
      <c r="Y46" s="6300" t="str">
        <f t="shared" si="18"/>
        <v/>
      </c>
      <c r="Z46" s="4756"/>
      <c r="AA46" s="6300" t="str">
        <f t="shared" si="19"/>
        <v/>
      </c>
      <c r="AB46" s="4756"/>
      <c r="AC46" s="6309" t="str">
        <f t="shared" si="7"/>
        <v/>
      </c>
      <c r="AD46" s="6310"/>
      <c r="AE46" s="6310"/>
      <c r="AF46" s="6310"/>
      <c r="AG46" s="2631">
        <f t="shared" si="8"/>
        <v>0</v>
      </c>
      <c r="AH46" s="1644"/>
      <c r="AI46" s="1644" t="e">
        <f t="shared" si="1"/>
        <v>#VALUE!</v>
      </c>
      <c r="AJ46" s="2467"/>
      <c r="AK46" s="2471"/>
      <c r="AL46" s="2471"/>
      <c r="AM46" s="2469"/>
      <c r="AN46" s="2469"/>
      <c r="AO46" s="2470"/>
      <c r="AP46" s="2469"/>
      <c r="AQ46" s="2468"/>
      <c r="AS46" s="2620" t="e">
        <f t="shared" si="9"/>
        <v>#VALUE!</v>
      </c>
      <c r="AT46" s="2620" t="e">
        <f t="shared" si="10"/>
        <v>#VALUE!</v>
      </c>
      <c r="AU46" s="2620" t="e">
        <f t="shared" si="11"/>
        <v>#VALUE!</v>
      </c>
      <c r="AV46" s="2620"/>
      <c r="AW46" s="2620" t="e">
        <f t="shared" si="12"/>
        <v>#VALUE!</v>
      </c>
      <c r="AX46" s="2620" t="e">
        <f t="shared" si="13"/>
        <v>#VALUE!</v>
      </c>
      <c r="AY46" s="2620" t="e">
        <f t="shared" si="14"/>
        <v>#VALUE!</v>
      </c>
      <c r="AZ46" s="2620"/>
      <c r="BA46" s="2620" t="e">
        <f t="shared" si="15"/>
        <v>#VALUE!</v>
      </c>
      <c r="BB46" s="2620" t="e">
        <f t="shared" si="16"/>
        <v>#VALUE!</v>
      </c>
      <c r="BC46" s="2620" t="e">
        <f t="shared" si="17"/>
        <v>#VALUE!</v>
      </c>
    </row>
    <row r="47" spans="1:55" s="2459" customFormat="1" ht="19.5" customHeight="1">
      <c r="A47" s="1706">
        <f t="shared" si="0"/>
        <v>0</v>
      </c>
      <c r="B47" s="6301" t="str">
        <f t="shared" si="2"/>
        <v/>
      </c>
      <c r="C47" s="6302"/>
      <c r="D47" s="6302"/>
      <c r="E47" s="6302"/>
      <c r="F47" s="6302"/>
      <c r="G47" s="6302"/>
      <c r="H47" s="6302"/>
      <c r="I47" s="6303"/>
      <c r="J47" s="6304" t="str">
        <f t="shared" si="3"/>
        <v/>
      </c>
      <c r="K47" s="6305"/>
      <c r="L47" s="6305"/>
      <c r="M47" s="6304" t="str">
        <f t="shared" si="4"/>
        <v/>
      </c>
      <c r="N47" s="6305"/>
      <c r="O47" s="6305"/>
      <c r="P47" s="6306"/>
      <c r="Q47" s="4641" t="str">
        <f t="shared" si="5"/>
        <v/>
      </c>
      <c r="R47" s="6307"/>
      <c r="S47" s="6307"/>
      <c r="T47" s="6308"/>
      <c r="U47" s="4641" t="str">
        <f t="shared" si="6"/>
        <v/>
      </c>
      <c r="V47" s="6307"/>
      <c r="W47" s="6307"/>
      <c r="X47" s="6308"/>
      <c r="Y47" s="6300" t="str">
        <f t="shared" si="18"/>
        <v/>
      </c>
      <c r="Z47" s="4756"/>
      <c r="AA47" s="6300" t="str">
        <f t="shared" si="19"/>
        <v/>
      </c>
      <c r="AB47" s="4756"/>
      <c r="AC47" s="6309" t="str">
        <f t="shared" si="7"/>
        <v/>
      </c>
      <c r="AD47" s="6310"/>
      <c r="AE47" s="6310"/>
      <c r="AF47" s="6310"/>
      <c r="AG47" s="2631">
        <f t="shared" si="8"/>
        <v>0</v>
      </c>
      <c r="AH47" s="1644"/>
      <c r="AI47" s="1644" t="e">
        <f t="shared" si="1"/>
        <v>#VALUE!</v>
      </c>
      <c r="AJ47" s="2467"/>
      <c r="AK47" s="2471"/>
      <c r="AL47" s="2471"/>
      <c r="AM47" s="2469"/>
      <c r="AN47" s="2469"/>
      <c r="AO47" s="2470"/>
      <c r="AP47" s="2469"/>
      <c r="AQ47" s="2468"/>
      <c r="AS47" s="2620" t="e">
        <f t="shared" si="9"/>
        <v>#VALUE!</v>
      </c>
      <c r="AT47" s="2620" t="e">
        <f t="shared" si="10"/>
        <v>#VALUE!</v>
      </c>
      <c r="AU47" s="2620" t="e">
        <f t="shared" si="11"/>
        <v>#VALUE!</v>
      </c>
      <c r="AV47" s="2620"/>
      <c r="AW47" s="2620" t="e">
        <f t="shared" si="12"/>
        <v>#VALUE!</v>
      </c>
      <c r="AX47" s="2620" t="e">
        <f t="shared" si="13"/>
        <v>#VALUE!</v>
      </c>
      <c r="AY47" s="2620" t="e">
        <f t="shared" si="14"/>
        <v>#VALUE!</v>
      </c>
      <c r="AZ47" s="2620"/>
      <c r="BA47" s="2620" t="e">
        <f t="shared" si="15"/>
        <v>#VALUE!</v>
      </c>
      <c r="BB47" s="2620" t="e">
        <f t="shared" si="16"/>
        <v>#VALUE!</v>
      </c>
      <c r="BC47" s="2620" t="e">
        <f t="shared" si="17"/>
        <v>#VALUE!</v>
      </c>
    </row>
    <row r="48" spans="1:55" s="2459" customFormat="1" ht="19.5" customHeight="1">
      <c r="A48" s="1706">
        <f t="shared" si="0"/>
        <v>0</v>
      </c>
      <c r="B48" s="6301" t="str">
        <f t="shared" si="2"/>
        <v/>
      </c>
      <c r="C48" s="6302"/>
      <c r="D48" s="6302"/>
      <c r="E48" s="6302"/>
      <c r="F48" s="6302"/>
      <c r="G48" s="6302"/>
      <c r="H48" s="6302"/>
      <c r="I48" s="6303"/>
      <c r="J48" s="6304" t="str">
        <f t="shared" si="3"/>
        <v/>
      </c>
      <c r="K48" s="6305"/>
      <c r="L48" s="6305"/>
      <c r="M48" s="6304" t="str">
        <f t="shared" si="4"/>
        <v/>
      </c>
      <c r="N48" s="6305"/>
      <c r="O48" s="6305"/>
      <c r="P48" s="6306"/>
      <c r="Q48" s="4641" t="str">
        <f t="shared" si="5"/>
        <v/>
      </c>
      <c r="R48" s="6307"/>
      <c r="S48" s="6307"/>
      <c r="T48" s="6308"/>
      <c r="U48" s="4641" t="str">
        <f t="shared" si="6"/>
        <v/>
      </c>
      <c r="V48" s="6307"/>
      <c r="W48" s="6307"/>
      <c r="X48" s="6308"/>
      <c r="Y48" s="6300" t="str">
        <f t="shared" si="18"/>
        <v/>
      </c>
      <c r="Z48" s="4756"/>
      <c r="AA48" s="6300" t="str">
        <f t="shared" si="19"/>
        <v/>
      </c>
      <c r="AB48" s="4756"/>
      <c r="AC48" s="6309" t="str">
        <f t="shared" si="7"/>
        <v/>
      </c>
      <c r="AD48" s="6310"/>
      <c r="AE48" s="6310"/>
      <c r="AF48" s="6310"/>
      <c r="AG48" s="2631">
        <f t="shared" si="8"/>
        <v>0</v>
      </c>
      <c r="AH48" s="1644"/>
      <c r="AI48" s="1644" t="e">
        <f t="shared" si="1"/>
        <v>#VALUE!</v>
      </c>
      <c r="AJ48" s="2467"/>
      <c r="AK48" s="2471"/>
      <c r="AL48" s="2471"/>
      <c r="AM48" s="2469"/>
      <c r="AN48" s="2469"/>
      <c r="AO48" s="2470"/>
      <c r="AP48" s="2469"/>
      <c r="AQ48" s="2468"/>
      <c r="AS48" s="2620" t="e">
        <f t="shared" si="9"/>
        <v>#VALUE!</v>
      </c>
      <c r="AT48" s="2620" t="e">
        <f t="shared" si="10"/>
        <v>#VALUE!</v>
      </c>
      <c r="AU48" s="2620" t="e">
        <f t="shared" si="11"/>
        <v>#VALUE!</v>
      </c>
      <c r="AV48" s="2620"/>
      <c r="AW48" s="2620" t="e">
        <f t="shared" si="12"/>
        <v>#VALUE!</v>
      </c>
      <c r="AX48" s="2620" t="e">
        <f t="shared" si="13"/>
        <v>#VALUE!</v>
      </c>
      <c r="AY48" s="2620" t="e">
        <f t="shared" si="14"/>
        <v>#VALUE!</v>
      </c>
      <c r="AZ48" s="2620"/>
      <c r="BA48" s="2620" t="e">
        <f t="shared" si="15"/>
        <v>#VALUE!</v>
      </c>
      <c r="BB48" s="2620" t="e">
        <f t="shared" si="16"/>
        <v>#VALUE!</v>
      </c>
      <c r="BC48" s="2620" t="e">
        <f t="shared" si="17"/>
        <v>#VALUE!</v>
      </c>
    </row>
    <row r="49" spans="1:55" s="2459" customFormat="1" ht="19.5" customHeight="1">
      <c r="A49" s="1706">
        <f t="shared" si="0"/>
        <v>0</v>
      </c>
      <c r="B49" s="6301" t="str">
        <f t="shared" si="2"/>
        <v/>
      </c>
      <c r="C49" s="6302"/>
      <c r="D49" s="6302"/>
      <c r="E49" s="6302"/>
      <c r="F49" s="6302"/>
      <c r="G49" s="6302"/>
      <c r="H49" s="6302"/>
      <c r="I49" s="6303"/>
      <c r="J49" s="6304" t="str">
        <f t="shared" si="3"/>
        <v/>
      </c>
      <c r="K49" s="6305"/>
      <c r="L49" s="6305"/>
      <c r="M49" s="6304" t="str">
        <f t="shared" si="4"/>
        <v/>
      </c>
      <c r="N49" s="6305"/>
      <c r="O49" s="6305"/>
      <c r="P49" s="6306"/>
      <c r="Q49" s="4641" t="str">
        <f t="shared" si="5"/>
        <v/>
      </c>
      <c r="R49" s="6307"/>
      <c r="S49" s="6307"/>
      <c r="T49" s="6308"/>
      <c r="U49" s="4641" t="str">
        <f t="shared" si="6"/>
        <v/>
      </c>
      <c r="V49" s="6307"/>
      <c r="W49" s="6307"/>
      <c r="X49" s="6308"/>
      <c r="Y49" s="6300" t="str">
        <f t="shared" si="18"/>
        <v/>
      </c>
      <c r="Z49" s="4756"/>
      <c r="AA49" s="6300" t="str">
        <f t="shared" si="19"/>
        <v/>
      </c>
      <c r="AB49" s="4756"/>
      <c r="AC49" s="6309" t="str">
        <f t="shared" si="7"/>
        <v/>
      </c>
      <c r="AD49" s="6310"/>
      <c r="AE49" s="6310"/>
      <c r="AF49" s="6310"/>
      <c r="AG49" s="2631">
        <f t="shared" si="8"/>
        <v>0</v>
      </c>
      <c r="AH49" s="1644"/>
      <c r="AI49" s="1644" t="e">
        <f t="shared" si="1"/>
        <v>#VALUE!</v>
      </c>
      <c r="AJ49" s="2467"/>
      <c r="AK49" s="2471"/>
      <c r="AL49" s="2471"/>
      <c r="AM49" s="2469"/>
      <c r="AN49" s="2469"/>
      <c r="AO49" s="2470"/>
      <c r="AP49" s="2469"/>
      <c r="AQ49" s="2468"/>
      <c r="AS49" s="2620" t="e">
        <f t="shared" si="9"/>
        <v>#VALUE!</v>
      </c>
      <c r="AT49" s="2620" t="e">
        <f t="shared" si="10"/>
        <v>#VALUE!</v>
      </c>
      <c r="AU49" s="2620" t="e">
        <f t="shared" si="11"/>
        <v>#VALUE!</v>
      </c>
      <c r="AV49" s="2620"/>
      <c r="AW49" s="2620" t="e">
        <f t="shared" si="12"/>
        <v>#VALUE!</v>
      </c>
      <c r="AX49" s="2620" t="e">
        <f t="shared" si="13"/>
        <v>#VALUE!</v>
      </c>
      <c r="AY49" s="2620" t="e">
        <f t="shared" si="14"/>
        <v>#VALUE!</v>
      </c>
      <c r="AZ49" s="2620"/>
      <c r="BA49" s="2620" t="e">
        <f t="shared" si="15"/>
        <v>#VALUE!</v>
      </c>
      <c r="BB49" s="2620" t="e">
        <f t="shared" si="16"/>
        <v>#VALUE!</v>
      </c>
      <c r="BC49" s="2620" t="e">
        <f t="shared" si="17"/>
        <v>#VALUE!</v>
      </c>
    </row>
    <row r="50" spans="1:55" s="2459" customFormat="1" ht="19.5" customHeight="1">
      <c r="A50" s="1706">
        <f t="shared" si="0"/>
        <v>0</v>
      </c>
      <c r="B50" s="6301" t="str">
        <f t="shared" si="2"/>
        <v/>
      </c>
      <c r="C50" s="6302"/>
      <c r="D50" s="6302"/>
      <c r="E50" s="6302"/>
      <c r="F50" s="6302"/>
      <c r="G50" s="6302"/>
      <c r="H50" s="6302"/>
      <c r="I50" s="6303"/>
      <c r="J50" s="6304" t="str">
        <f t="shared" si="3"/>
        <v/>
      </c>
      <c r="K50" s="6305"/>
      <c r="L50" s="6305"/>
      <c r="M50" s="6304" t="str">
        <f t="shared" si="4"/>
        <v/>
      </c>
      <c r="N50" s="6305"/>
      <c r="O50" s="6305"/>
      <c r="P50" s="6306"/>
      <c r="Q50" s="4641" t="str">
        <f t="shared" si="5"/>
        <v/>
      </c>
      <c r="R50" s="6307"/>
      <c r="S50" s="6307"/>
      <c r="T50" s="6308"/>
      <c r="U50" s="4641" t="str">
        <f t="shared" si="6"/>
        <v/>
      </c>
      <c r="V50" s="6307"/>
      <c r="W50" s="6307"/>
      <c r="X50" s="6308"/>
      <c r="Y50" s="6300" t="str">
        <f t="shared" si="18"/>
        <v/>
      </c>
      <c r="Z50" s="4756"/>
      <c r="AA50" s="6300" t="str">
        <f t="shared" si="19"/>
        <v/>
      </c>
      <c r="AB50" s="4756"/>
      <c r="AC50" s="6309" t="str">
        <f t="shared" si="7"/>
        <v/>
      </c>
      <c r="AD50" s="6310"/>
      <c r="AE50" s="6310"/>
      <c r="AF50" s="6310"/>
      <c r="AG50" s="2631">
        <f t="shared" si="8"/>
        <v>0</v>
      </c>
      <c r="AH50" s="1644"/>
      <c r="AI50" s="1644" t="e">
        <f t="shared" si="1"/>
        <v>#VALUE!</v>
      </c>
      <c r="AJ50" s="2467"/>
      <c r="AK50" s="2471"/>
      <c r="AL50" s="2471"/>
      <c r="AM50" s="2469"/>
      <c r="AN50" s="2469"/>
      <c r="AO50" s="2470"/>
      <c r="AP50" s="2469"/>
      <c r="AQ50" s="2468"/>
      <c r="AS50" s="2620" t="e">
        <f t="shared" si="9"/>
        <v>#VALUE!</v>
      </c>
      <c r="AT50" s="2620" t="e">
        <f t="shared" si="10"/>
        <v>#VALUE!</v>
      </c>
      <c r="AU50" s="2620" t="e">
        <f t="shared" si="11"/>
        <v>#VALUE!</v>
      </c>
      <c r="AV50" s="2620"/>
      <c r="AW50" s="2620" t="e">
        <f t="shared" si="12"/>
        <v>#VALUE!</v>
      </c>
      <c r="AX50" s="2620" t="e">
        <f t="shared" si="13"/>
        <v>#VALUE!</v>
      </c>
      <c r="AY50" s="2620" t="e">
        <f t="shared" si="14"/>
        <v>#VALUE!</v>
      </c>
      <c r="AZ50" s="2620"/>
      <c r="BA50" s="2620" t="e">
        <f t="shared" si="15"/>
        <v>#VALUE!</v>
      </c>
      <c r="BB50" s="2620" t="e">
        <f t="shared" si="16"/>
        <v>#VALUE!</v>
      </c>
      <c r="BC50" s="2620" t="e">
        <f t="shared" si="17"/>
        <v>#VALUE!</v>
      </c>
    </row>
    <row r="51" spans="1:55" s="2459" customFormat="1" ht="19.5" customHeight="1">
      <c r="A51" s="1706">
        <f t="shared" si="0"/>
        <v>0</v>
      </c>
      <c r="B51" s="6301" t="str">
        <f t="shared" si="2"/>
        <v/>
      </c>
      <c r="C51" s="6302"/>
      <c r="D51" s="6302"/>
      <c r="E51" s="6302"/>
      <c r="F51" s="6302"/>
      <c r="G51" s="6302"/>
      <c r="H51" s="6302"/>
      <c r="I51" s="6303"/>
      <c r="J51" s="6304" t="str">
        <f t="shared" si="3"/>
        <v/>
      </c>
      <c r="K51" s="6305"/>
      <c r="L51" s="6305"/>
      <c r="M51" s="6304" t="str">
        <f t="shared" si="4"/>
        <v/>
      </c>
      <c r="N51" s="6305"/>
      <c r="O51" s="6305"/>
      <c r="P51" s="6306"/>
      <c r="Q51" s="4641" t="str">
        <f t="shared" si="5"/>
        <v/>
      </c>
      <c r="R51" s="6307"/>
      <c r="S51" s="6307"/>
      <c r="T51" s="6308"/>
      <c r="U51" s="4641" t="str">
        <f t="shared" si="6"/>
        <v/>
      </c>
      <c r="V51" s="6307"/>
      <c r="W51" s="6307"/>
      <c r="X51" s="6308"/>
      <c r="Y51" s="6300" t="str">
        <f t="shared" si="18"/>
        <v/>
      </c>
      <c r="Z51" s="4756"/>
      <c r="AA51" s="6300" t="str">
        <f t="shared" si="19"/>
        <v/>
      </c>
      <c r="AB51" s="4756"/>
      <c r="AC51" s="6309" t="str">
        <f t="shared" si="7"/>
        <v/>
      </c>
      <c r="AD51" s="6310"/>
      <c r="AE51" s="6310"/>
      <c r="AF51" s="6310"/>
      <c r="AG51" s="2631">
        <f t="shared" si="8"/>
        <v>0</v>
      </c>
      <c r="AH51" s="1644"/>
      <c r="AI51" s="1644" t="e">
        <f t="shared" si="1"/>
        <v>#VALUE!</v>
      </c>
      <c r="AJ51" s="2467"/>
      <c r="AK51" s="2471"/>
      <c r="AL51" s="2471"/>
      <c r="AM51" s="2469"/>
      <c r="AN51" s="2469"/>
      <c r="AO51" s="2470"/>
      <c r="AP51" s="2469"/>
      <c r="AQ51" s="2468"/>
      <c r="AS51" s="2620" t="e">
        <f t="shared" si="9"/>
        <v>#VALUE!</v>
      </c>
      <c r="AT51" s="2620" t="e">
        <f t="shared" si="10"/>
        <v>#VALUE!</v>
      </c>
      <c r="AU51" s="2620" t="e">
        <f t="shared" si="11"/>
        <v>#VALUE!</v>
      </c>
      <c r="AV51" s="2620"/>
      <c r="AW51" s="2620" t="e">
        <f t="shared" si="12"/>
        <v>#VALUE!</v>
      </c>
      <c r="AX51" s="2620" t="e">
        <f t="shared" si="13"/>
        <v>#VALUE!</v>
      </c>
      <c r="AY51" s="2620" t="e">
        <f t="shared" si="14"/>
        <v>#VALUE!</v>
      </c>
      <c r="AZ51" s="2620"/>
      <c r="BA51" s="2620" t="e">
        <f t="shared" si="15"/>
        <v>#VALUE!</v>
      </c>
      <c r="BB51" s="2620" t="e">
        <f t="shared" si="16"/>
        <v>#VALUE!</v>
      </c>
      <c r="BC51" s="2620" t="e">
        <f t="shared" si="17"/>
        <v>#VALUE!</v>
      </c>
    </row>
    <row r="52" spans="1:55" s="2459" customFormat="1" ht="19.5" customHeight="1">
      <c r="A52" s="1706">
        <f t="shared" si="0"/>
        <v>0</v>
      </c>
      <c r="B52" s="6301" t="str">
        <f t="shared" si="2"/>
        <v/>
      </c>
      <c r="C52" s="6302"/>
      <c r="D52" s="6302"/>
      <c r="E52" s="6302"/>
      <c r="F52" s="6302"/>
      <c r="G52" s="6302"/>
      <c r="H52" s="6302"/>
      <c r="I52" s="6303"/>
      <c r="J52" s="6304" t="str">
        <f t="shared" si="3"/>
        <v/>
      </c>
      <c r="K52" s="6305"/>
      <c r="L52" s="6305"/>
      <c r="M52" s="6304" t="str">
        <f t="shared" si="4"/>
        <v/>
      </c>
      <c r="N52" s="6305"/>
      <c r="O52" s="6305"/>
      <c r="P52" s="6306"/>
      <c r="Q52" s="4641" t="str">
        <f t="shared" si="5"/>
        <v/>
      </c>
      <c r="R52" s="6307"/>
      <c r="S52" s="6307"/>
      <c r="T52" s="6308"/>
      <c r="U52" s="4641" t="str">
        <f t="shared" si="6"/>
        <v/>
      </c>
      <c r="V52" s="6307"/>
      <c r="W52" s="6307"/>
      <c r="X52" s="6308"/>
      <c r="Y52" s="6300" t="str">
        <f t="shared" si="18"/>
        <v/>
      </c>
      <c r="Z52" s="4756"/>
      <c r="AA52" s="6300" t="str">
        <f t="shared" si="19"/>
        <v/>
      </c>
      <c r="AB52" s="4756"/>
      <c r="AC52" s="6309" t="str">
        <f t="shared" si="7"/>
        <v/>
      </c>
      <c r="AD52" s="6310"/>
      <c r="AE52" s="6310"/>
      <c r="AF52" s="6310"/>
      <c r="AG52" s="2631">
        <f t="shared" si="8"/>
        <v>0</v>
      </c>
      <c r="AH52" s="1644"/>
      <c r="AI52" s="1644" t="e">
        <f t="shared" si="1"/>
        <v>#VALUE!</v>
      </c>
      <c r="AJ52" s="2467"/>
      <c r="AK52" s="2471"/>
      <c r="AL52" s="2471"/>
      <c r="AM52" s="2469"/>
      <c r="AN52" s="2469"/>
      <c r="AO52" s="2470"/>
      <c r="AP52" s="2469"/>
      <c r="AQ52" s="2468"/>
      <c r="AS52" s="2620" t="e">
        <f t="shared" si="9"/>
        <v>#VALUE!</v>
      </c>
      <c r="AT52" s="2620" t="e">
        <f t="shared" si="10"/>
        <v>#VALUE!</v>
      </c>
      <c r="AU52" s="2620" t="e">
        <f t="shared" si="11"/>
        <v>#VALUE!</v>
      </c>
      <c r="AV52" s="2620"/>
      <c r="AW52" s="2620" t="e">
        <f t="shared" si="12"/>
        <v>#VALUE!</v>
      </c>
      <c r="AX52" s="2620" t="e">
        <f t="shared" si="13"/>
        <v>#VALUE!</v>
      </c>
      <c r="AY52" s="2620" t="e">
        <f t="shared" si="14"/>
        <v>#VALUE!</v>
      </c>
      <c r="AZ52" s="2620"/>
      <c r="BA52" s="2620" t="e">
        <f t="shared" si="15"/>
        <v>#VALUE!</v>
      </c>
      <c r="BB52" s="2620" t="e">
        <f t="shared" si="16"/>
        <v>#VALUE!</v>
      </c>
      <c r="BC52" s="2620" t="e">
        <f t="shared" si="17"/>
        <v>#VALUE!</v>
      </c>
    </row>
    <row r="53" spans="1:55" s="2459" customFormat="1" ht="19.5" customHeight="1">
      <c r="A53" s="1706">
        <f t="shared" si="0"/>
        <v>0</v>
      </c>
      <c r="B53" s="6301" t="str">
        <f t="shared" si="2"/>
        <v/>
      </c>
      <c r="C53" s="6302"/>
      <c r="D53" s="6302"/>
      <c r="E53" s="6302"/>
      <c r="F53" s="6302"/>
      <c r="G53" s="6302"/>
      <c r="H53" s="6302"/>
      <c r="I53" s="6303"/>
      <c r="J53" s="6304" t="str">
        <f t="shared" si="3"/>
        <v/>
      </c>
      <c r="K53" s="6305"/>
      <c r="L53" s="6305"/>
      <c r="M53" s="6304" t="str">
        <f t="shared" si="4"/>
        <v/>
      </c>
      <c r="N53" s="6305"/>
      <c r="O53" s="6305"/>
      <c r="P53" s="6306"/>
      <c r="Q53" s="4641" t="str">
        <f t="shared" si="5"/>
        <v/>
      </c>
      <c r="R53" s="6307"/>
      <c r="S53" s="6307"/>
      <c r="T53" s="6308"/>
      <c r="U53" s="4641" t="str">
        <f t="shared" si="6"/>
        <v/>
      </c>
      <c r="V53" s="6307"/>
      <c r="W53" s="6307"/>
      <c r="X53" s="6308"/>
      <c r="Y53" s="6300" t="str">
        <f t="shared" si="18"/>
        <v/>
      </c>
      <c r="Z53" s="4756"/>
      <c r="AA53" s="6300" t="str">
        <f t="shared" si="19"/>
        <v/>
      </c>
      <c r="AB53" s="4756"/>
      <c r="AC53" s="6309" t="str">
        <f t="shared" si="7"/>
        <v/>
      </c>
      <c r="AD53" s="6310"/>
      <c r="AE53" s="6310"/>
      <c r="AF53" s="6310"/>
      <c r="AG53" s="2631">
        <f t="shared" si="8"/>
        <v>0</v>
      </c>
      <c r="AH53" s="1644"/>
      <c r="AI53" s="1644" t="e">
        <f t="shared" si="1"/>
        <v>#VALUE!</v>
      </c>
      <c r="AJ53" s="2467"/>
      <c r="AK53" s="2471"/>
      <c r="AL53" s="2471"/>
      <c r="AM53" s="2469"/>
      <c r="AN53" s="2469"/>
      <c r="AO53" s="2470"/>
      <c r="AP53" s="2469"/>
      <c r="AQ53" s="2468"/>
      <c r="AS53" s="2620" t="e">
        <f t="shared" si="9"/>
        <v>#VALUE!</v>
      </c>
      <c r="AT53" s="2620" t="e">
        <f t="shared" si="10"/>
        <v>#VALUE!</v>
      </c>
      <c r="AU53" s="2620" t="e">
        <f t="shared" si="11"/>
        <v>#VALUE!</v>
      </c>
      <c r="AV53" s="2620"/>
      <c r="AW53" s="2620" t="e">
        <f t="shared" si="12"/>
        <v>#VALUE!</v>
      </c>
      <c r="AX53" s="2620" t="e">
        <f t="shared" si="13"/>
        <v>#VALUE!</v>
      </c>
      <c r="AY53" s="2620" t="e">
        <f t="shared" si="14"/>
        <v>#VALUE!</v>
      </c>
      <c r="AZ53" s="2620"/>
      <c r="BA53" s="2620" t="e">
        <f t="shared" si="15"/>
        <v>#VALUE!</v>
      </c>
      <c r="BB53" s="2620" t="e">
        <f t="shared" si="16"/>
        <v>#VALUE!</v>
      </c>
      <c r="BC53" s="2620" t="e">
        <f t="shared" si="17"/>
        <v>#VALUE!</v>
      </c>
    </row>
    <row r="54" spans="1:55" s="2459" customFormat="1" ht="19.5" customHeight="1">
      <c r="A54" s="1706">
        <f t="shared" si="0"/>
        <v>0</v>
      </c>
      <c r="B54" s="6301" t="str">
        <f t="shared" si="2"/>
        <v/>
      </c>
      <c r="C54" s="6302"/>
      <c r="D54" s="6302"/>
      <c r="E54" s="6302"/>
      <c r="F54" s="6302"/>
      <c r="G54" s="6302"/>
      <c r="H54" s="6302"/>
      <c r="I54" s="6303"/>
      <c r="J54" s="6304" t="str">
        <f t="shared" si="3"/>
        <v/>
      </c>
      <c r="K54" s="6305"/>
      <c r="L54" s="6305"/>
      <c r="M54" s="6304" t="str">
        <f t="shared" si="4"/>
        <v/>
      </c>
      <c r="N54" s="6305"/>
      <c r="O54" s="6305"/>
      <c r="P54" s="6306"/>
      <c r="Q54" s="4641" t="str">
        <f t="shared" si="5"/>
        <v/>
      </c>
      <c r="R54" s="6307"/>
      <c r="S54" s="6307"/>
      <c r="T54" s="6308"/>
      <c r="U54" s="4641" t="str">
        <f t="shared" si="6"/>
        <v/>
      </c>
      <c r="V54" s="6307"/>
      <c r="W54" s="6307"/>
      <c r="X54" s="6308"/>
      <c r="Y54" s="6300" t="str">
        <f t="shared" si="18"/>
        <v/>
      </c>
      <c r="Z54" s="4756"/>
      <c r="AA54" s="6300" t="str">
        <f t="shared" si="19"/>
        <v/>
      </c>
      <c r="AB54" s="4756"/>
      <c r="AC54" s="6309" t="str">
        <f t="shared" si="7"/>
        <v/>
      </c>
      <c r="AD54" s="6310"/>
      <c r="AE54" s="6310"/>
      <c r="AF54" s="6310"/>
      <c r="AG54" s="2631">
        <f t="shared" si="8"/>
        <v>0</v>
      </c>
      <c r="AH54" s="1644"/>
      <c r="AI54" s="1644" t="e">
        <f t="shared" si="1"/>
        <v>#VALUE!</v>
      </c>
      <c r="AJ54" s="2467"/>
      <c r="AK54" s="2471"/>
      <c r="AL54" s="2471"/>
      <c r="AM54" s="2469"/>
      <c r="AN54" s="2469"/>
      <c r="AO54" s="2470"/>
      <c r="AP54" s="2469"/>
      <c r="AQ54" s="2468"/>
      <c r="AS54" s="2620" t="e">
        <f t="shared" si="9"/>
        <v>#VALUE!</v>
      </c>
      <c r="AT54" s="2620" t="e">
        <f t="shared" si="10"/>
        <v>#VALUE!</v>
      </c>
      <c r="AU54" s="2620" t="e">
        <f t="shared" si="11"/>
        <v>#VALUE!</v>
      </c>
      <c r="AV54" s="2620"/>
      <c r="AW54" s="2620" t="e">
        <f t="shared" si="12"/>
        <v>#VALUE!</v>
      </c>
      <c r="AX54" s="2620" t="e">
        <f t="shared" si="13"/>
        <v>#VALUE!</v>
      </c>
      <c r="AY54" s="2620" t="e">
        <f t="shared" si="14"/>
        <v>#VALUE!</v>
      </c>
      <c r="AZ54" s="2620"/>
      <c r="BA54" s="2620" t="e">
        <f t="shared" si="15"/>
        <v>#VALUE!</v>
      </c>
      <c r="BB54" s="2620" t="e">
        <f t="shared" si="16"/>
        <v>#VALUE!</v>
      </c>
      <c r="BC54" s="2620" t="e">
        <f t="shared" si="17"/>
        <v>#VALUE!</v>
      </c>
    </row>
    <row r="55" spans="1:55" ht="11.25" customHeight="1">
      <c r="A55" s="1706">
        <f>SUM(A35:A54)</f>
        <v>0</v>
      </c>
      <c r="B55" s="6369">
        <v>2</v>
      </c>
      <c r="C55" s="6347" t="s">
        <v>1448</v>
      </c>
      <c r="D55" s="6348"/>
      <c r="E55" s="6348"/>
      <c r="F55" s="6348"/>
      <c r="G55" s="6348"/>
      <c r="H55" s="6348"/>
      <c r="I55" s="6348"/>
      <c r="J55" s="6348"/>
      <c r="K55" s="6348"/>
      <c r="L55" s="6348"/>
      <c r="M55" s="6348"/>
      <c r="N55" s="6348"/>
      <c r="O55" s="6348"/>
      <c r="P55" s="6348"/>
      <c r="Q55" s="6351" t="str">
        <f>IF(A55=0,"",ROUND(SUM(Q35:Q54),0))</f>
        <v/>
      </c>
      <c r="R55" s="6352"/>
      <c r="S55" s="6352"/>
      <c r="T55" s="6353"/>
      <c r="U55" s="6351" t="str">
        <f>IF(A55=0,"",ROUND(SUM(U35:U54),0))</f>
        <v/>
      </c>
      <c r="V55" s="6361"/>
      <c r="W55" s="6361"/>
      <c r="X55" s="6364"/>
      <c r="Y55" s="6371"/>
      <c r="Z55" s="6372"/>
      <c r="AA55" s="6351" t="str">
        <f>IF(A55=0,"",ROUND(SUM(AA35:AA54),0))</f>
        <v/>
      </c>
      <c r="AB55" s="6353"/>
      <c r="AC55" s="6351" t="str">
        <f>IF(A55=0,"",ROUND(SUM(AC35:AC54),0))</f>
        <v/>
      </c>
      <c r="AD55" s="6361"/>
      <c r="AE55" s="6361"/>
      <c r="AF55" s="6361"/>
      <c r="AG55" s="1706"/>
    </row>
    <row r="56" spans="1:55" ht="11.25" customHeight="1">
      <c r="A56" s="1706"/>
      <c r="B56" s="6370"/>
      <c r="C56" s="6349"/>
      <c r="D56" s="6349"/>
      <c r="E56" s="6349"/>
      <c r="F56" s="6349"/>
      <c r="G56" s="6349"/>
      <c r="H56" s="6349"/>
      <c r="I56" s="6349"/>
      <c r="J56" s="6349"/>
      <c r="K56" s="6349"/>
      <c r="L56" s="6349"/>
      <c r="M56" s="6349"/>
      <c r="N56" s="6349"/>
      <c r="O56" s="6349"/>
      <c r="P56" s="6349"/>
      <c r="Q56" s="6354"/>
      <c r="R56" s="6355"/>
      <c r="S56" s="6355"/>
      <c r="T56" s="6356"/>
      <c r="U56" s="6362"/>
      <c r="V56" s="6363"/>
      <c r="W56" s="6363"/>
      <c r="X56" s="6365"/>
      <c r="Y56" s="6373"/>
      <c r="Z56" s="6374"/>
      <c r="AA56" s="6354"/>
      <c r="AB56" s="6356"/>
      <c r="AC56" s="6362"/>
      <c r="AD56" s="6363"/>
      <c r="AE56" s="6363"/>
      <c r="AF56" s="6363"/>
      <c r="AG56" s="1706"/>
    </row>
    <row r="57" spans="1:55" ht="11.25" customHeight="1">
      <c r="A57" s="1706"/>
      <c r="B57" s="6370"/>
      <c r="C57" s="6349"/>
      <c r="D57" s="6349"/>
      <c r="E57" s="6349"/>
      <c r="F57" s="6349"/>
      <c r="G57" s="6349"/>
      <c r="H57" s="6349"/>
      <c r="I57" s="6349"/>
      <c r="J57" s="6349"/>
      <c r="K57" s="6349"/>
      <c r="L57" s="6349"/>
      <c r="M57" s="6349"/>
      <c r="N57" s="6349"/>
      <c r="O57" s="6349"/>
      <c r="P57" s="6349"/>
      <c r="Q57" s="6354"/>
      <c r="R57" s="6355"/>
      <c r="S57" s="6355"/>
      <c r="T57" s="6356"/>
      <c r="U57" s="6362"/>
      <c r="V57" s="6363"/>
      <c r="W57" s="6363"/>
      <c r="X57" s="6365"/>
      <c r="Y57" s="6373"/>
      <c r="Z57" s="6374"/>
      <c r="AA57" s="6354"/>
      <c r="AB57" s="6356"/>
      <c r="AC57" s="6362"/>
      <c r="AD57" s="6363"/>
      <c r="AE57" s="6363"/>
      <c r="AF57" s="6363"/>
      <c r="AG57" s="1706"/>
    </row>
    <row r="58" spans="1:55" ht="11.25" customHeight="1">
      <c r="A58" s="1706"/>
      <c r="B58" s="6370"/>
      <c r="C58" s="6349"/>
      <c r="D58" s="6349"/>
      <c r="E58" s="6349"/>
      <c r="F58" s="6349"/>
      <c r="G58" s="6349"/>
      <c r="H58" s="6349"/>
      <c r="I58" s="6349"/>
      <c r="J58" s="6349"/>
      <c r="K58" s="6349"/>
      <c r="L58" s="6349"/>
      <c r="M58" s="6349"/>
      <c r="N58" s="6349"/>
      <c r="O58" s="6349"/>
      <c r="P58" s="6349"/>
      <c r="Q58" s="6354"/>
      <c r="R58" s="6355"/>
      <c r="S58" s="6355"/>
      <c r="T58" s="6356"/>
      <c r="U58" s="6362"/>
      <c r="V58" s="6363"/>
      <c r="W58" s="6363"/>
      <c r="X58" s="6365"/>
      <c r="Y58" s="6373"/>
      <c r="Z58" s="6374"/>
      <c r="AA58" s="6354"/>
      <c r="AB58" s="6356"/>
      <c r="AC58" s="6362"/>
      <c r="AD58" s="6363"/>
      <c r="AE58" s="6363"/>
      <c r="AF58" s="6363"/>
      <c r="AG58" s="1706"/>
    </row>
    <row r="59" spans="1:55" ht="9" customHeight="1" thickBot="1">
      <c r="A59" s="1706"/>
      <c r="B59" s="6370"/>
      <c r="C59" s="6350"/>
      <c r="D59" s="6350"/>
      <c r="E59" s="6350"/>
      <c r="F59" s="6350"/>
      <c r="G59" s="6350"/>
      <c r="H59" s="6350"/>
      <c r="I59" s="6350"/>
      <c r="J59" s="6350"/>
      <c r="K59" s="6350"/>
      <c r="L59" s="6350"/>
      <c r="M59" s="6350"/>
      <c r="N59" s="6350"/>
      <c r="O59" s="6350"/>
      <c r="P59" s="6350"/>
      <c r="Q59" s="6354"/>
      <c r="R59" s="6355"/>
      <c r="S59" s="6355"/>
      <c r="T59" s="6356"/>
      <c r="U59" s="6366"/>
      <c r="V59" s="6367"/>
      <c r="W59" s="6367"/>
      <c r="X59" s="6368"/>
      <c r="Y59" s="6375"/>
      <c r="Z59" s="6376"/>
      <c r="AA59" s="6377"/>
      <c r="AB59" s="6378"/>
      <c r="AC59" s="6362"/>
      <c r="AD59" s="6363"/>
      <c r="AE59" s="6363"/>
      <c r="AF59" s="6363"/>
      <c r="AG59" s="1706"/>
    </row>
    <row r="60" spans="1:55" ht="25.5" customHeight="1" thickBot="1">
      <c r="A60" s="1706"/>
      <c r="B60" s="6316" t="s">
        <v>1457</v>
      </c>
      <c r="C60" s="6317"/>
      <c r="D60" s="6317"/>
      <c r="E60" s="6317"/>
      <c r="F60" s="6317"/>
      <c r="G60" s="6317"/>
      <c r="H60" s="6317"/>
      <c r="I60" s="6317"/>
      <c r="J60" s="6317"/>
      <c r="K60" s="6317"/>
      <c r="L60" s="6317"/>
      <c r="M60" s="6317"/>
      <c r="N60" s="6317"/>
      <c r="O60" s="6317"/>
      <c r="P60" s="6317"/>
      <c r="Q60" s="6317"/>
      <c r="R60" s="6317"/>
      <c r="S60" s="6317"/>
      <c r="T60" s="6317"/>
      <c r="U60" s="6318"/>
      <c r="V60" s="6318"/>
      <c r="W60" s="6318"/>
      <c r="X60" s="6318"/>
      <c r="Y60" s="6317"/>
      <c r="Z60" s="6317"/>
      <c r="AA60" s="6317"/>
      <c r="AB60" s="6317"/>
      <c r="AC60" s="6317"/>
      <c r="AD60" s="6317"/>
      <c r="AE60" s="6317"/>
      <c r="AF60" s="6317"/>
      <c r="AG60" s="1706"/>
      <c r="AJ60" s="1473"/>
    </row>
    <row r="61" spans="1:55" ht="16.5" thickTop="1">
      <c r="A61" s="1706"/>
      <c r="B61" s="1657" t="s">
        <v>779</v>
      </c>
      <c r="C61" s="35"/>
      <c r="D61" s="35"/>
      <c r="E61" s="35"/>
      <c r="F61" s="35"/>
      <c r="G61" s="35"/>
      <c r="H61" s="35"/>
      <c r="I61" s="35"/>
      <c r="J61" s="35"/>
      <c r="K61" s="35"/>
      <c r="L61" s="35"/>
      <c r="M61" s="35"/>
      <c r="N61" s="35"/>
      <c r="O61" s="35"/>
      <c r="P61" s="35"/>
      <c r="Q61" s="35"/>
      <c r="R61" s="35"/>
      <c r="S61" s="35"/>
      <c r="T61" s="35"/>
      <c r="U61" s="1432" t="s">
        <v>1107</v>
      </c>
      <c r="V61" s="35"/>
      <c r="W61" s="35"/>
      <c r="X61" s="35"/>
      <c r="Y61" s="35"/>
      <c r="Z61" s="35"/>
      <c r="AA61" s="35"/>
      <c r="AB61" s="35"/>
      <c r="AC61" s="35"/>
      <c r="AD61" s="1656" t="s">
        <v>1154</v>
      </c>
      <c r="AE61" s="35"/>
      <c r="AF61" s="1656" t="str">
        <f>"("&amp;TaxYear&amp;")"</f>
        <v>(2016)</v>
      </c>
      <c r="AG61" s="1706"/>
    </row>
    <row r="62" spans="1:55" ht="15.75">
      <c r="A62" s="1706"/>
      <c r="B62" s="48" t="str">
        <f>"Form 8949 ("&amp;TaxYear&amp;")"</f>
        <v>Form 8949 (2016)</v>
      </c>
      <c r="C62" s="63"/>
      <c r="D62" s="63"/>
      <c r="E62" s="63"/>
      <c r="F62" s="63"/>
      <c r="G62" s="63"/>
      <c r="H62" s="63"/>
      <c r="I62" s="63"/>
      <c r="J62" s="63"/>
      <c r="K62" s="63"/>
      <c r="L62" s="63"/>
      <c r="M62" s="63"/>
      <c r="N62" s="63"/>
      <c r="O62" s="63"/>
      <c r="P62" s="63"/>
      <c r="Q62" s="63"/>
      <c r="R62" s="63"/>
      <c r="S62" s="63"/>
      <c r="T62" s="63"/>
      <c r="U62" s="63"/>
      <c r="V62" s="48" t="s">
        <v>1109</v>
      </c>
      <c r="W62" s="63"/>
      <c r="X62" s="63"/>
      <c r="Y62" s="63"/>
      <c r="Z62" s="63"/>
      <c r="AA62" s="63"/>
      <c r="AB62" s="63"/>
      <c r="AC62" s="63"/>
      <c r="AD62" s="63"/>
      <c r="AE62" s="63"/>
      <c r="AF62" s="1648" t="s">
        <v>1108</v>
      </c>
      <c r="AG62" s="1706"/>
    </row>
    <row r="63" spans="1:55">
      <c r="A63" s="1706"/>
      <c r="B63" s="56" t="s">
        <v>98</v>
      </c>
      <c r="C63" s="35"/>
      <c r="D63" s="35"/>
      <c r="E63" s="35"/>
      <c r="F63" s="35"/>
      <c r="G63" s="35"/>
      <c r="H63" s="35"/>
      <c r="I63" s="35"/>
      <c r="J63" s="35"/>
      <c r="K63" s="35"/>
      <c r="L63" s="35"/>
      <c r="M63" s="35"/>
      <c r="N63" s="35"/>
      <c r="O63" s="35"/>
      <c r="P63" s="35"/>
      <c r="Q63" s="35"/>
      <c r="R63" s="35"/>
      <c r="S63" s="35"/>
      <c r="T63" s="35"/>
      <c r="U63" s="35"/>
      <c r="V63" s="2466" t="s">
        <v>1458</v>
      </c>
      <c r="W63" s="35"/>
      <c r="X63" s="35"/>
      <c r="Y63" s="35"/>
      <c r="Z63" s="50"/>
      <c r="AA63" s="35"/>
      <c r="AB63" s="35"/>
      <c r="AC63" s="35"/>
      <c r="AD63" s="35"/>
      <c r="AE63" s="35"/>
      <c r="AF63" s="35"/>
      <c r="AG63" s="1706"/>
    </row>
    <row r="64" spans="1:55" ht="16.5" thickBot="1">
      <c r="A64" s="1706"/>
      <c r="B64" s="6342" t="str">
        <f>Names</f>
        <v/>
      </c>
      <c r="C64" s="6343"/>
      <c r="D64" s="6343"/>
      <c r="E64" s="6343"/>
      <c r="F64" s="6343"/>
      <c r="G64" s="6343"/>
      <c r="H64" s="6343"/>
      <c r="I64" s="6343"/>
      <c r="J64" s="6343"/>
      <c r="K64" s="6343"/>
      <c r="L64" s="6343"/>
      <c r="M64" s="6343"/>
      <c r="N64" s="6343"/>
      <c r="O64" s="6343"/>
      <c r="P64" s="6343"/>
      <c r="Q64" s="6343"/>
      <c r="R64" s="6343"/>
      <c r="S64" s="6343"/>
      <c r="T64" s="6343"/>
      <c r="U64" s="6344"/>
      <c r="V64" s="6345">
        <f>SS_Yours</f>
        <v>0</v>
      </c>
      <c r="W64" s="6346"/>
      <c r="X64" s="6346"/>
      <c r="Y64" s="6346"/>
      <c r="Z64" s="6346"/>
      <c r="AA64" s="6346"/>
      <c r="AB64" s="6346"/>
      <c r="AC64" s="6346"/>
      <c r="AD64" s="6346"/>
      <c r="AE64" s="6346"/>
      <c r="AF64" s="6346"/>
      <c r="AG64" s="1706"/>
    </row>
    <row r="65" spans="1:55" ht="12.75" customHeight="1">
      <c r="A65" s="1706"/>
      <c r="B65" s="6415" t="s">
        <v>3013</v>
      </c>
      <c r="C65" s="6416"/>
      <c r="D65" s="6416"/>
      <c r="E65" s="6416"/>
      <c r="F65" s="6416"/>
      <c r="G65" s="6416"/>
      <c r="H65" s="6416"/>
      <c r="I65" s="6416"/>
      <c r="J65" s="6416"/>
      <c r="K65" s="6416"/>
      <c r="L65" s="6416"/>
      <c r="M65" s="6416"/>
      <c r="N65" s="6416"/>
      <c r="O65" s="6416"/>
      <c r="P65" s="6416"/>
      <c r="Q65" s="6416"/>
      <c r="R65" s="6416"/>
      <c r="S65" s="6416"/>
      <c r="T65" s="6416"/>
      <c r="U65" s="6416"/>
      <c r="V65" s="6416"/>
      <c r="W65" s="6416"/>
      <c r="X65" s="6416"/>
      <c r="Y65" s="6416"/>
      <c r="Z65" s="6416"/>
      <c r="AA65" s="6416"/>
      <c r="AB65" s="6416"/>
      <c r="AC65" s="6416"/>
      <c r="AD65" s="6416"/>
      <c r="AE65" s="6416"/>
      <c r="AF65" s="6416"/>
      <c r="AG65" s="1706"/>
    </row>
    <row r="66" spans="1:55" ht="12.75" customHeight="1">
      <c r="A66" s="1706"/>
      <c r="B66" s="6417"/>
      <c r="C66" s="6417"/>
      <c r="D66" s="6417"/>
      <c r="E66" s="6417"/>
      <c r="F66" s="6417"/>
      <c r="G66" s="6417"/>
      <c r="H66" s="6417"/>
      <c r="I66" s="6417"/>
      <c r="J66" s="6417"/>
      <c r="K66" s="6417"/>
      <c r="L66" s="6417"/>
      <c r="M66" s="6417"/>
      <c r="N66" s="6417"/>
      <c r="O66" s="6417"/>
      <c r="P66" s="6417"/>
      <c r="Q66" s="6417"/>
      <c r="R66" s="6417"/>
      <c r="S66" s="6417"/>
      <c r="T66" s="6417"/>
      <c r="U66" s="6417"/>
      <c r="V66" s="6417"/>
      <c r="W66" s="6417"/>
      <c r="X66" s="6417"/>
      <c r="Y66" s="6417"/>
      <c r="Z66" s="6417"/>
      <c r="AA66" s="6417"/>
      <c r="AB66" s="6417"/>
      <c r="AC66" s="6417"/>
      <c r="AD66" s="6417"/>
      <c r="AE66" s="6417"/>
      <c r="AF66" s="6417"/>
      <c r="AG66" s="1706"/>
    </row>
    <row r="67" spans="1:55" ht="12.75" customHeight="1">
      <c r="A67" s="1706"/>
      <c r="B67" s="6418"/>
      <c r="C67" s="6418"/>
      <c r="D67" s="6418"/>
      <c r="E67" s="6418"/>
      <c r="F67" s="6418"/>
      <c r="G67" s="6418"/>
      <c r="H67" s="6418"/>
      <c r="I67" s="6418"/>
      <c r="J67" s="6418"/>
      <c r="K67" s="6418"/>
      <c r="L67" s="6418"/>
      <c r="M67" s="6418"/>
      <c r="N67" s="6418"/>
      <c r="O67" s="6418"/>
      <c r="P67" s="6418"/>
      <c r="Q67" s="6418"/>
      <c r="R67" s="6418"/>
      <c r="S67" s="6418"/>
      <c r="T67" s="6418"/>
      <c r="U67" s="6418"/>
      <c r="V67" s="6418"/>
      <c r="W67" s="6418"/>
      <c r="X67" s="6418"/>
      <c r="Y67" s="6418"/>
      <c r="Z67" s="6418"/>
      <c r="AA67" s="6418"/>
      <c r="AB67" s="6418"/>
      <c r="AC67" s="6418"/>
      <c r="AD67" s="6418"/>
      <c r="AE67" s="6418"/>
      <c r="AF67" s="6418"/>
      <c r="AG67" s="1706"/>
    </row>
    <row r="68" spans="1:55" ht="3.75" customHeight="1">
      <c r="A68" s="1706"/>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1706"/>
    </row>
    <row r="69" spans="1:55" ht="15">
      <c r="A69" s="1706"/>
      <c r="B69" s="6341" t="s">
        <v>194</v>
      </c>
      <c r="C69" s="4675"/>
      <c r="D69" s="35"/>
      <c r="E69" s="1642" t="s">
        <v>1437</v>
      </c>
      <c r="F69" s="35"/>
      <c r="G69" s="35"/>
      <c r="H69" s="35"/>
      <c r="I69" s="35"/>
      <c r="J69" s="35"/>
      <c r="K69" s="35"/>
      <c r="L69" s="35"/>
      <c r="M69" s="35"/>
      <c r="N69" s="35"/>
      <c r="O69" s="35"/>
      <c r="P69" s="1642"/>
      <c r="Q69" s="35"/>
      <c r="R69" s="35"/>
      <c r="S69" s="35"/>
      <c r="T69" s="580" t="s">
        <v>2056</v>
      </c>
      <c r="U69" s="35"/>
      <c r="V69" s="35"/>
      <c r="W69" s="35"/>
      <c r="X69" s="35"/>
      <c r="Y69" s="35" t="s">
        <v>1438</v>
      </c>
      <c r="Z69" s="35"/>
      <c r="AA69" s="35"/>
      <c r="AB69" s="35"/>
      <c r="AC69" s="35"/>
      <c r="AD69" s="35"/>
      <c r="AE69" s="35"/>
      <c r="AF69" s="35"/>
      <c r="AG69" s="1706" t="b">
        <f>IF(SUM(AG88:AG115)&gt;0,TRUE,FALSE)</f>
        <v>0</v>
      </c>
    </row>
    <row r="70" spans="1:55" s="2806" customFormat="1" ht="11.25" customHeight="1">
      <c r="A70" s="1706"/>
      <c r="B70" s="2803"/>
      <c r="C70" s="2803"/>
      <c r="D70" s="2803"/>
      <c r="E70" s="2805" t="s">
        <v>1436</v>
      </c>
      <c r="F70" s="2803"/>
      <c r="G70" s="2803"/>
      <c r="H70" s="2803"/>
      <c r="I70" s="2803"/>
      <c r="J70" s="2803"/>
      <c r="K70" s="2803"/>
      <c r="L70" s="2803"/>
      <c r="M70" s="2803"/>
      <c r="N70" s="2803"/>
      <c r="O70" s="2803"/>
      <c r="P70" s="2803"/>
      <c r="Q70" s="2803"/>
      <c r="R70" s="2803"/>
      <c r="S70" s="2803"/>
      <c r="T70" s="2807"/>
      <c r="U70" s="2803"/>
      <c r="V70" s="2803"/>
      <c r="W70" s="2803"/>
      <c r="X70" s="2808"/>
      <c r="Y70" s="2803"/>
      <c r="Z70" s="2803"/>
      <c r="AA70" s="2803"/>
      <c r="AB70" s="2803"/>
      <c r="AC70" s="2803"/>
      <c r="AD70" s="2803"/>
      <c r="AE70" s="2803"/>
      <c r="AF70" s="2803"/>
      <c r="AG70" s="1706"/>
      <c r="AH70" s="2804"/>
      <c r="AI70" s="2804"/>
    </row>
    <row r="71" spans="1:55" ht="11.25" customHeight="1">
      <c r="A71" s="1706"/>
      <c r="B71" s="35"/>
      <c r="C71" s="35"/>
      <c r="D71" s="35"/>
      <c r="E71" s="2809" t="s">
        <v>2515</v>
      </c>
      <c r="F71" s="35"/>
      <c r="G71" s="35"/>
      <c r="H71" s="35"/>
      <c r="I71" s="35"/>
      <c r="J71" s="35"/>
      <c r="K71" s="35"/>
      <c r="L71" s="35"/>
      <c r="M71" s="35"/>
      <c r="N71" s="35"/>
      <c r="O71" s="35"/>
      <c r="P71" s="35"/>
      <c r="Q71" s="35"/>
      <c r="R71" s="35"/>
      <c r="S71" s="35"/>
      <c r="T71" s="580"/>
      <c r="U71" s="35"/>
      <c r="V71" s="35"/>
      <c r="W71" s="35"/>
      <c r="X71" s="1464"/>
      <c r="Y71" s="35"/>
      <c r="Z71" s="35"/>
      <c r="AA71" s="35"/>
      <c r="AB71" s="35"/>
      <c r="AC71" s="35"/>
      <c r="AD71" s="35"/>
      <c r="AE71" s="35"/>
      <c r="AF71" s="35"/>
      <c r="AG71" s="1706"/>
      <c r="AH71" s="2804"/>
      <c r="AI71" s="2804"/>
    </row>
    <row r="72" spans="1:55" ht="11.25" customHeight="1">
      <c r="A72" s="1706"/>
      <c r="B72" s="35"/>
      <c r="C72" s="35"/>
      <c r="D72" s="35"/>
      <c r="E72" s="2805" t="s">
        <v>1719</v>
      </c>
      <c r="F72" s="35"/>
      <c r="G72" s="35"/>
      <c r="H72" s="35"/>
      <c r="I72" s="35"/>
      <c r="J72" s="35"/>
      <c r="K72" s="35"/>
      <c r="L72" s="35"/>
      <c r="M72" s="35"/>
      <c r="N72" s="35"/>
      <c r="O72" s="35"/>
      <c r="P72" s="35"/>
      <c r="Q72" s="35"/>
      <c r="R72" s="35"/>
      <c r="S72" s="35"/>
      <c r="T72" s="580"/>
      <c r="U72" s="35"/>
      <c r="V72" s="35"/>
      <c r="W72" s="35"/>
      <c r="X72" s="1464"/>
      <c r="Y72" s="35"/>
      <c r="Z72" s="35"/>
      <c r="AA72" s="35"/>
      <c r="AB72" s="35"/>
      <c r="AC72" s="35"/>
      <c r="AD72" s="35"/>
      <c r="AE72" s="35"/>
      <c r="AF72" s="35"/>
      <c r="AG72" s="1706"/>
      <c r="AH72" s="2804"/>
      <c r="AI72" s="2804"/>
    </row>
    <row r="73" spans="1:55" ht="11.25" customHeight="1">
      <c r="A73" s="1706"/>
      <c r="B73" s="63"/>
      <c r="C73" s="63"/>
      <c r="D73" s="63"/>
      <c r="E73" s="2464" t="s">
        <v>1720</v>
      </c>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1706"/>
      <c r="AH73" s="2804"/>
      <c r="AI73" s="2804"/>
    </row>
    <row r="74" spans="1:55">
      <c r="A74" s="1706"/>
      <c r="B74" s="364" t="s">
        <v>1721</v>
      </c>
      <c r="C74" s="360"/>
      <c r="D74" s="360"/>
      <c r="E74" s="360"/>
      <c r="F74" s="360"/>
      <c r="G74" s="360"/>
      <c r="H74" s="360"/>
      <c r="I74" s="360"/>
      <c r="J74" s="360"/>
      <c r="K74" s="364" t="s">
        <v>1442</v>
      </c>
      <c r="L74" s="360"/>
      <c r="M74" s="360"/>
      <c r="N74" s="360"/>
      <c r="O74" s="360"/>
      <c r="P74" s="360" t="s">
        <v>1445</v>
      </c>
      <c r="Q74" s="360"/>
      <c r="R74" s="360"/>
      <c r="S74" s="360"/>
      <c r="T74" s="360"/>
      <c r="U74" s="360"/>
      <c r="V74" s="360"/>
      <c r="W74" s="360"/>
      <c r="X74" s="360"/>
      <c r="Y74" s="360"/>
      <c r="Z74" s="360"/>
      <c r="AA74" s="360"/>
      <c r="AB74" s="360"/>
      <c r="AC74" s="360"/>
      <c r="AD74" s="360"/>
      <c r="AE74" s="360"/>
      <c r="AF74" s="360"/>
      <c r="AG74" s="1706"/>
    </row>
    <row r="75" spans="1:55">
      <c r="A75" s="1706"/>
      <c r="B75" s="1464" t="s">
        <v>1446</v>
      </c>
      <c r="C75" s="360"/>
      <c r="D75" s="360"/>
      <c r="E75" s="360"/>
      <c r="F75" s="360"/>
      <c r="G75" s="360"/>
      <c r="H75" s="360"/>
      <c r="I75" s="360"/>
      <c r="J75" s="360"/>
      <c r="K75" s="360"/>
      <c r="L75" s="360"/>
      <c r="M75" s="360"/>
      <c r="N75" s="360"/>
      <c r="O75" s="360"/>
      <c r="P75" s="360"/>
      <c r="Q75" s="360"/>
      <c r="R75" s="360"/>
      <c r="S75" s="360"/>
      <c r="T75" s="360"/>
      <c r="U75" s="360"/>
      <c r="V75" s="360"/>
      <c r="W75" s="360"/>
      <c r="X75" s="360"/>
      <c r="Y75" s="360"/>
      <c r="Z75" s="360"/>
      <c r="AA75" s="360"/>
      <c r="AB75" s="360"/>
      <c r="AC75" s="360"/>
      <c r="AD75" s="360"/>
      <c r="AE75" s="360"/>
      <c r="AF75" s="360"/>
      <c r="AG75" s="1706"/>
      <c r="BA75" s="6419" t="s">
        <v>1573</v>
      </c>
      <c r="BB75" s="5423"/>
      <c r="BC75" s="6420"/>
    </row>
    <row r="76" spans="1:55">
      <c r="A76" s="1706"/>
      <c r="B76" s="1464" t="s">
        <v>1447</v>
      </c>
      <c r="C76" s="360"/>
      <c r="D76" s="360"/>
      <c r="E76" s="360"/>
      <c r="F76" s="360"/>
      <c r="G76" s="360"/>
      <c r="H76" s="360"/>
      <c r="I76" s="360"/>
      <c r="J76" s="360"/>
      <c r="K76" s="360"/>
      <c r="L76" s="360"/>
      <c r="M76" s="360"/>
      <c r="N76" s="360"/>
      <c r="O76" s="360"/>
      <c r="P76" s="360"/>
      <c r="Q76" s="360"/>
      <c r="R76" s="360"/>
      <c r="S76" s="360"/>
      <c r="T76" s="360"/>
      <c r="U76" s="360"/>
      <c r="V76" s="360"/>
      <c r="W76" s="360"/>
      <c r="X76" s="360"/>
      <c r="Y76" s="360"/>
      <c r="Z76" s="360"/>
      <c r="AA76" s="360"/>
      <c r="AB76" s="360"/>
      <c r="AC76" s="360"/>
      <c r="AD76" s="360"/>
      <c r="AE76" s="360"/>
      <c r="AF76" s="360"/>
      <c r="AG76" s="1706"/>
      <c r="BA76" s="6421" t="s">
        <v>1572</v>
      </c>
      <c r="BB76" s="6421" t="s">
        <v>1562</v>
      </c>
      <c r="BC76" s="6421" t="s">
        <v>1563</v>
      </c>
    </row>
    <row r="77" spans="1:55" ht="4.5" customHeight="1" thickBot="1">
      <c r="A77" s="1706"/>
      <c r="B77" s="360"/>
      <c r="C77" s="360"/>
      <c r="D77" s="360"/>
      <c r="E77" s="360"/>
      <c r="F77" s="360"/>
      <c r="G77" s="360"/>
      <c r="H77" s="360"/>
      <c r="I77" s="360"/>
      <c r="J77" s="360"/>
      <c r="K77" s="360"/>
      <c r="L77" s="360"/>
      <c r="M77" s="360"/>
      <c r="N77" s="360"/>
      <c r="O77" s="360"/>
      <c r="P77" s="360"/>
      <c r="Q77" s="360"/>
      <c r="R77" s="360"/>
      <c r="S77" s="360"/>
      <c r="T77" s="360"/>
      <c r="U77" s="360"/>
      <c r="V77" s="360"/>
      <c r="W77" s="360"/>
      <c r="X77" s="360"/>
      <c r="Y77" s="360"/>
      <c r="Z77" s="360"/>
      <c r="AA77" s="360"/>
      <c r="AB77" s="360"/>
      <c r="AC77" s="360"/>
      <c r="AD77" s="360"/>
      <c r="AE77" s="360"/>
      <c r="AF77" s="360"/>
      <c r="AG77" s="1706"/>
      <c r="BA77" s="6422"/>
      <c r="BB77" s="6422"/>
      <c r="BC77" s="6422"/>
    </row>
    <row r="78" spans="1:55" ht="12" customHeight="1" thickBot="1">
      <c r="A78" s="1706"/>
      <c r="B78" s="2574">
        <f>IF(C78&lt;&gt;"",1,0)</f>
        <v>0</v>
      </c>
      <c r="C78" s="2573"/>
      <c r="D78" s="688" t="s">
        <v>3216</v>
      </c>
      <c r="E78" s="360"/>
      <c r="F78" s="360"/>
      <c r="G78" s="360"/>
      <c r="H78" s="360"/>
      <c r="I78" s="360"/>
      <c r="J78" s="360"/>
      <c r="K78" s="360"/>
      <c r="L78" s="360"/>
      <c r="M78" s="360"/>
      <c r="N78" s="360"/>
      <c r="O78" s="360"/>
      <c r="P78" s="360"/>
      <c r="Q78" s="360"/>
      <c r="R78" s="360"/>
      <c r="S78" s="360"/>
      <c r="T78" s="360"/>
      <c r="U78" s="360"/>
      <c r="V78" s="360"/>
      <c r="W78" s="360"/>
      <c r="X78" s="360"/>
      <c r="Y78" s="360"/>
      <c r="Z78" s="360"/>
      <c r="AA78" s="360"/>
      <c r="AB78" s="360"/>
      <c r="AC78" s="360"/>
      <c r="AD78" s="360"/>
      <c r="AE78" s="360"/>
      <c r="AF78" s="360"/>
      <c r="AG78" s="1706"/>
      <c r="AJ78" s="6423"/>
      <c r="AK78" s="6424"/>
      <c r="AL78" s="6424"/>
      <c r="AM78" s="6424"/>
      <c r="AN78" s="6424"/>
      <c r="AO78" s="6424"/>
      <c r="AP78" s="6424"/>
      <c r="AQ78" s="6424"/>
      <c r="BA78" s="6422"/>
      <c r="BB78" s="6422"/>
      <c r="BC78" s="6422"/>
    </row>
    <row r="79" spans="1:55" ht="4.5" customHeight="1" thickBot="1">
      <c r="A79" s="1706"/>
      <c r="B79" s="2465"/>
      <c r="C79" s="360"/>
      <c r="D79" s="360"/>
      <c r="E79" s="360"/>
      <c r="F79" s="360"/>
      <c r="G79" s="360"/>
      <c r="H79" s="360"/>
      <c r="I79" s="360"/>
      <c r="J79" s="360"/>
      <c r="K79" s="360"/>
      <c r="L79" s="360"/>
      <c r="M79" s="360"/>
      <c r="N79" s="360"/>
      <c r="O79" s="360"/>
      <c r="P79" s="360"/>
      <c r="Q79" s="360"/>
      <c r="R79" s="360"/>
      <c r="S79" s="360"/>
      <c r="T79" s="360"/>
      <c r="U79" s="360"/>
      <c r="V79" s="360"/>
      <c r="W79" s="360"/>
      <c r="X79" s="360"/>
      <c r="Y79" s="360"/>
      <c r="Z79" s="360"/>
      <c r="AA79" s="360"/>
      <c r="AB79" s="360"/>
      <c r="AC79" s="360"/>
      <c r="AD79" s="360"/>
      <c r="AE79" s="360"/>
      <c r="AF79" s="360"/>
      <c r="AG79" s="1706"/>
      <c r="BA79" s="6422"/>
      <c r="BB79" s="6422"/>
      <c r="BC79" s="6422"/>
    </row>
    <row r="80" spans="1:55" ht="11.25" customHeight="1" thickBot="1">
      <c r="A80" s="1706"/>
      <c r="B80" s="2574">
        <f>IF(C80&lt;&gt;"",1,0)</f>
        <v>0</v>
      </c>
      <c r="C80" s="2573"/>
      <c r="D80" s="688" t="s">
        <v>3217</v>
      </c>
      <c r="E80" s="360"/>
      <c r="F80" s="360"/>
      <c r="G80" s="360"/>
      <c r="H80" s="360"/>
      <c r="I80" s="360"/>
      <c r="J80" s="360"/>
      <c r="K80" s="360"/>
      <c r="L80" s="360"/>
      <c r="M80" s="360"/>
      <c r="N80" s="360"/>
      <c r="O80" s="360"/>
      <c r="P80" s="360"/>
      <c r="Q80" s="2579"/>
      <c r="R80" s="2579"/>
      <c r="S80" s="2579"/>
      <c r="T80" s="2579"/>
      <c r="U80" s="2579"/>
      <c r="V80" s="2579"/>
      <c r="W80" s="2579"/>
      <c r="X80" s="2579"/>
      <c r="Y80" s="2579"/>
      <c r="Z80" s="2579"/>
      <c r="AA80" s="2579"/>
      <c r="AB80" s="2579"/>
      <c r="AC80" s="2579"/>
      <c r="AD80" s="2579"/>
      <c r="AE80" s="360"/>
      <c r="AF80" s="360"/>
      <c r="AG80" s="1706"/>
      <c r="AJ80" s="6423"/>
      <c r="AK80" s="6424"/>
      <c r="AL80" s="6424"/>
      <c r="AM80" s="6424"/>
      <c r="AN80" s="6424"/>
      <c r="AO80" s="6424"/>
      <c r="AP80" s="6424"/>
      <c r="AQ80" s="6424"/>
      <c r="BA80" s="6422"/>
      <c r="BB80" s="6422"/>
      <c r="BC80" s="6422"/>
    </row>
    <row r="81" spans="1:55" ht="4.5" customHeight="1" thickBot="1">
      <c r="A81" s="1706"/>
      <c r="B81" s="2465"/>
      <c r="C81" s="360"/>
      <c r="D81" s="360"/>
      <c r="E81" s="360"/>
      <c r="F81" s="360"/>
      <c r="G81" s="360"/>
      <c r="H81" s="360"/>
      <c r="I81" s="360"/>
      <c r="J81" s="360"/>
      <c r="K81" s="360"/>
      <c r="L81" s="360"/>
      <c r="M81" s="360"/>
      <c r="N81" s="360"/>
      <c r="O81" s="360"/>
      <c r="P81" s="360"/>
      <c r="Q81" s="2579"/>
      <c r="R81" s="2579"/>
      <c r="S81" s="2579"/>
      <c r="T81" s="2579"/>
      <c r="U81" s="2579"/>
      <c r="V81" s="2579"/>
      <c r="W81" s="2579"/>
      <c r="X81" s="2579"/>
      <c r="Y81" s="2579"/>
      <c r="Z81" s="2579"/>
      <c r="AA81" s="2579"/>
      <c r="AB81" s="2579"/>
      <c r="AC81" s="2579"/>
      <c r="AD81" s="2579"/>
      <c r="AE81" s="360"/>
      <c r="AF81" s="360"/>
      <c r="AG81" s="1706"/>
      <c r="BA81" s="6422"/>
      <c r="BB81" s="6422"/>
      <c r="BC81" s="6422"/>
    </row>
    <row r="82" spans="1:55" ht="12" customHeight="1" thickBot="1">
      <c r="A82" s="1706">
        <f>SUM(B78:B82)</f>
        <v>0</v>
      </c>
      <c r="B82" s="2574">
        <f>IF(C82&lt;&gt;"",1,0)</f>
        <v>0</v>
      </c>
      <c r="C82" s="2573"/>
      <c r="D82" s="688" t="s">
        <v>3218</v>
      </c>
      <c r="E82" s="360"/>
      <c r="F82" s="360"/>
      <c r="G82" s="360"/>
      <c r="H82" s="360"/>
      <c r="I82" s="360"/>
      <c r="J82" s="360"/>
      <c r="K82" s="360"/>
      <c r="L82" s="360"/>
      <c r="M82" s="360"/>
      <c r="N82" s="360"/>
      <c r="O82" s="360"/>
      <c r="P82" s="360"/>
      <c r="Q82" s="2580"/>
      <c r="R82" s="6407" t="str">
        <f>IF(SpaceUsed_8949A_LT,"ERROR: DO NOT use the space bar to uncheck a box. Use the 'Delete' key.",IF(A82&gt;1,"Check only ONE box.",IF($A$31&gt;0,"",IF(A82&lt;1,"Check ONE box.",""))))</f>
        <v>Check ONE box.</v>
      </c>
      <c r="S82" s="6408"/>
      <c r="T82" s="6408"/>
      <c r="U82" s="6408"/>
      <c r="V82" s="6408"/>
      <c r="W82" s="6408"/>
      <c r="X82" s="6408"/>
      <c r="Y82" s="6408"/>
      <c r="Z82" s="6408"/>
      <c r="AA82" s="6408"/>
      <c r="AB82" s="6408"/>
      <c r="AC82" s="6408"/>
      <c r="AD82" s="6408"/>
      <c r="AE82" s="6408"/>
      <c r="AF82" s="360"/>
      <c r="AG82" s="1706"/>
      <c r="AH82" s="2901" t="b">
        <f>IF(OR(F8949ALBOXA=CHAR(32),F8949ALBOXB=CHAR(32),F8949ALBOXC=CHAR(32)),TRUE,FALSE)</f>
        <v>0</v>
      </c>
      <c r="AJ82" s="6423" t="s">
        <v>1400</v>
      </c>
      <c r="AK82" s="6424"/>
      <c r="AL82" s="6424"/>
      <c r="AM82" s="6424"/>
      <c r="AN82" s="6424"/>
      <c r="AO82" s="6424"/>
      <c r="AP82" s="6424"/>
      <c r="AQ82" s="6424"/>
      <c r="BA82" s="6422"/>
      <c r="BB82" s="6422"/>
      <c r="BC82" s="6422"/>
    </row>
    <row r="83" spans="1:55" ht="3.75" customHeight="1">
      <c r="A83" s="1706"/>
      <c r="B83" s="361"/>
      <c r="C83" s="1647"/>
      <c r="D83" s="361"/>
      <c r="E83" s="361"/>
      <c r="F83" s="361"/>
      <c r="G83" s="361"/>
      <c r="H83" s="361"/>
      <c r="I83" s="361"/>
      <c r="J83" s="361"/>
      <c r="K83" s="361"/>
      <c r="L83" s="361"/>
      <c r="M83" s="361"/>
      <c r="N83" s="1647"/>
      <c r="O83" s="361"/>
      <c r="P83" s="361"/>
      <c r="Q83" s="361"/>
      <c r="R83" s="361"/>
      <c r="S83" s="361"/>
      <c r="T83" s="361"/>
      <c r="U83" s="361"/>
      <c r="V83" s="361"/>
      <c r="W83" s="361"/>
      <c r="X83" s="361"/>
      <c r="Y83" s="1647"/>
      <c r="Z83" s="361"/>
      <c r="AA83" s="361"/>
      <c r="AB83" s="361"/>
      <c r="AC83" s="361"/>
      <c r="AD83" s="361"/>
      <c r="AE83" s="361"/>
      <c r="AF83" s="361"/>
      <c r="AG83" s="1706"/>
      <c r="BA83" s="6422"/>
      <c r="BB83" s="6422"/>
      <c r="BC83" s="6422"/>
    </row>
    <row r="84" spans="1:55" ht="21" customHeight="1">
      <c r="A84" s="1706"/>
      <c r="B84" s="6319">
        <v>1</v>
      </c>
      <c r="C84" s="6322" t="s">
        <v>1106</v>
      </c>
      <c r="D84" s="6323"/>
      <c r="E84" s="6323"/>
      <c r="F84" s="6323"/>
      <c r="G84" s="6323"/>
      <c r="H84" s="6323"/>
      <c r="I84" s="6324"/>
      <c r="J84" s="6331" t="s">
        <v>1449</v>
      </c>
      <c r="K84" s="6332"/>
      <c r="L84" s="6333"/>
      <c r="M84" s="6331" t="s">
        <v>1450</v>
      </c>
      <c r="N84" s="6332"/>
      <c r="O84" s="6332"/>
      <c r="P84" s="6333"/>
      <c r="Q84" s="6331" t="s">
        <v>1451</v>
      </c>
      <c r="R84" s="6332"/>
      <c r="S84" s="6332"/>
      <c r="T84" s="6333"/>
      <c r="U84" s="6357" t="s">
        <v>1456</v>
      </c>
      <c r="V84" s="5273"/>
      <c r="W84" s="5273"/>
      <c r="X84" s="6312"/>
      <c r="Y84" s="6379" t="s">
        <v>1452</v>
      </c>
      <c r="Z84" s="6380"/>
      <c r="AA84" s="6380"/>
      <c r="AB84" s="6381"/>
      <c r="AC84" s="6357" t="s">
        <v>1455</v>
      </c>
      <c r="AD84" s="5273"/>
      <c r="AE84" s="5273"/>
      <c r="AF84" s="5273"/>
      <c r="AG84" s="1706"/>
      <c r="AJ84" s="6409" t="s">
        <v>1399</v>
      </c>
      <c r="AK84" s="6409" t="s">
        <v>1459</v>
      </c>
      <c r="AL84" s="6409" t="s">
        <v>1460</v>
      </c>
      <c r="AM84" s="6409" t="s">
        <v>1461</v>
      </c>
      <c r="AN84" s="6411" t="s">
        <v>1462</v>
      </c>
      <c r="AO84" s="6379" t="s">
        <v>1452</v>
      </c>
      <c r="AP84" s="5285"/>
      <c r="AQ84" s="6409" t="s">
        <v>1464</v>
      </c>
      <c r="BA84" s="6422"/>
      <c r="BB84" s="6422"/>
      <c r="BC84" s="6422"/>
    </row>
    <row r="85" spans="1:55" ht="21" customHeight="1">
      <c r="A85" s="1706"/>
      <c r="B85" s="4708"/>
      <c r="C85" s="6325"/>
      <c r="D85" s="6326"/>
      <c r="E85" s="6326"/>
      <c r="F85" s="6326"/>
      <c r="G85" s="6326"/>
      <c r="H85" s="6326"/>
      <c r="I85" s="6327"/>
      <c r="J85" s="6334"/>
      <c r="K85" s="6335"/>
      <c r="L85" s="6336"/>
      <c r="M85" s="6334"/>
      <c r="N85" s="6335"/>
      <c r="O85" s="6335"/>
      <c r="P85" s="6336"/>
      <c r="Q85" s="6334"/>
      <c r="R85" s="6335"/>
      <c r="S85" s="6335"/>
      <c r="T85" s="6336"/>
      <c r="U85" s="6358"/>
      <c r="V85" s="6359"/>
      <c r="W85" s="6359"/>
      <c r="X85" s="6360"/>
      <c r="Y85" s="6382"/>
      <c r="Z85" s="6383"/>
      <c r="AA85" s="6383"/>
      <c r="AB85" s="6384"/>
      <c r="AC85" s="6358"/>
      <c r="AD85" s="6359"/>
      <c r="AE85" s="6359"/>
      <c r="AF85" s="6359"/>
      <c r="AG85" s="1706"/>
      <c r="AJ85" s="6409"/>
      <c r="AK85" s="6409"/>
      <c r="AL85" s="6409"/>
      <c r="AM85" s="6409"/>
      <c r="AN85" s="6411"/>
      <c r="AO85" s="5430"/>
      <c r="AP85" s="5291"/>
      <c r="AQ85" s="6409"/>
      <c r="BA85" s="6422"/>
      <c r="BB85" s="6422"/>
      <c r="BC85" s="6422"/>
    </row>
    <row r="86" spans="1:55" ht="18" customHeight="1">
      <c r="A86" s="1706"/>
      <c r="B86" s="6320"/>
      <c r="C86" s="6328"/>
      <c r="D86" s="6328"/>
      <c r="E86" s="6328"/>
      <c r="F86" s="6328"/>
      <c r="G86" s="6328"/>
      <c r="H86" s="6328"/>
      <c r="I86" s="6327"/>
      <c r="J86" s="6337"/>
      <c r="K86" s="6335"/>
      <c r="L86" s="6336"/>
      <c r="M86" s="6337"/>
      <c r="N86" s="6335"/>
      <c r="O86" s="6335"/>
      <c r="P86" s="6336"/>
      <c r="Q86" s="6337"/>
      <c r="R86" s="6335"/>
      <c r="S86" s="6335"/>
      <c r="T86" s="6336"/>
      <c r="U86" s="5274"/>
      <c r="V86" s="6359"/>
      <c r="W86" s="6359"/>
      <c r="X86" s="6360"/>
      <c r="Y86" s="6311" t="s">
        <v>1453</v>
      </c>
      <c r="Z86" s="6312"/>
      <c r="AA86" s="6314" t="s">
        <v>1454</v>
      </c>
      <c r="AB86" s="6315"/>
      <c r="AC86" s="5274"/>
      <c r="AD86" s="6359"/>
      <c r="AE86" s="6359"/>
      <c r="AF86" s="6359"/>
      <c r="AG86" s="1706"/>
      <c r="AJ86" s="6410"/>
      <c r="AK86" s="6410"/>
      <c r="AL86" s="6410"/>
      <c r="AM86" s="6410"/>
      <c r="AN86" s="6412"/>
      <c r="AO86" s="6414" t="s">
        <v>1463</v>
      </c>
      <c r="AP86" s="6413" t="s">
        <v>1454</v>
      </c>
      <c r="AQ86" s="6410"/>
      <c r="BA86" s="6422"/>
      <c r="BB86" s="6422"/>
      <c r="BC86" s="6422"/>
    </row>
    <row r="87" spans="1:55" ht="18" customHeight="1">
      <c r="A87" s="1706"/>
      <c r="B87" s="6321"/>
      <c r="C87" s="6329"/>
      <c r="D87" s="6329"/>
      <c r="E87" s="6329"/>
      <c r="F87" s="6329"/>
      <c r="G87" s="6329"/>
      <c r="H87" s="6329"/>
      <c r="I87" s="6330"/>
      <c r="J87" s="6338"/>
      <c r="K87" s="6339"/>
      <c r="L87" s="6340"/>
      <c r="M87" s="6338"/>
      <c r="N87" s="6339"/>
      <c r="O87" s="6339"/>
      <c r="P87" s="6340"/>
      <c r="Q87" s="6338"/>
      <c r="R87" s="6339"/>
      <c r="S87" s="6339"/>
      <c r="T87" s="6340"/>
      <c r="U87" s="5276"/>
      <c r="V87" s="5277"/>
      <c r="W87" s="5277"/>
      <c r="X87" s="6313"/>
      <c r="Y87" s="5276"/>
      <c r="Z87" s="6313"/>
      <c r="AA87" s="5411"/>
      <c r="AB87" s="5342"/>
      <c r="AC87" s="5276"/>
      <c r="AD87" s="5277"/>
      <c r="AE87" s="5277"/>
      <c r="AF87" s="5277"/>
      <c r="AG87" s="1706"/>
      <c r="AJ87" s="6410"/>
      <c r="AK87" s="6410"/>
      <c r="AL87" s="6410"/>
      <c r="AM87" s="6410"/>
      <c r="AN87" s="6412"/>
      <c r="AO87" s="5244"/>
      <c r="AP87" s="5244"/>
      <c r="AQ87" s="6410"/>
      <c r="BA87" s="6422"/>
      <c r="BB87" s="6422"/>
      <c r="BC87" s="6422"/>
    </row>
    <row r="88" spans="1:55" s="2459" customFormat="1" ht="19.5" customHeight="1">
      <c r="A88" s="1706">
        <f>IF(OR(U88&lt;&gt;"",Y88&lt;&gt;""),1,0)</f>
        <v>0</v>
      </c>
      <c r="B88" s="6301" t="str">
        <f>IF(AJ88="","",AJ88)</f>
        <v/>
      </c>
      <c r="C88" s="6302"/>
      <c r="D88" s="6302"/>
      <c r="E88" s="6302"/>
      <c r="F88" s="6302"/>
      <c r="G88" s="6302"/>
      <c r="H88" s="6302"/>
      <c r="I88" s="6303"/>
      <c r="J88" s="6304" t="str">
        <f>IF(AK88="","",AK88)</f>
        <v/>
      </c>
      <c r="K88" s="6305"/>
      <c r="L88" s="6305"/>
      <c r="M88" s="6304" t="str">
        <f>IF(AL88="","",AL88)</f>
        <v/>
      </c>
      <c r="N88" s="6305"/>
      <c r="O88" s="6305"/>
      <c r="P88" s="6306"/>
      <c r="Q88" s="4641" t="str">
        <f>IF(AM88="","",AM88)</f>
        <v/>
      </c>
      <c r="R88" s="6307"/>
      <c r="S88" s="6307"/>
      <c r="T88" s="6308"/>
      <c r="U88" s="4641" t="str">
        <f>IF(AN88="","",AN88)</f>
        <v/>
      </c>
      <c r="V88" s="6307"/>
      <c r="W88" s="6307"/>
      <c r="X88" s="6308"/>
      <c r="Y88" s="6300" t="str">
        <f>IF(AO88&lt;&gt;"",AO88,"")</f>
        <v/>
      </c>
      <c r="Z88" s="4756"/>
      <c r="AA88" s="6300" t="str">
        <f>IF(AP88="","",AP88)</f>
        <v/>
      </c>
      <c r="AB88" s="4756"/>
      <c r="AC88" s="6309" t="str">
        <f>IF(AQ88&lt;&gt;"",AQ88,IF(AND(Q88&lt;&gt;"",U88&lt;&gt;""),SUM(Q88,-U88,AA88),""))</f>
        <v/>
      </c>
      <c r="AD88" s="6310"/>
      <c r="AE88" s="6310"/>
      <c r="AF88" s="6310"/>
      <c r="AG88" s="2631">
        <f>IF(OR(J88="",M88=""),0,IF(OR(BA88,BB88,BC88),1,0))</f>
        <v>0</v>
      </c>
      <c r="AH88" s="1644"/>
      <c r="AI88" s="1644" t="e">
        <f>M88-J88</f>
        <v>#VALUE!</v>
      </c>
      <c r="AJ88" s="2467"/>
      <c r="AK88" s="2471"/>
      <c r="AL88" s="2471"/>
      <c r="AM88" s="2469"/>
      <c r="AN88" s="2469"/>
      <c r="AO88" s="2470"/>
      <c r="AP88" s="2469"/>
      <c r="AQ88" s="2468"/>
      <c r="AS88" s="2620" t="e">
        <f>YEAR(J88)</f>
        <v>#VALUE!</v>
      </c>
      <c r="AT88" s="2620" t="e">
        <f>MONTH(J88)</f>
        <v>#VALUE!</v>
      </c>
      <c r="AU88" s="2620" t="e">
        <f>DAY(J88)</f>
        <v>#VALUE!</v>
      </c>
      <c r="AV88" s="2620"/>
      <c r="AW88" s="2620" t="e">
        <f>YEAR(M88)</f>
        <v>#VALUE!</v>
      </c>
      <c r="AX88" s="2620" t="e">
        <f>MONTH(M88)</f>
        <v>#VALUE!</v>
      </c>
      <c r="AY88" s="2620" t="e">
        <f>DAY(M88)</f>
        <v>#VALUE!</v>
      </c>
      <c r="AZ88" s="2620"/>
      <c r="BA88" s="2620" t="e">
        <f>IF(AW88=AS88,TRUE,FALSE)</f>
        <v>#VALUE!</v>
      </c>
      <c r="BB88" s="2620" t="e">
        <f>IF(AND(AW88=AS88+1,AX88&lt;AT88),TRUE,FALSE)</f>
        <v>#VALUE!</v>
      </c>
      <c r="BC88" s="2620" t="e">
        <f>IF(AND(AW88=AS88+1,AX88=AT88,AY88&lt;=AU88),TRUE,FALSE)</f>
        <v>#VALUE!</v>
      </c>
    </row>
    <row r="89" spans="1:55" s="2459" customFormat="1" ht="19.5" customHeight="1">
      <c r="A89" s="1706">
        <f t="shared" ref="A89:A115" si="20">IF(OR(U89&lt;&gt;"",Y89&lt;&gt;""),1,0)</f>
        <v>0</v>
      </c>
      <c r="B89" s="6301" t="str">
        <f t="shared" ref="B89:B115" si="21">IF(AJ89="","",AJ89)</f>
        <v/>
      </c>
      <c r="C89" s="6302"/>
      <c r="D89" s="6302"/>
      <c r="E89" s="6302"/>
      <c r="F89" s="6302"/>
      <c r="G89" s="6302"/>
      <c r="H89" s="6302"/>
      <c r="I89" s="6303"/>
      <c r="J89" s="6304" t="str">
        <f t="shared" ref="J89:J115" si="22">IF(AK89="","",AK89)</f>
        <v/>
      </c>
      <c r="K89" s="6305"/>
      <c r="L89" s="6305"/>
      <c r="M89" s="6304" t="str">
        <f t="shared" ref="M89:M115" si="23">IF(AL89="","",AL89)</f>
        <v/>
      </c>
      <c r="N89" s="6305"/>
      <c r="O89" s="6305"/>
      <c r="P89" s="6306"/>
      <c r="Q89" s="4641" t="str">
        <f t="shared" ref="Q89:Q115" si="24">IF(AM89="","",AM89)</f>
        <v/>
      </c>
      <c r="R89" s="6307"/>
      <c r="S89" s="6307"/>
      <c r="T89" s="6308"/>
      <c r="U89" s="4641" t="str">
        <f t="shared" ref="U89:U115" si="25">IF(AN89="","",AN89)</f>
        <v/>
      </c>
      <c r="V89" s="6307"/>
      <c r="W89" s="6307"/>
      <c r="X89" s="6308"/>
      <c r="Y89" s="6300" t="str">
        <f t="shared" ref="Y89:Y115" si="26">IF(AO89&lt;&gt;"",AO89,"")</f>
        <v/>
      </c>
      <c r="Z89" s="4756"/>
      <c r="AA89" s="6300" t="str">
        <f t="shared" ref="AA89:AA115" si="27">IF(AP89="","",AP89)</f>
        <v/>
      </c>
      <c r="AB89" s="4756"/>
      <c r="AC89" s="6309" t="str">
        <f t="shared" ref="AC89:AC115" si="28">IF(AQ89&lt;&gt;"",AQ89,IF(AND(Q89&lt;&gt;"",U89&lt;&gt;""),SUM(Q89,-U89,AA89),""))</f>
        <v/>
      </c>
      <c r="AD89" s="6310"/>
      <c r="AE89" s="6310"/>
      <c r="AF89" s="6310"/>
      <c r="AG89" s="2631">
        <f t="shared" ref="AG89:AG115" si="29">IF(OR(J89="",M89=""),0,IF(OR(BA89,BB89,BC89),1,0))</f>
        <v>0</v>
      </c>
      <c r="AH89" s="1644"/>
      <c r="AI89" s="1644" t="e">
        <f t="shared" ref="AI89:AI115" si="30">M89-J89</f>
        <v>#VALUE!</v>
      </c>
      <c r="AJ89" s="2467"/>
      <c r="AK89" s="2471"/>
      <c r="AL89" s="2471"/>
      <c r="AM89" s="2469"/>
      <c r="AN89" s="2469"/>
      <c r="AO89" s="2470"/>
      <c r="AP89" s="2469"/>
      <c r="AQ89" s="2468"/>
      <c r="AS89" s="2620" t="e">
        <f t="shared" ref="AS89:AS115" si="31">YEAR(J89)</f>
        <v>#VALUE!</v>
      </c>
      <c r="AT89" s="2620" t="e">
        <f t="shared" ref="AT89:AT115" si="32">MONTH(J89)</f>
        <v>#VALUE!</v>
      </c>
      <c r="AU89" s="2620" t="e">
        <f t="shared" ref="AU89:AU115" si="33">DAY(J89)</f>
        <v>#VALUE!</v>
      </c>
      <c r="AV89" s="2620"/>
      <c r="AW89" s="2620" t="e">
        <f t="shared" ref="AW89:AW115" si="34">YEAR(M89)</f>
        <v>#VALUE!</v>
      </c>
      <c r="AX89" s="2620" t="e">
        <f t="shared" ref="AX89:AX115" si="35">MONTH(M89)</f>
        <v>#VALUE!</v>
      </c>
      <c r="AY89" s="2620" t="e">
        <f t="shared" ref="AY89:AY115" si="36">DAY(M89)</f>
        <v>#VALUE!</v>
      </c>
      <c r="AZ89" s="2620"/>
      <c r="BA89" s="2620" t="e">
        <f t="shared" ref="BA89:BA115" si="37">IF(AW89=AS89,TRUE,FALSE)</f>
        <v>#VALUE!</v>
      </c>
      <c r="BB89" s="2620" t="e">
        <f t="shared" ref="BB89:BB115" si="38">IF(AND(AW89=AS89+1,AX89&lt;AT89),TRUE,FALSE)</f>
        <v>#VALUE!</v>
      </c>
      <c r="BC89" s="2620" t="e">
        <f t="shared" ref="BC89:BC115" si="39">IF(AND(AW89=AS89+1,AX89=AT89,AY89&lt;=AU89),TRUE,FALSE)</f>
        <v>#VALUE!</v>
      </c>
    </row>
    <row r="90" spans="1:55" s="2459" customFormat="1" ht="19.5" customHeight="1">
      <c r="A90" s="1706">
        <f t="shared" si="20"/>
        <v>0</v>
      </c>
      <c r="B90" s="6301" t="str">
        <f t="shared" si="21"/>
        <v/>
      </c>
      <c r="C90" s="6302"/>
      <c r="D90" s="6302"/>
      <c r="E90" s="6302"/>
      <c r="F90" s="6302"/>
      <c r="G90" s="6302"/>
      <c r="H90" s="6302"/>
      <c r="I90" s="6303"/>
      <c r="J90" s="6304" t="str">
        <f t="shared" si="22"/>
        <v/>
      </c>
      <c r="K90" s="6305"/>
      <c r="L90" s="6305"/>
      <c r="M90" s="6304" t="str">
        <f t="shared" si="23"/>
        <v/>
      </c>
      <c r="N90" s="6305"/>
      <c r="O90" s="6305"/>
      <c r="P90" s="6306"/>
      <c r="Q90" s="4641" t="str">
        <f t="shared" si="24"/>
        <v/>
      </c>
      <c r="R90" s="6307"/>
      <c r="S90" s="6307"/>
      <c r="T90" s="6308"/>
      <c r="U90" s="4641" t="str">
        <f t="shared" si="25"/>
        <v/>
      </c>
      <c r="V90" s="6307"/>
      <c r="W90" s="6307"/>
      <c r="X90" s="6308"/>
      <c r="Y90" s="6300" t="str">
        <f t="shared" si="26"/>
        <v/>
      </c>
      <c r="Z90" s="4756"/>
      <c r="AA90" s="6300" t="str">
        <f t="shared" si="27"/>
        <v/>
      </c>
      <c r="AB90" s="4756"/>
      <c r="AC90" s="6309" t="str">
        <f t="shared" si="28"/>
        <v/>
      </c>
      <c r="AD90" s="6310"/>
      <c r="AE90" s="6310"/>
      <c r="AF90" s="6310"/>
      <c r="AG90" s="2631">
        <f t="shared" si="29"/>
        <v>0</v>
      </c>
      <c r="AH90" s="1644"/>
      <c r="AI90" s="1644" t="e">
        <f t="shared" si="30"/>
        <v>#VALUE!</v>
      </c>
      <c r="AJ90" s="2467"/>
      <c r="AK90" s="2471"/>
      <c r="AL90" s="2471"/>
      <c r="AM90" s="2469"/>
      <c r="AN90" s="2469"/>
      <c r="AO90" s="2470"/>
      <c r="AP90" s="2469"/>
      <c r="AQ90" s="2468"/>
      <c r="AS90" s="2620" t="e">
        <f t="shared" si="31"/>
        <v>#VALUE!</v>
      </c>
      <c r="AT90" s="2620" t="e">
        <f t="shared" si="32"/>
        <v>#VALUE!</v>
      </c>
      <c r="AU90" s="2620" t="e">
        <f t="shared" si="33"/>
        <v>#VALUE!</v>
      </c>
      <c r="AV90" s="2620"/>
      <c r="AW90" s="2620" t="e">
        <f t="shared" si="34"/>
        <v>#VALUE!</v>
      </c>
      <c r="AX90" s="2620" t="e">
        <f t="shared" si="35"/>
        <v>#VALUE!</v>
      </c>
      <c r="AY90" s="2620" t="e">
        <f t="shared" si="36"/>
        <v>#VALUE!</v>
      </c>
      <c r="AZ90" s="2620"/>
      <c r="BA90" s="2620" t="e">
        <f t="shared" si="37"/>
        <v>#VALUE!</v>
      </c>
      <c r="BB90" s="2620" t="e">
        <f t="shared" si="38"/>
        <v>#VALUE!</v>
      </c>
      <c r="BC90" s="2620" t="e">
        <f t="shared" si="39"/>
        <v>#VALUE!</v>
      </c>
    </row>
    <row r="91" spans="1:55" s="2459" customFormat="1" ht="19.5" customHeight="1">
      <c r="A91" s="1706">
        <f t="shared" si="20"/>
        <v>0</v>
      </c>
      <c r="B91" s="6301" t="str">
        <f t="shared" si="21"/>
        <v/>
      </c>
      <c r="C91" s="6302"/>
      <c r="D91" s="6302"/>
      <c r="E91" s="6302"/>
      <c r="F91" s="6302"/>
      <c r="G91" s="6302"/>
      <c r="H91" s="6302"/>
      <c r="I91" s="6303"/>
      <c r="J91" s="6304" t="str">
        <f t="shared" si="22"/>
        <v/>
      </c>
      <c r="K91" s="6305"/>
      <c r="L91" s="6305"/>
      <c r="M91" s="6304" t="str">
        <f t="shared" si="23"/>
        <v/>
      </c>
      <c r="N91" s="6305"/>
      <c r="O91" s="6305"/>
      <c r="P91" s="6306"/>
      <c r="Q91" s="4641" t="str">
        <f t="shared" si="24"/>
        <v/>
      </c>
      <c r="R91" s="6307"/>
      <c r="S91" s="6307"/>
      <c r="T91" s="6308"/>
      <c r="U91" s="4641" t="str">
        <f t="shared" si="25"/>
        <v/>
      </c>
      <c r="V91" s="6307"/>
      <c r="W91" s="6307"/>
      <c r="X91" s="6308"/>
      <c r="Y91" s="6300" t="str">
        <f t="shared" si="26"/>
        <v/>
      </c>
      <c r="Z91" s="4756"/>
      <c r="AA91" s="6300" t="str">
        <f t="shared" si="27"/>
        <v/>
      </c>
      <c r="AB91" s="4756"/>
      <c r="AC91" s="6309" t="str">
        <f t="shared" si="28"/>
        <v/>
      </c>
      <c r="AD91" s="6310"/>
      <c r="AE91" s="6310"/>
      <c r="AF91" s="6310"/>
      <c r="AG91" s="2631">
        <f t="shared" si="29"/>
        <v>0</v>
      </c>
      <c r="AH91" s="1644"/>
      <c r="AI91" s="1644" t="e">
        <f t="shared" si="30"/>
        <v>#VALUE!</v>
      </c>
      <c r="AJ91" s="2467"/>
      <c r="AK91" s="2471"/>
      <c r="AL91" s="2471"/>
      <c r="AM91" s="2469"/>
      <c r="AN91" s="2469"/>
      <c r="AO91" s="2470"/>
      <c r="AP91" s="2469"/>
      <c r="AQ91" s="2468"/>
      <c r="AS91" s="2620" t="e">
        <f t="shared" si="31"/>
        <v>#VALUE!</v>
      </c>
      <c r="AT91" s="2620" t="e">
        <f t="shared" si="32"/>
        <v>#VALUE!</v>
      </c>
      <c r="AU91" s="2620" t="e">
        <f t="shared" si="33"/>
        <v>#VALUE!</v>
      </c>
      <c r="AV91" s="2620"/>
      <c r="AW91" s="2620" t="e">
        <f t="shared" si="34"/>
        <v>#VALUE!</v>
      </c>
      <c r="AX91" s="2620" t="e">
        <f t="shared" si="35"/>
        <v>#VALUE!</v>
      </c>
      <c r="AY91" s="2620" t="e">
        <f t="shared" si="36"/>
        <v>#VALUE!</v>
      </c>
      <c r="AZ91" s="2620"/>
      <c r="BA91" s="2620" t="e">
        <f t="shared" si="37"/>
        <v>#VALUE!</v>
      </c>
      <c r="BB91" s="2620" t="e">
        <f t="shared" si="38"/>
        <v>#VALUE!</v>
      </c>
      <c r="BC91" s="2620" t="e">
        <f t="shared" si="39"/>
        <v>#VALUE!</v>
      </c>
    </row>
    <row r="92" spans="1:55" s="2459" customFormat="1" ht="19.5" customHeight="1">
      <c r="A92" s="1706">
        <f t="shared" si="20"/>
        <v>0</v>
      </c>
      <c r="B92" s="6301" t="str">
        <f t="shared" si="21"/>
        <v/>
      </c>
      <c r="C92" s="6302"/>
      <c r="D92" s="6302"/>
      <c r="E92" s="6302"/>
      <c r="F92" s="6302"/>
      <c r="G92" s="6302"/>
      <c r="H92" s="6302"/>
      <c r="I92" s="6303"/>
      <c r="J92" s="6304" t="str">
        <f t="shared" si="22"/>
        <v/>
      </c>
      <c r="K92" s="6305"/>
      <c r="L92" s="6305"/>
      <c r="M92" s="6304" t="str">
        <f t="shared" si="23"/>
        <v/>
      </c>
      <c r="N92" s="6305"/>
      <c r="O92" s="6305"/>
      <c r="P92" s="6306"/>
      <c r="Q92" s="4641" t="str">
        <f t="shared" si="24"/>
        <v/>
      </c>
      <c r="R92" s="6307"/>
      <c r="S92" s="6307"/>
      <c r="T92" s="6308"/>
      <c r="U92" s="4641" t="str">
        <f t="shared" si="25"/>
        <v/>
      </c>
      <c r="V92" s="6307"/>
      <c r="W92" s="6307"/>
      <c r="X92" s="6308"/>
      <c r="Y92" s="6300" t="str">
        <f t="shared" si="26"/>
        <v/>
      </c>
      <c r="Z92" s="4756"/>
      <c r="AA92" s="6300" t="str">
        <f t="shared" si="27"/>
        <v/>
      </c>
      <c r="AB92" s="4756"/>
      <c r="AC92" s="6309" t="str">
        <f t="shared" si="28"/>
        <v/>
      </c>
      <c r="AD92" s="6310"/>
      <c r="AE92" s="6310"/>
      <c r="AF92" s="6310"/>
      <c r="AG92" s="2631">
        <f t="shared" si="29"/>
        <v>0</v>
      </c>
      <c r="AH92" s="1644"/>
      <c r="AI92" s="1644" t="e">
        <f t="shared" si="30"/>
        <v>#VALUE!</v>
      </c>
      <c r="AJ92" s="2467"/>
      <c r="AK92" s="2471"/>
      <c r="AL92" s="2471"/>
      <c r="AM92" s="2469"/>
      <c r="AN92" s="2469"/>
      <c r="AO92" s="2470"/>
      <c r="AP92" s="2469"/>
      <c r="AQ92" s="2468"/>
      <c r="AS92" s="2620" t="e">
        <f t="shared" si="31"/>
        <v>#VALUE!</v>
      </c>
      <c r="AT92" s="2620" t="e">
        <f t="shared" si="32"/>
        <v>#VALUE!</v>
      </c>
      <c r="AU92" s="2620" t="e">
        <f t="shared" si="33"/>
        <v>#VALUE!</v>
      </c>
      <c r="AV92" s="2620"/>
      <c r="AW92" s="2620" t="e">
        <f t="shared" si="34"/>
        <v>#VALUE!</v>
      </c>
      <c r="AX92" s="2620" t="e">
        <f t="shared" si="35"/>
        <v>#VALUE!</v>
      </c>
      <c r="AY92" s="2620" t="e">
        <f t="shared" si="36"/>
        <v>#VALUE!</v>
      </c>
      <c r="AZ92" s="2620"/>
      <c r="BA92" s="2620" t="e">
        <f t="shared" si="37"/>
        <v>#VALUE!</v>
      </c>
      <c r="BB92" s="2620" t="e">
        <f t="shared" si="38"/>
        <v>#VALUE!</v>
      </c>
      <c r="BC92" s="2620" t="e">
        <f t="shared" si="39"/>
        <v>#VALUE!</v>
      </c>
    </row>
    <row r="93" spans="1:55" s="2459" customFormat="1" ht="19.5" customHeight="1">
      <c r="A93" s="1706">
        <f t="shared" si="20"/>
        <v>0</v>
      </c>
      <c r="B93" s="6301" t="str">
        <f t="shared" si="21"/>
        <v/>
      </c>
      <c r="C93" s="6302"/>
      <c r="D93" s="6302"/>
      <c r="E93" s="6302"/>
      <c r="F93" s="6302"/>
      <c r="G93" s="6302"/>
      <c r="H93" s="6302"/>
      <c r="I93" s="6303"/>
      <c r="J93" s="6304" t="str">
        <f t="shared" si="22"/>
        <v/>
      </c>
      <c r="K93" s="6305"/>
      <c r="L93" s="6305"/>
      <c r="M93" s="6304" t="str">
        <f t="shared" si="23"/>
        <v/>
      </c>
      <c r="N93" s="6305"/>
      <c r="O93" s="6305"/>
      <c r="P93" s="6306"/>
      <c r="Q93" s="4641" t="str">
        <f t="shared" si="24"/>
        <v/>
      </c>
      <c r="R93" s="6307"/>
      <c r="S93" s="6307"/>
      <c r="T93" s="6308"/>
      <c r="U93" s="4641" t="str">
        <f t="shared" si="25"/>
        <v/>
      </c>
      <c r="V93" s="6307"/>
      <c r="W93" s="6307"/>
      <c r="X93" s="6308"/>
      <c r="Y93" s="6300" t="str">
        <f t="shared" si="26"/>
        <v/>
      </c>
      <c r="Z93" s="4756"/>
      <c r="AA93" s="6300" t="str">
        <f t="shared" si="27"/>
        <v/>
      </c>
      <c r="AB93" s="4756"/>
      <c r="AC93" s="6309" t="str">
        <f t="shared" si="28"/>
        <v/>
      </c>
      <c r="AD93" s="6310"/>
      <c r="AE93" s="6310"/>
      <c r="AF93" s="6310"/>
      <c r="AG93" s="2631">
        <f t="shared" si="29"/>
        <v>0</v>
      </c>
      <c r="AH93" s="1644"/>
      <c r="AI93" s="1644" t="e">
        <f t="shared" si="30"/>
        <v>#VALUE!</v>
      </c>
      <c r="AJ93" s="2467"/>
      <c r="AK93" s="2471"/>
      <c r="AL93" s="2471"/>
      <c r="AM93" s="2469"/>
      <c r="AN93" s="2469"/>
      <c r="AO93" s="2470"/>
      <c r="AP93" s="2469"/>
      <c r="AQ93" s="2468"/>
      <c r="AS93" s="2620" t="e">
        <f t="shared" si="31"/>
        <v>#VALUE!</v>
      </c>
      <c r="AT93" s="2620" t="e">
        <f t="shared" si="32"/>
        <v>#VALUE!</v>
      </c>
      <c r="AU93" s="2620" t="e">
        <f t="shared" si="33"/>
        <v>#VALUE!</v>
      </c>
      <c r="AV93" s="2620"/>
      <c r="AW93" s="2620" t="e">
        <f t="shared" si="34"/>
        <v>#VALUE!</v>
      </c>
      <c r="AX93" s="2620" t="e">
        <f t="shared" si="35"/>
        <v>#VALUE!</v>
      </c>
      <c r="AY93" s="2620" t="e">
        <f t="shared" si="36"/>
        <v>#VALUE!</v>
      </c>
      <c r="AZ93" s="2620"/>
      <c r="BA93" s="2620" t="e">
        <f t="shared" si="37"/>
        <v>#VALUE!</v>
      </c>
      <c r="BB93" s="2620" t="e">
        <f t="shared" si="38"/>
        <v>#VALUE!</v>
      </c>
      <c r="BC93" s="2620" t="e">
        <f t="shared" si="39"/>
        <v>#VALUE!</v>
      </c>
    </row>
    <row r="94" spans="1:55" s="2459" customFormat="1" ht="19.5" customHeight="1">
      <c r="A94" s="1706">
        <f t="shared" si="20"/>
        <v>0</v>
      </c>
      <c r="B94" s="6301" t="str">
        <f t="shared" si="21"/>
        <v/>
      </c>
      <c r="C94" s="6302"/>
      <c r="D94" s="6302"/>
      <c r="E94" s="6302"/>
      <c r="F94" s="6302"/>
      <c r="G94" s="6302"/>
      <c r="H94" s="6302"/>
      <c r="I94" s="6303"/>
      <c r="J94" s="6304" t="str">
        <f t="shared" si="22"/>
        <v/>
      </c>
      <c r="K94" s="6305"/>
      <c r="L94" s="6305"/>
      <c r="M94" s="6304" t="str">
        <f t="shared" si="23"/>
        <v/>
      </c>
      <c r="N94" s="6305"/>
      <c r="O94" s="6305"/>
      <c r="P94" s="6306"/>
      <c r="Q94" s="4641" t="str">
        <f t="shared" si="24"/>
        <v/>
      </c>
      <c r="R94" s="6307"/>
      <c r="S94" s="6307"/>
      <c r="T94" s="6308"/>
      <c r="U94" s="4641" t="str">
        <f t="shared" si="25"/>
        <v/>
      </c>
      <c r="V94" s="6307"/>
      <c r="W94" s="6307"/>
      <c r="X94" s="6308"/>
      <c r="Y94" s="6300" t="str">
        <f t="shared" si="26"/>
        <v/>
      </c>
      <c r="Z94" s="4756"/>
      <c r="AA94" s="6300" t="str">
        <f t="shared" si="27"/>
        <v/>
      </c>
      <c r="AB94" s="4756"/>
      <c r="AC94" s="6309" t="str">
        <f t="shared" si="28"/>
        <v/>
      </c>
      <c r="AD94" s="6310"/>
      <c r="AE94" s="6310"/>
      <c r="AF94" s="6310"/>
      <c r="AG94" s="2631">
        <f t="shared" si="29"/>
        <v>0</v>
      </c>
      <c r="AH94" s="1644"/>
      <c r="AI94" s="1644" t="e">
        <f t="shared" si="30"/>
        <v>#VALUE!</v>
      </c>
      <c r="AJ94" s="2467"/>
      <c r="AK94" s="2471"/>
      <c r="AL94" s="2471"/>
      <c r="AM94" s="2469"/>
      <c r="AN94" s="2469"/>
      <c r="AO94" s="2470"/>
      <c r="AP94" s="2469"/>
      <c r="AQ94" s="2468"/>
      <c r="AS94" s="2620" t="e">
        <f t="shared" si="31"/>
        <v>#VALUE!</v>
      </c>
      <c r="AT94" s="2620" t="e">
        <f t="shared" si="32"/>
        <v>#VALUE!</v>
      </c>
      <c r="AU94" s="2620" t="e">
        <f t="shared" si="33"/>
        <v>#VALUE!</v>
      </c>
      <c r="AV94" s="2620"/>
      <c r="AW94" s="2620" t="e">
        <f t="shared" si="34"/>
        <v>#VALUE!</v>
      </c>
      <c r="AX94" s="2620" t="e">
        <f t="shared" si="35"/>
        <v>#VALUE!</v>
      </c>
      <c r="AY94" s="2620" t="e">
        <f t="shared" si="36"/>
        <v>#VALUE!</v>
      </c>
      <c r="AZ94" s="2620"/>
      <c r="BA94" s="2620" t="e">
        <f t="shared" si="37"/>
        <v>#VALUE!</v>
      </c>
      <c r="BB94" s="2620" t="e">
        <f t="shared" si="38"/>
        <v>#VALUE!</v>
      </c>
      <c r="BC94" s="2620" t="e">
        <f t="shared" si="39"/>
        <v>#VALUE!</v>
      </c>
    </row>
    <row r="95" spans="1:55" s="2459" customFormat="1" ht="19.5" customHeight="1">
      <c r="A95" s="1706">
        <f t="shared" si="20"/>
        <v>0</v>
      </c>
      <c r="B95" s="6301" t="str">
        <f t="shared" si="21"/>
        <v/>
      </c>
      <c r="C95" s="6302"/>
      <c r="D95" s="6302"/>
      <c r="E95" s="6302"/>
      <c r="F95" s="6302"/>
      <c r="G95" s="6302"/>
      <c r="H95" s="6302"/>
      <c r="I95" s="6303"/>
      <c r="J95" s="6304" t="str">
        <f t="shared" si="22"/>
        <v/>
      </c>
      <c r="K95" s="6305"/>
      <c r="L95" s="6305"/>
      <c r="M95" s="6304" t="str">
        <f t="shared" si="23"/>
        <v/>
      </c>
      <c r="N95" s="6305"/>
      <c r="O95" s="6305"/>
      <c r="P95" s="6306"/>
      <c r="Q95" s="4641" t="str">
        <f t="shared" si="24"/>
        <v/>
      </c>
      <c r="R95" s="6307"/>
      <c r="S95" s="6307"/>
      <c r="T95" s="6308"/>
      <c r="U95" s="4641" t="str">
        <f t="shared" si="25"/>
        <v/>
      </c>
      <c r="V95" s="6307"/>
      <c r="W95" s="6307"/>
      <c r="X95" s="6308"/>
      <c r="Y95" s="6300" t="str">
        <f t="shared" si="26"/>
        <v/>
      </c>
      <c r="Z95" s="4756"/>
      <c r="AA95" s="6300" t="str">
        <f t="shared" si="27"/>
        <v/>
      </c>
      <c r="AB95" s="4756"/>
      <c r="AC95" s="6309" t="str">
        <f t="shared" si="28"/>
        <v/>
      </c>
      <c r="AD95" s="6310"/>
      <c r="AE95" s="6310"/>
      <c r="AF95" s="6310"/>
      <c r="AG95" s="2631">
        <f t="shared" si="29"/>
        <v>0</v>
      </c>
      <c r="AH95" s="1644"/>
      <c r="AI95" s="1644" t="e">
        <f t="shared" si="30"/>
        <v>#VALUE!</v>
      </c>
      <c r="AJ95" s="2467"/>
      <c r="AK95" s="2471"/>
      <c r="AL95" s="2471"/>
      <c r="AM95" s="2469"/>
      <c r="AN95" s="2469"/>
      <c r="AO95" s="2470"/>
      <c r="AP95" s="2469"/>
      <c r="AQ95" s="2468"/>
      <c r="AS95" s="2620" t="e">
        <f t="shared" si="31"/>
        <v>#VALUE!</v>
      </c>
      <c r="AT95" s="2620" t="e">
        <f t="shared" si="32"/>
        <v>#VALUE!</v>
      </c>
      <c r="AU95" s="2620" t="e">
        <f t="shared" si="33"/>
        <v>#VALUE!</v>
      </c>
      <c r="AV95" s="2620"/>
      <c r="AW95" s="2620" t="e">
        <f t="shared" si="34"/>
        <v>#VALUE!</v>
      </c>
      <c r="AX95" s="2620" t="e">
        <f t="shared" si="35"/>
        <v>#VALUE!</v>
      </c>
      <c r="AY95" s="2620" t="e">
        <f t="shared" si="36"/>
        <v>#VALUE!</v>
      </c>
      <c r="AZ95" s="2620"/>
      <c r="BA95" s="2620" t="e">
        <f t="shared" si="37"/>
        <v>#VALUE!</v>
      </c>
      <c r="BB95" s="2620" t="e">
        <f t="shared" si="38"/>
        <v>#VALUE!</v>
      </c>
      <c r="BC95" s="2620" t="e">
        <f t="shared" si="39"/>
        <v>#VALUE!</v>
      </c>
    </row>
    <row r="96" spans="1:55" s="2459" customFormat="1" ht="19.5" customHeight="1">
      <c r="A96" s="1706">
        <f t="shared" si="20"/>
        <v>0</v>
      </c>
      <c r="B96" s="6301" t="str">
        <f t="shared" si="21"/>
        <v/>
      </c>
      <c r="C96" s="6302"/>
      <c r="D96" s="6302"/>
      <c r="E96" s="6302"/>
      <c r="F96" s="6302"/>
      <c r="G96" s="6302"/>
      <c r="H96" s="6302"/>
      <c r="I96" s="6303"/>
      <c r="J96" s="6304" t="str">
        <f t="shared" si="22"/>
        <v/>
      </c>
      <c r="K96" s="6305"/>
      <c r="L96" s="6305"/>
      <c r="M96" s="6304" t="str">
        <f t="shared" si="23"/>
        <v/>
      </c>
      <c r="N96" s="6305"/>
      <c r="O96" s="6305"/>
      <c r="P96" s="6306"/>
      <c r="Q96" s="4641" t="str">
        <f t="shared" si="24"/>
        <v/>
      </c>
      <c r="R96" s="6307"/>
      <c r="S96" s="6307"/>
      <c r="T96" s="6308"/>
      <c r="U96" s="4641" t="str">
        <f t="shared" si="25"/>
        <v/>
      </c>
      <c r="V96" s="6307"/>
      <c r="W96" s="6307"/>
      <c r="X96" s="6308"/>
      <c r="Y96" s="6300" t="str">
        <f t="shared" si="26"/>
        <v/>
      </c>
      <c r="Z96" s="4756"/>
      <c r="AA96" s="6300" t="str">
        <f t="shared" si="27"/>
        <v/>
      </c>
      <c r="AB96" s="4756"/>
      <c r="AC96" s="6309" t="str">
        <f t="shared" si="28"/>
        <v/>
      </c>
      <c r="AD96" s="6310"/>
      <c r="AE96" s="6310"/>
      <c r="AF96" s="6310"/>
      <c r="AG96" s="2631">
        <f t="shared" si="29"/>
        <v>0</v>
      </c>
      <c r="AH96" s="1644"/>
      <c r="AI96" s="1644" t="e">
        <f t="shared" si="30"/>
        <v>#VALUE!</v>
      </c>
      <c r="AJ96" s="2467"/>
      <c r="AK96" s="2471"/>
      <c r="AL96" s="2471"/>
      <c r="AM96" s="2469"/>
      <c r="AN96" s="2469"/>
      <c r="AO96" s="2470"/>
      <c r="AP96" s="2469"/>
      <c r="AQ96" s="2468"/>
      <c r="AS96" s="2620" t="e">
        <f t="shared" si="31"/>
        <v>#VALUE!</v>
      </c>
      <c r="AT96" s="2620" t="e">
        <f t="shared" si="32"/>
        <v>#VALUE!</v>
      </c>
      <c r="AU96" s="2620" t="e">
        <f t="shared" si="33"/>
        <v>#VALUE!</v>
      </c>
      <c r="AV96" s="2620"/>
      <c r="AW96" s="2620" t="e">
        <f t="shared" si="34"/>
        <v>#VALUE!</v>
      </c>
      <c r="AX96" s="2620" t="e">
        <f t="shared" si="35"/>
        <v>#VALUE!</v>
      </c>
      <c r="AY96" s="2620" t="e">
        <f t="shared" si="36"/>
        <v>#VALUE!</v>
      </c>
      <c r="AZ96" s="2620"/>
      <c r="BA96" s="2620" t="e">
        <f t="shared" si="37"/>
        <v>#VALUE!</v>
      </c>
      <c r="BB96" s="2620" t="e">
        <f t="shared" si="38"/>
        <v>#VALUE!</v>
      </c>
      <c r="BC96" s="2620" t="e">
        <f t="shared" si="39"/>
        <v>#VALUE!</v>
      </c>
    </row>
    <row r="97" spans="1:55" s="2459" customFormat="1" ht="19.5" customHeight="1">
      <c r="A97" s="1706">
        <f t="shared" si="20"/>
        <v>0</v>
      </c>
      <c r="B97" s="6301" t="str">
        <f t="shared" si="21"/>
        <v/>
      </c>
      <c r="C97" s="6302"/>
      <c r="D97" s="6302"/>
      <c r="E97" s="6302"/>
      <c r="F97" s="6302"/>
      <c r="G97" s="6302"/>
      <c r="H97" s="6302"/>
      <c r="I97" s="6303"/>
      <c r="J97" s="6304" t="str">
        <f t="shared" si="22"/>
        <v/>
      </c>
      <c r="K97" s="6305"/>
      <c r="L97" s="6305"/>
      <c r="M97" s="6304" t="str">
        <f t="shared" si="23"/>
        <v/>
      </c>
      <c r="N97" s="6305"/>
      <c r="O97" s="6305"/>
      <c r="P97" s="6306"/>
      <c r="Q97" s="4641" t="str">
        <f t="shared" si="24"/>
        <v/>
      </c>
      <c r="R97" s="6307"/>
      <c r="S97" s="6307"/>
      <c r="T97" s="6308"/>
      <c r="U97" s="4641" t="str">
        <f t="shared" si="25"/>
        <v/>
      </c>
      <c r="V97" s="6307"/>
      <c r="W97" s="6307"/>
      <c r="X97" s="6308"/>
      <c r="Y97" s="6300" t="str">
        <f t="shared" si="26"/>
        <v/>
      </c>
      <c r="Z97" s="4756"/>
      <c r="AA97" s="6300" t="str">
        <f t="shared" si="27"/>
        <v/>
      </c>
      <c r="AB97" s="4756"/>
      <c r="AC97" s="6309" t="str">
        <f t="shared" si="28"/>
        <v/>
      </c>
      <c r="AD97" s="6310"/>
      <c r="AE97" s="6310"/>
      <c r="AF97" s="6310"/>
      <c r="AG97" s="2631">
        <f t="shared" si="29"/>
        <v>0</v>
      </c>
      <c r="AH97" s="1644"/>
      <c r="AI97" s="1644" t="e">
        <f t="shared" si="30"/>
        <v>#VALUE!</v>
      </c>
      <c r="AJ97" s="2467"/>
      <c r="AK97" s="2471"/>
      <c r="AL97" s="2471"/>
      <c r="AM97" s="2469"/>
      <c r="AN97" s="2469"/>
      <c r="AO97" s="2470"/>
      <c r="AP97" s="2469"/>
      <c r="AQ97" s="2468"/>
      <c r="AS97" s="2620" t="e">
        <f t="shared" si="31"/>
        <v>#VALUE!</v>
      </c>
      <c r="AT97" s="2620" t="e">
        <f t="shared" si="32"/>
        <v>#VALUE!</v>
      </c>
      <c r="AU97" s="2620" t="e">
        <f t="shared" si="33"/>
        <v>#VALUE!</v>
      </c>
      <c r="AV97" s="2620"/>
      <c r="AW97" s="2620" t="e">
        <f t="shared" si="34"/>
        <v>#VALUE!</v>
      </c>
      <c r="AX97" s="2620" t="e">
        <f t="shared" si="35"/>
        <v>#VALUE!</v>
      </c>
      <c r="AY97" s="2620" t="e">
        <f t="shared" si="36"/>
        <v>#VALUE!</v>
      </c>
      <c r="AZ97" s="2620"/>
      <c r="BA97" s="2620" t="e">
        <f t="shared" si="37"/>
        <v>#VALUE!</v>
      </c>
      <c r="BB97" s="2620" t="e">
        <f t="shared" si="38"/>
        <v>#VALUE!</v>
      </c>
      <c r="BC97" s="2620" t="e">
        <f t="shared" si="39"/>
        <v>#VALUE!</v>
      </c>
    </row>
    <row r="98" spans="1:55" s="2459" customFormat="1" ht="19.5" customHeight="1">
      <c r="A98" s="1706">
        <f t="shared" si="20"/>
        <v>0</v>
      </c>
      <c r="B98" s="6301" t="str">
        <f t="shared" si="21"/>
        <v/>
      </c>
      <c r="C98" s="6302"/>
      <c r="D98" s="6302"/>
      <c r="E98" s="6302"/>
      <c r="F98" s="6302"/>
      <c r="G98" s="6302"/>
      <c r="H98" s="6302"/>
      <c r="I98" s="6303"/>
      <c r="J98" s="6304" t="str">
        <f t="shared" si="22"/>
        <v/>
      </c>
      <c r="K98" s="6305"/>
      <c r="L98" s="6305"/>
      <c r="M98" s="6304" t="str">
        <f t="shared" si="23"/>
        <v/>
      </c>
      <c r="N98" s="6305"/>
      <c r="O98" s="6305"/>
      <c r="P98" s="6306"/>
      <c r="Q98" s="4641" t="str">
        <f t="shared" si="24"/>
        <v/>
      </c>
      <c r="R98" s="6307"/>
      <c r="S98" s="6307"/>
      <c r="T98" s="6308"/>
      <c r="U98" s="4641" t="str">
        <f t="shared" si="25"/>
        <v/>
      </c>
      <c r="V98" s="6307"/>
      <c r="W98" s="6307"/>
      <c r="X98" s="6308"/>
      <c r="Y98" s="6300" t="str">
        <f t="shared" si="26"/>
        <v/>
      </c>
      <c r="Z98" s="4756"/>
      <c r="AA98" s="6300" t="str">
        <f t="shared" si="27"/>
        <v/>
      </c>
      <c r="AB98" s="4756"/>
      <c r="AC98" s="6309" t="str">
        <f t="shared" si="28"/>
        <v/>
      </c>
      <c r="AD98" s="6310"/>
      <c r="AE98" s="6310"/>
      <c r="AF98" s="6310"/>
      <c r="AG98" s="2631">
        <f t="shared" si="29"/>
        <v>0</v>
      </c>
      <c r="AH98" s="1644"/>
      <c r="AI98" s="1644" t="e">
        <f t="shared" si="30"/>
        <v>#VALUE!</v>
      </c>
      <c r="AJ98" s="2467"/>
      <c r="AK98" s="2471"/>
      <c r="AL98" s="2471"/>
      <c r="AM98" s="2469"/>
      <c r="AN98" s="2469"/>
      <c r="AO98" s="2470"/>
      <c r="AP98" s="2469"/>
      <c r="AQ98" s="2468"/>
      <c r="AS98" s="2620" t="e">
        <f t="shared" si="31"/>
        <v>#VALUE!</v>
      </c>
      <c r="AT98" s="2620" t="e">
        <f t="shared" si="32"/>
        <v>#VALUE!</v>
      </c>
      <c r="AU98" s="2620" t="e">
        <f t="shared" si="33"/>
        <v>#VALUE!</v>
      </c>
      <c r="AV98" s="2620"/>
      <c r="AW98" s="2620" t="e">
        <f t="shared" si="34"/>
        <v>#VALUE!</v>
      </c>
      <c r="AX98" s="2620" t="e">
        <f t="shared" si="35"/>
        <v>#VALUE!</v>
      </c>
      <c r="AY98" s="2620" t="e">
        <f t="shared" si="36"/>
        <v>#VALUE!</v>
      </c>
      <c r="AZ98" s="2620"/>
      <c r="BA98" s="2620" t="e">
        <f t="shared" si="37"/>
        <v>#VALUE!</v>
      </c>
      <c r="BB98" s="2620" t="e">
        <f t="shared" si="38"/>
        <v>#VALUE!</v>
      </c>
      <c r="BC98" s="2620" t="e">
        <f t="shared" si="39"/>
        <v>#VALUE!</v>
      </c>
    </row>
    <row r="99" spans="1:55" s="2459" customFormat="1" ht="19.5" customHeight="1">
      <c r="A99" s="1706">
        <f t="shared" si="20"/>
        <v>0</v>
      </c>
      <c r="B99" s="6301" t="str">
        <f t="shared" si="21"/>
        <v/>
      </c>
      <c r="C99" s="6302"/>
      <c r="D99" s="6302"/>
      <c r="E99" s="6302"/>
      <c r="F99" s="6302"/>
      <c r="G99" s="6302"/>
      <c r="H99" s="6302"/>
      <c r="I99" s="6303"/>
      <c r="J99" s="6304" t="str">
        <f t="shared" si="22"/>
        <v/>
      </c>
      <c r="K99" s="6305"/>
      <c r="L99" s="6305"/>
      <c r="M99" s="6304" t="str">
        <f t="shared" si="23"/>
        <v/>
      </c>
      <c r="N99" s="6305"/>
      <c r="O99" s="6305"/>
      <c r="P99" s="6306"/>
      <c r="Q99" s="4641" t="str">
        <f t="shared" si="24"/>
        <v/>
      </c>
      <c r="R99" s="6307"/>
      <c r="S99" s="6307"/>
      <c r="T99" s="6308"/>
      <c r="U99" s="4641" t="str">
        <f t="shared" si="25"/>
        <v/>
      </c>
      <c r="V99" s="6307"/>
      <c r="W99" s="6307"/>
      <c r="X99" s="6308"/>
      <c r="Y99" s="6300" t="str">
        <f t="shared" si="26"/>
        <v/>
      </c>
      <c r="Z99" s="4756"/>
      <c r="AA99" s="6300" t="str">
        <f t="shared" si="27"/>
        <v/>
      </c>
      <c r="AB99" s="4756"/>
      <c r="AC99" s="6309" t="str">
        <f t="shared" si="28"/>
        <v/>
      </c>
      <c r="AD99" s="6310"/>
      <c r="AE99" s="6310"/>
      <c r="AF99" s="6310"/>
      <c r="AG99" s="2631">
        <f t="shared" si="29"/>
        <v>0</v>
      </c>
      <c r="AH99" s="1644"/>
      <c r="AI99" s="1644" t="e">
        <f t="shared" si="30"/>
        <v>#VALUE!</v>
      </c>
      <c r="AJ99" s="2467"/>
      <c r="AK99" s="2471"/>
      <c r="AL99" s="2471"/>
      <c r="AM99" s="2469"/>
      <c r="AN99" s="2469"/>
      <c r="AO99" s="2470"/>
      <c r="AP99" s="2469"/>
      <c r="AQ99" s="2468"/>
      <c r="AS99" s="2620" t="e">
        <f t="shared" si="31"/>
        <v>#VALUE!</v>
      </c>
      <c r="AT99" s="2620" t="e">
        <f t="shared" si="32"/>
        <v>#VALUE!</v>
      </c>
      <c r="AU99" s="2620" t="e">
        <f t="shared" si="33"/>
        <v>#VALUE!</v>
      </c>
      <c r="AV99" s="2620"/>
      <c r="AW99" s="2620" t="e">
        <f t="shared" si="34"/>
        <v>#VALUE!</v>
      </c>
      <c r="AX99" s="2620" t="e">
        <f t="shared" si="35"/>
        <v>#VALUE!</v>
      </c>
      <c r="AY99" s="2620" t="e">
        <f t="shared" si="36"/>
        <v>#VALUE!</v>
      </c>
      <c r="AZ99" s="2620"/>
      <c r="BA99" s="2620" t="e">
        <f t="shared" si="37"/>
        <v>#VALUE!</v>
      </c>
      <c r="BB99" s="2620" t="e">
        <f t="shared" si="38"/>
        <v>#VALUE!</v>
      </c>
      <c r="BC99" s="2620" t="e">
        <f t="shared" si="39"/>
        <v>#VALUE!</v>
      </c>
    </row>
    <row r="100" spans="1:55" s="2459" customFormat="1" ht="19.5" customHeight="1">
      <c r="A100" s="1706">
        <f t="shared" si="20"/>
        <v>0</v>
      </c>
      <c r="B100" s="6301" t="str">
        <f t="shared" si="21"/>
        <v/>
      </c>
      <c r="C100" s="6302"/>
      <c r="D100" s="6302"/>
      <c r="E100" s="6302"/>
      <c r="F100" s="6302"/>
      <c r="G100" s="6302"/>
      <c r="H100" s="6302"/>
      <c r="I100" s="6303"/>
      <c r="J100" s="6304" t="str">
        <f t="shared" si="22"/>
        <v/>
      </c>
      <c r="K100" s="6305"/>
      <c r="L100" s="6305"/>
      <c r="M100" s="6304" t="str">
        <f t="shared" si="23"/>
        <v/>
      </c>
      <c r="N100" s="6305"/>
      <c r="O100" s="6305"/>
      <c r="P100" s="6306"/>
      <c r="Q100" s="4641" t="str">
        <f t="shared" si="24"/>
        <v/>
      </c>
      <c r="R100" s="6307"/>
      <c r="S100" s="6307"/>
      <c r="T100" s="6308"/>
      <c r="U100" s="4641" t="str">
        <f t="shared" si="25"/>
        <v/>
      </c>
      <c r="V100" s="6307"/>
      <c r="W100" s="6307"/>
      <c r="X100" s="6308"/>
      <c r="Y100" s="6300" t="str">
        <f t="shared" si="26"/>
        <v/>
      </c>
      <c r="Z100" s="4756"/>
      <c r="AA100" s="6300" t="str">
        <f t="shared" si="27"/>
        <v/>
      </c>
      <c r="AB100" s="4756"/>
      <c r="AC100" s="6309" t="str">
        <f t="shared" si="28"/>
        <v/>
      </c>
      <c r="AD100" s="6310"/>
      <c r="AE100" s="6310"/>
      <c r="AF100" s="6310"/>
      <c r="AG100" s="2631">
        <f t="shared" si="29"/>
        <v>0</v>
      </c>
      <c r="AH100" s="1644"/>
      <c r="AI100" s="1644" t="e">
        <f t="shared" si="30"/>
        <v>#VALUE!</v>
      </c>
      <c r="AJ100" s="2467"/>
      <c r="AK100" s="2471"/>
      <c r="AL100" s="2471"/>
      <c r="AM100" s="2469"/>
      <c r="AN100" s="2469"/>
      <c r="AO100" s="2470"/>
      <c r="AP100" s="2469"/>
      <c r="AQ100" s="2468"/>
      <c r="AS100" s="2620" t="e">
        <f t="shared" si="31"/>
        <v>#VALUE!</v>
      </c>
      <c r="AT100" s="2620" t="e">
        <f t="shared" si="32"/>
        <v>#VALUE!</v>
      </c>
      <c r="AU100" s="2620" t="e">
        <f t="shared" si="33"/>
        <v>#VALUE!</v>
      </c>
      <c r="AV100" s="2620"/>
      <c r="AW100" s="2620" t="e">
        <f t="shared" si="34"/>
        <v>#VALUE!</v>
      </c>
      <c r="AX100" s="2620" t="e">
        <f t="shared" si="35"/>
        <v>#VALUE!</v>
      </c>
      <c r="AY100" s="2620" t="e">
        <f t="shared" si="36"/>
        <v>#VALUE!</v>
      </c>
      <c r="AZ100" s="2620"/>
      <c r="BA100" s="2620" t="e">
        <f t="shared" si="37"/>
        <v>#VALUE!</v>
      </c>
      <c r="BB100" s="2620" t="e">
        <f t="shared" si="38"/>
        <v>#VALUE!</v>
      </c>
      <c r="BC100" s="2620" t="e">
        <f t="shared" si="39"/>
        <v>#VALUE!</v>
      </c>
    </row>
    <row r="101" spans="1:55" s="2459" customFormat="1" ht="19.5" customHeight="1">
      <c r="A101" s="1706">
        <f t="shared" si="20"/>
        <v>0</v>
      </c>
      <c r="B101" s="6301" t="str">
        <f t="shared" si="21"/>
        <v/>
      </c>
      <c r="C101" s="6302"/>
      <c r="D101" s="6302"/>
      <c r="E101" s="6302"/>
      <c r="F101" s="6302"/>
      <c r="G101" s="6302"/>
      <c r="H101" s="6302"/>
      <c r="I101" s="6303"/>
      <c r="J101" s="6304" t="str">
        <f t="shared" si="22"/>
        <v/>
      </c>
      <c r="K101" s="6305"/>
      <c r="L101" s="6305"/>
      <c r="M101" s="6304" t="str">
        <f t="shared" si="23"/>
        <v/>
      </c>
      <c r="N101" s="6305"/>
      <c r="O101" s="6305"/>
      <c r="P101" s="6306"/>
      <c r="Q101" s="4641" t="str">
        <f t="shared" si="24"/>
        <v/>
      </c>
      <c r="R101" s="6307"/>
      <c r="S101" s="6307"/>
      <c r="T101" s="6308"/>
      <c r="U101" s="4641" t="str">
        <f t="shared" si="25"/>
        <v/>
      </c>
      <c r="V101" s="6307"/>
      <c r="W101" s="6307"/>
      <c r="X101" s="6308"/>
      <c r="Y101" s="6300" t="str">
        <f t="shared" si="26"/>
        <v/>
      </c>
      <c r="Z101" s="4756"/>
      <c r="AA101" s="6300" t="str">
        <f t="shared" si="27"/>
        <v/>
      </c>
      <c r="AB101" s="4756"/>
      <c r="AC101" s="6309" t="str">
        <f t="shared" si="28"/>
        <v/>
      </c>
      <c r="AD101" s="6310"/>
      <c r="AE101" s="6310"/>
      <c r="AF101" s="6310"/>
      <c r="AG101" s="2631">
        <f t="shared" si="29"/>
        <v>0</v>
      </c>
      <c r="AH101" s="1644"/>
      <c r="AI101" s="1644" t="e">
        <f t="shared" si="30"/>
        <v>#VALUE!</v>
      </c>
      <c r="AJ101" s="2467"/>
      <c r="AK101" s="2471"/>
      <c r="AL101" s="2471"/>
      <c r="AM101" s="2469"/>
      <c r="AN101" s="2469"/>
      <c r="AO101" s="2470"/>
      <c r="AP101" s="2469"/>
      <c r="AQ101" s="2468"/>
      <c r="AS101" s="2620" t="e">
        <f t="shared" si="31"/>
        <v>#VALUE!</v>
      </c>
      <c r="AT101" s="2620" t="e">
        <f t="shared" si="32"/>
        <v>#VALUE!</v>
      </c>
      <c r="AU101" s="2620" t="e">
        <f t="shared" si="33"/>
        <v>#VALUE!</v>
      </c>
      <c r="AV101" s="2620"/>
      <c r="AW101" s="2620" t="e">
        <f t="shared" si="34"/>
        <v>#VALUE!</v>
      </c>
      <c r="AX101" s="2620" t="e">
        <f t="shared" si="35"/>
        <v>#VALUE!</v>
      </c>
      <c r="AY101" s="2620" t="e">
        <f t="shared" si="36"/>
        <v>#VALUE!</v>
      </c>
      <c r="AZ101" s="2620"/>
      <c r="BA101" s="2620" t="e">
        <f t="shared" si="37"/>
        <v>#VALUE!</v>
      </c>
      <c r="BB101" s="2620" t="e">
        <f t="shared" si="38"/>
        <v>#VALUE!</v>
      </c>
      <c r="BC101" s="2620" t="e">
        <f t="shared" si="39"/>
        <v>#VALUE!</v>
      </c>
    </row>
    <row r="102" spans="1:55" s="2459" customFormat="1" ht="19.5" customHeight="1">
      <c r="A102" s="1706">
        <f t="shared" si="20"/>
        <v>0</v>
      </c>
      <c r="B102" s="6301" t="str">
        <f t="shared" si="21"/>
        <v/>
      </c>
      <c r="C102" s="6302"/>
      <c r="D102" s="6302"/>
      <c r="E102" s="6302"/>
      <c r="F102" s="6302"/>
      <c r="G102" s="6302"/>
      <c r="H102" s="6302"/>
      <c r="I102" s="6303"/>
      <c r="J102" s="6304" t="str">
        <f t="shared" si="22"/>
        <v/>
      </c>
      <c r="K102" s="6305"/>
      <c r="L102" s="6305"/>
      <c r="M102" s="6304" t="str">
        <f t="shared" si="23"/>
        <v/>
      </c>
      <c r="N102" s="6305"/>
      <c r="O102" s="6305"/>
      <c r="P102" s="6306"/>
      <c r="Q102" s="4641" t="str">
        <f t="shared" si="24"/>
        <v/>
      </c>
      <c r="R102" s="6307"/>
      <c r="S102" s="6307"/>
      <c r="T102" s="6308"/>
      <c r="U102" s="4641" t="str">
        <f t="shared" si="25"/>
        <v/>
      </c>
      <c r="V102" s="6307"/>
      <c r="W102" s="6307"/>
      <c r="X102" s="6308"/>
      <c r="Y102" s="6300" t="str">
        <f t="shared" si="26"/>
        <v/>
      </c>
      <c r="Z102" s="4756"/>
      <c r="AA102" s="6300" t="str">
        <f t="shared" si="27"/>
        <v/>
      </c>
      <c r="AB102" s="4756"/>
      <c r="AC102" s="6309" t="str">
        <f t="shared" si="28"/>
        <v/>
      </c>
      <c r="AD102" s="6310"/>
      <c r="AE102" s="6310"/>
      <c r="AF102" s="6310"/>
      <c r="AG102" s="2631">
        <f t="shared" si="29"/>
        <v>0</v>
      </c>
      <c r="AH102" s="1644"/>
      <c r="AI102" s="1644" t="e">
        <f t="shared" si="30"/>
        <v>#VALUE!</v>
      </c>
      <c r="AJ102" s="2467"/>
      <c r="AK102" s="2471"/>
      <c r="AL102" s="2471"/>
      <c r="AM102" s="2469"/>
      <c r="AN102" s="2469"/>
      <c r="AO102" s="2470"/>
      <c r="AP102" s="2469"/>
      <c r="AQ102" s="2468"/>
      <c r="AS102" s="2620" t="e">
        <f t="shared" si="31"/>
        <v>#VALUE!</v>
      </c>
      <c r="AT102" s="2620" t="e">
        <f t="shared" si="32"/>
        <v>#VALUE!</v>
      </c>
      <c r="AU102" s="2620" t="e">
        <f t="shared" si="33"/>
        <v>#VALUE!</v>
      </c>
      <c r="AV102" s="2620"/>
      <c r="AW102" s="2620" t="e">
        <f t="shared" si="34"/>
        <v>#VALUE!</v>
      </c>
      <c r="AX102" s="2620" t="e">
        <f t="shared" si="35"/>
        <v>#VALUE!</v>
      </c>
      <c r="AY102" s="2620" t="e">
        <f t="shared" si="36"/>
        <v>#VALUE!</v>
      </c>
      <c r="AZ102" s="2620"/>
      <c r="BA102" s="2620" t="e">
        <f t="shared" si="37"/>
        <v>#VALUE!</v>
      </c>
      <c r="BB102" s="2620" t="e">
        <f t="shared" si="38"/>
        <v>#VALUE!</v>
      </c>
      <c r="BC102" s="2620" t="e">
        <f t="shared" si="39"/>
        <v>#VALUE!</v>
      </c>
    </row>
    <row r="103" spans="1:55" s="2459" customFormat="1" ht="19.5" customHeight="1">
      <c r="A103" s="1706">
        <f t="shared" si="20"/>
        <v>0</v>
      </c>
      <c r="B103" s="6301" t="str">
        <f t="shared" si="21"/>
        <v/>
      </c>
      <c r="C103" s="6302"/>
      <c r="D103" s="6302"/>
      <c r="E103" s="6302"/>
      <c r="F103" s="6302"/>
      <c r="G103" s="6302"/>
      <c r="H103" s="6302"/>
      <c r="I103" s="6303"/>
      <c r="J103" s="6304" t="str">
        <f t="shared" si="22"/>
        <v/>
      </c>
      <c r="K103" s="6305"/>
      <c r="L103" s="6305"/>
      <c r="M103" s="6304" t="str">
        <f t="shared" si="23"/>
        <v/>
      </c>
      <c r="N103" s="6305"/>
      <c r="O103" s="6305"/>
      <c r="P103" s="6306"/>
      <c r="Q103" s="4641" t="str">
        <f t="shared" si="24"/>
        <v/>
      </c>
      <c r="R103" s="6307"/>
      <c r="S103" s="6307"/>
      <c r="T103" s="6308"/>
      <c r="U103" s="4641" t="str">
        <f t="shared" si="25"/>
        <v/>
      </c>
      <c r="V103" s="6307"/>
      <c r="W103" s="6307"/>
      <c r="X103" s="6308"/>
      <c r="Y103" s="6300" t="str">
        <f t="shared" si="26"/>
        <v/>
      </c>
      <c r="Z103" s="4756"/>
      <c r="AA103" s="6300" t="str">
        <f t="shared" si="27"/>
        <v/>
      </c>
      <c r="AB103" s="4756"/>
      <c r="AC103" s="6309" t="str">
        <f t="shared" si="28"/>
        <v/>
      </c>
      <c r="AD103" s="6310"/>
      <c r="AE103" s="6310"/>
      <c r="AF103" s="6310"/>
      <c r="AG103" s="2631">
        <f t="shared" si="29"/>
        <v>0</v>
      </c>
      <c r="AH103" s="1644"/>
      <c r="AI103" s="1644" t="e">
        <f t="shared" si="30"/>
        <v>#VALUE!</v>
      </c>
      <c r="AJ103" s="2467"/>
      <c r="AK103" s="2471"/>
      <c r="AL103" s="2471"/>
      <c r="AM103" s="2469"/>
      <c r="AN103" s="2469"/>
      <c r="AO103" s="2470"/>
      <c r="AP103" s="2469"/>
      <c r="AQ103" s="2468"/>
      <c r="AS103" s="2620" t="e">
        <f t="shared" si="31"/>
        <v>#VALUE!</v>
      </c>
      <c r="AT103" s="2620" t="e">
        <f t="shared" si="32"/>
        <v>#VALUE!</v>
      </c>
      <c r="AU103" s="2620" t="e">
        <f t="shared" si="33"/>
        <v>#VALUE!</v>
      </c>
      <c r="AV103" s="2620"/>
      <c r="AW103" s="2620" t="e">
        <f t="shared" si="34"/>
        <v>#VALUE!</v>
      </c>
      <c r="AX103" s="2620" t="e">
        <f t="shared" si="35"/>
        <v>#VALUE!</v>
      </c>
      <c r="AY103" s="2620" t="e">
        <f t="shared" si="36"/>
        <v>#VALUE!</v>
      </c>
      <c r="AZ103" s="2620"/>
      <c r="BA103" s="2620" t="e">
        <f t="shared" si="37"/>
        <v>#VALUE!</v>
      </c>
      <c r="BB103" s="2620" t="e">
        <f t="shared" si="38"/>
        <v>#VALUE!</v>
      </c>
      <c r="BC103" s="2620" t="e">
        <f t="shared" si="39"/>
        <v>#VALUE!</v>
      </c>
    </row>
    <row r="104" spans="1:55" s="2459" customFormat="1" ht="19.5" customHeight="1">
      <c r="A104" s="1706">
        <f t="shared" si="20"/>
        <v>0</v>
      </c>
      <c r="B104" s="6301" t="str">
        <f t="shared" si="21"/>
        <v/>
      </c>
      <c r="C104" s="6302"/>
      <c r="D104" s="6302"/>
      <c r="E104" s="6302"/>
      <c r="F104" s="6302"/>
      <c r="G104" s="6302"/>
      <c r="H104" s="6302"/>
      <c r="I104" s="6303"/>
      <c r="J104" s="6304" t="str">
        <f t="shared" si="22"/>
        <v/>
      </c>
      <c r="K104" s="6305"/>
      <c r="L104" s="6305"/>
      <c r="M104" s="6304" t="str">
        <f t="shared" si="23"/>
        <v/>
      </c>
      <c r="N104" s="6305"/>
      <c r="O104" s="6305"/>
      <c r="P104" s="6306"/>
      <c r="Q104" s="4641" t="str">
        <f t="shared" si="24"/>
        <v/>
      </c>
      <c r="R104" s="6307"/>
      <c r="S104" s="6307"/>
      <c r="T104" s="6308"/>
      <c r="U104" s="4641" t="str">
        <f t="shared" si="25"/>
        <v/>
      </c>
      <c r="V104" s="6307"/>
      <c r="W104" s="6307"/>
      <c r="X104" s="6308"/>
      <c r="Y104" s="6300" t="str">
        <f t="shared" si="26"/>
        <v/>
      </c>
      <c r="Z104" s="4756"/>
      <c r="AA104" s="6300" t="str">
        <f t="shared" si="27"/>
        <v/>
      </c>
      <c r="AB104" s="4756"/>
      <c r="AC104" s="6309" t="str">
        <f t="shared" si="28"/>
        <v/>
      </c>
      <c r="AD104" s="6310"/>
      <c r="AE104" s="6310"/>
      <c r="AF104" s="6310"/>
      <c r="AG104" s="2631">
        <f t="shared" si="29"/>
        <v>0</v>
      </c>
      <c r="AH104" s="1644"/>
      <c r="AI104" s="1644" t="e">
        <f t="shared" si="30"/>
        <v>#VALUE!</v>
      </c>
      <c r="AJ104" s="2467"/>
      <c r="AK104" s="2471"/>
      <c r="AL104" s="2471"/>
      <c r="AM104" s="2469"/>
      <c r="AN104" s="2469"/>
      <c r="AO104" s="2470"/>
      <c r="AP104" s="2469"/>
      <c r="AQ104" s="2468"/>
      <c r="AS104" s="2620" t="e">
        <f t="shared" si="31"/>
        <v>#VALUE!</v>
      </c>
      <c r="AT104" s="2620" t="e">
        <f t="shared" si="32"/>
        <v>#VALUE!</v>
      </c>
      <c r="AU104" s="2620" t="e">
        <f t="shared" si="33"/>
        <v>#VALUE!</v>
      </c>
      <c r="AV104" s="2620"/>
      <c r="AW104" s="2620" t="e">
        <f t="shared" si="34"/>
        <v>#VALUE!</v>
      </c>
      <c r="AX104" s="2620" t="e">
        <f t="shared" si="35"/>
        <v>#VALUE!</v>
      </c>
      <c r="AY104" s="2620" t="e">
        <f t="shared" si="36"/>
        <v>#VALUE!</v>
      </c>
      <c r="AZ104" s="2620"/>
      <c r="BA104" s="2620" t="e">
        <f t="shared" si="37"/>
        <v>#VALUE!</v>
      </c>
      <c r="BB104" s="2620" t="e">
        <f t="shared" si="38"/>
        <v>#VALUE!</v>
      </c>
      <c r="BC104" s="2620" t="e">
        <f t="shared" si="39"/>
        <v>#VALUE!</v>
      </c>
    </row>
    <row r="105" spans="1:55" s="2459" customFormat="1" ht="19.5" customHeight="1">
      <c r="A105" s="1706">
        <f t="shared" si="20"/>
        <v>0</v>
      </c>
      <c r="B105" s="6301" t="str">
        <f t="shared" si="21"/>
        <v/>
      </c>
      <c r="C105" s="6302"/>
      <c r="D105" s="6302"/>
      <c r="E105" s="6302"/>
      <c r="F105" s="6302"/>
      <c r="G105" s="6302"/>
      <c r="H105" s="6302"/>
      <c r="I105" s="6303"/>
      <c r="J105" s="6304" t="str">
        <f t="shared" si="22"/>
        <v/>
      </c>
      <c r="K105" s="6305"/>
      <c r="L105" s="6305"/>
      <c r="M105" s="6304" t="str">
        <f t="shared" si="23"/>
        <v/>
      </c>
      <c r="N105" s="6305"/>
      <c r="O105" s="6305"/>
      <c r="P105" s="6306"/>
      <c r="Q105" s="4641" t="str">
        <f t="shared" si="24"/>
        <v/>
      </c>
      <c r="R105" s="6307"/>
      <c r="S105" s="6307"/>
      <c r="T105" s="6308"/>
      <c r="U105" s="4641" t="str">
        <f t="shared" si="25"/>
        <v/>
      </c>
      <c r="V105" s="6307"/>
      <c r="W105" s="6307"/>
      <c r="X105" s="6308"/>
      <c r="Y105" s="6300" t="str">
        <f t="shared" si="26"/>
        <v/>
      </c>
      <c r="Z105" s="4756"/>
      <c r="AA105" s="6300" t="str">
        <f t="shared" si="27"/>
        <v/>
      </c>
      <c r="AB105" s="4756"/>
      <c r="AC105" s="6309" t="str">
        <f t="shared" si="28"/>
        <v/>
      </c>
      <c r="AD105" s="6310"/>
      <c r="AE105" s="6310"/>
      <c r="AF105" s="6310"/>
      <c r="AG105" s="2631">
        <f t="shared" si="29"/>
        <v>0</v>
      </c>
      <c r="AH105" s="1644"/>
      <c r="AI105" s="1644" t="e">
        <f t="shared" si="30"/>
        <v>#VALUE!</v>
      </c>
      <c r="AJ105" s="2467"/>
      <c r="AK105" s="2471"/>
      <c r="AL105" s="2471"/>
      <c r="AM105" s="2469"/>
      <c r="AN105" s="2469"/>
      <c r="AO105" s="2470"/>
      <c r="AP105" s="2469"/>
      <c r="AQ105" s="2468"/>
      <c r="AS105" s="2620" t="e">
        <f t="shared" si="31"/>
        <v>#VALUE!</v>
      </c>
      <c r="AT105" s="2620" t="e">
        <f t="shared" si="32"/>
        <v>#VALUE!</v>
      </c>
      <c r="AU105" s="2620" t="e">
        <f t="shared" si="33"/>
        <v>#VALUE!</v>
      </c>
      <c r="AV105" s="2620"/>
      <c r="AW105" s="2620" t="e">
        <f t="shared" si="34"/>
        <v>#VALUE!</v>
      </c>
      <c r="AX105" s="2620" t="e">
        <f t="shared" si="35"/>
        <v>#VALUE!</v>
      </c>
      <c r="AY105" s="2620" t="e">
        <f t="shared" si="36"/>
        <v>#VALUE!</v>
      </c>
      <c r="AZ105" s="2620"/>
      <c r="BA105" s="2620" t="e">
        <f t="shared" si="37"/>
        <v>#VALUE!</v>
      </c>
      <c r="BB105" s="2620" t="e">
        <f t="shared" si="38"/>
        <v>#VALUE!</v>
      </c>
      <c r="BC105" s="2620" t="e">
        <f t="shared" si="39"/>
        <v>#VALUE!</v>
      </c>
    </row>
    <row r="106" spans="1:55" s="2459" customFormat="1" ht="19.5" customHeight="1">
      <c r="A106" s="1706">
        <f t="shared" si="20"/>
        <v>0</v>
      </c>
      <c r="B106" s="6301" t="str">
        <f t="shared" si="21"/>
        <v/>
      </c>
      <c r="C106" s="6302"/>
      <c r="D106" s="6302"/>
      <c r="E106" s="6302"/>
      <c r="F106" s="6302"/>
      <c r="G106" s="6302"/>
      <c r="H106" s="6302"/>
      <c r="I106" s="6303"/>
      <c r="J106" s="6304" t="str">
        <f t="shared" si="22"/>
        <v/>
      </c>
      <c r="K106" s="6305"/>
      <c r="L106" s="6305"/>
      <c r="M106" s="6304" t="str">
        <f t="shared" si="23"/>
        <v/>
      </c>
      <c r="N106" s="6305"/>
      <c r="O106" s="6305"/>
      <c r="P106" s="6306"/>
      <c r="Q106" s="4641" t="str">
        <f t="shared" si="24"/>
        <v/>
      </c>
      <c r="R106" s="6307"/>
      <c r="S106" s="6307"/>
      <c r="T106" s="6308"/>
      <c r="U106" s="4641" t="str">
        <f t="shared" si="25"/>
        <v/>
      </c>
      <c r="V106" s="6307"/>
      <c r="W106" s="6307"/>
      <c r="X106" s="6308"/>
      <c r="Y106" s="6300" t="str">
        <f t="shared" si="26"/>
        <v/>
      </c>
      <c r="Z106" s="4756"/>
      <c r="AA106" s="6300" t="str">
        <f t="shared" si="27"/>
        <v/>
      </c>
      <c r="AB106" s="4756"/>
      <c r="AC106" s="6309" t="str">
        <f t="shared" si="28"/>
        <v/>
      </c>
      <c r="AD106" s="6310"/>
      <c r="AE106" s="6310"/>
      <c r="AF106" s="6310"/>
      <c r="AG106" s="2631">
        <f t="shared" si="29"/>
        <v>0</v>
      </c>
      <c r="AH106" s="1644"/>
      <c r="AI106" s="1644" t="e">
        <f t="shared" si="30"/>
        <v>#VALUE!</v>
      </c>
      <c r="AJ106" s="2467"/>
      <c r="AK106" s="2471"/>
      <c r="AL106" s="2471"/>
      <c r="AM106" s="2469"/>
      <c r="AN106" s="2469"/>
      <c r="AO106" s="2470"/>
      <c r="AP106" s="2469"/>
      <c r="AQ106" s="2468"/>
      <c r="AS106" s="2620" t="e">
        <f t="shared" si="31"/>
        <v>#VALUE!</v>
      </c>
      <c r="AT106" s="2620" t="e">
        <f t="shared" si="32"/>
        <v>#VALUE!</v>
      </c>
      <c r="AU106" s="2620" t="e">
        <f t="shared" si="33"/>
        <v>#VALUE!</v>
      </c>
      <c r="AV106" s="2620"/>
      <c r="AW106" s="2620" t="e">
        <f t="shared" si="34"/>
        <v>#VALUE!</v>
      </c>
      <c r="AX106" s="2620" t="e">
        <f t="shared" si="35"/>
        <v>#VALUE!</v>
      </c>
      <c r="AY106" s="2620" t="e">
        <f t="shared" si="36"/>
        <v>#VALUE!</v>
      </c>
      <c r="AZ106" s="2620"/>
      <c r="BA106" s="2620" t="e">
        <f t="shared" si="37"/>
        <v>#VALUE!</v>
      </c>
      <c r="BB106" s="2620" t="e">
        <f t="shared" si="38"/>
        <v>#VALUE!</v>
      </c>
      <c r="BC106" s="2620" t="e">
        <f t="shared" si="39"/>
        <v>#VALUE!</v>
      </c>
    </row>
    <row r="107" spans="1:55" s="2459" customFormat="1" ht="19.5" customHeight="1">
      <c r="A107" s="1706">
        <f t="shared" si="20"/>
        <v>0</v>
      </c>
      <c r="B107" s="6301" t="str">
        <f t="shared" si="21"/>
        <v/>
      </c>
      <c r="C107" s="6302"/>
      <c r="D107" s="6302"/>
      <c r="E107" s="6302"/>
      <c r="F107" s="6302"/>
      <c r="G107" s="6302"/>
      <c r="H107" s="6302"/>
      <c r="I107" s="6303"/>
      <c r="J107" s="6304" t="str">
        <f t="shared" si="22"/>
        <v/>
      </c>
      <c r="K107" s="6305"/>
      <c r="L107" s="6305"/>
      <c r="M107" s="6304" t="str">
        <f t="shared" si="23"/>
        <v/>
      </c>
      <c r="N107" s="6305"/>
      <c r="O107" s="6305"/>
      <c r="P107" s="6306"/>
      <c r="Q107" s="4641" t="str">
        <f t="shared" si="24"/>
        <v/>
      </c>
      <c r="R107" s="6307"/>
      <c r="S107" s="6307"/>
      <c r="T107" s="6308"/>
      <c r="U107" s="4641" t="str">
        <f t="shared" si="25"/>
        <v/>
      </c>
      <c r="V107" s="6307"/>
      <c r="W107" s="6307"/>
      <c r="X107" s="6308"/>
      <c r="Y107" s="6300" t="str">
        <f t="shared" si="26"/>
        <v/>
      </c>
      <c r="Z107" s="4756"/>
      <c r="AA107" s="6300" t="str">
        <f t="shared" si="27"/>
        <v/>
      </c>
      <c r="AB107" s="4756"/>
      <c r="AC107" s="6309" t="str">
        <f t="shared" si="28"/>
        <v/>
      </c>
      <c r="AD107" s="6310"/>
      <c r="AE107" s="6310"/>
      <c r="AF107" s="6310"/>
      <c r="AG107" s="2631">
        <f t="shared" si="29"/>
        <v>0</v>
      </c>
      <c r="AH107" s="1644"/>
      <c r="AI107" s="1644" t="e">
        <f t="shared" si="30"/>
        <v>#VALUE!</v>
      </c>
      <c r="AJ107" s="2467"/>
      <c r="AK107" s="2471"/>
      <c r="AL107" s="2471"/>
      <c r="AM107" s="2469"/>
      <c r="AN107" s="2469"/>
      <c r="AO107" s="2470"/>
      <c r="AP107" s="2469"/>
      <c r="AQ107" s="2468"/>
      <c r="AS107" s="2620" t="e">
        <f t="shared" si="31"/>
        <v>#VALUE!</v>
      </c>
      <c r="AT107" s="2620" t="e">
        <f t="shared" si="32"/>
        <v>#VALUE!</v>
      </c>
      <c r="AU107" s="2620" t="e">
        <f t="shared" si="33"/>
        <v>#VALUE!</v>
      </c>
      <c r="AV107" s="2620"/>
      <c r="AW107" s="2620" t="e">
        <f t="shared" si="34"/>
        <v>#VALUE!</v>
      </c>
      <c r="AX107" s="2620" t="e">
        <f t="shared" si="35"/>
        <v>#VALUE!</v>
      </c>
      <c r="AY107" s="2620" t="e">
        <f t="shared" si="36"/>
        <v>#VALUE!</v>
      </c>
      <c r="AZ107" s="2620"/>
      <c r="BA107" s="2620" t="e">
        <f t="shared" si="37"/>
        <v>#VALUE!</v>
      </c>
      <c r="BB107" s="2620" t="e">
        <f t="shared" si="38"/>
        <v>#VALUE!</v>
      </c>
      <c r="BC107" s="2620" t="e">
        <f t="shared" si="39"/>
        <v>#VALUE!</v>
      </c>
    </row>
    <row r="108" spans="1:55" s="2459" customFormat="1" ht="19.5" customHeight="1">
      <c r="A108" s="1706">
        <f t="shared" si="20"/>
        <v>0</v>
      </c>
      <c r="B108" s="6301" t="str">
        <f t="shared" si="21"/>
        <v/>
      </c>
      <c r="C108" s="6302"/>
      <c r="D108" s="6302"/>
      <c r="E108" s="6302"/>
      <c r="F108" s="6302"/>
      <c r="G108" s="6302"/>
      <c r="H108" s="6302"/>
      <c r="I108" s="6303"/>
      <c r="J108" s="6304" t="str">
        <f t="shared" si="22"/>
        <v/>
      </c>
      <c r="K108" s="6305"/>
      <c r="L108" s="6305"/>
      <c r="M108" s="6304" t="str">
        <f t="shared" si="23"/>
        <v/>
      </c>
      <c r="N108" s="6305"/>
      <c r="O108" s="6305"/>
      <c r="P108" s="6306"/>
      <c r="Q108" s="4641" t="str">
        <f t="shared" si="24"/>
        <v/>
      </c>
      <c r="R108" s="6307"/>
      <c r="S108" s="6307"/>
      <c r="T108" s="6308"/>
      <c r="U108" s="4641" t="str">
        <f t="shared" si="25"/>
        <v/>
      </c>
      <c r="V108" s="6307"/>
      <c r="W108" s="6307"/>
      <c r="X108" s="6308"/>
      <c r="Y108" s="6300" t="str">
        <f t="shared" si="26"/>
        <v/>
      </c>
      <c r="Z108" s="4756"/>
      <c r="AA108" s="6300" t="str">
        <f t="shared" si="27"/>
        <v/>
      </c>
      <c r="AB108" s="4756"/>
      <c r="AC108" s="6309" t="str">
        <f t="shared" si="28"/>
        <v/>
      </c>
      <c r="AD108" s="6310"/>
      <c r="AE108" s="6310"/>
      <c r="AF108" s="6310"/>
      <c r="AG108" s="2631">
        <f t="shared" si="29"/>
        <v>0</v>
      </c>
      <c r="AH108" s="1644"/>
      <c r="AI108" s="1644" t="e">
        <f t="shared" si="30"/>
        <v>#VALUE!</v>
      </c>
      <c r="AJ108" s="2467"/>
      <c r="AK108" s="2471"/>
      <c r="AL108" s="2471"/>
      <c r="AM108" s="2469"/>
      <c r="AN108" s="2469"/>
      <c r="AO108" s="2470"/>
      <c r="AP108" s="2469"/>
      <c r="AQ108" s="2468"/>
      <c r="AS108" s="2620" t="e">
        <f t="shared" si="31"/>
        <v>#VALUE!</v>
      </c>
      <c r="AT108" s="2620" t="e">
        <f t="shared" si="32"/>
        <v>#VALUE!</v>
      </c>
      <c r="AU108" s="2620" t="e">
        <f t="shared" si="33"/>
        <v>#VALUE!</v>
      </c>
      <c r="AV108" s="2620"/>
      <c r="AW108" s="2620" t="e">
        <f t="shared" si="34"/>
        <v>#VALUE!</v>
      </c>
      <c r="AX108" s="2620" t="e">
        <f t="shared" si="35"/>
        <v>#VALUE!</v>
      </c>
      <c r="AY108" s="2620" t="e">
        <f t="shared" si="36"/>
        <v>#VALUE!</v>
      </c>
      <c r="AZ108" s="2620"/>
      <c r="BA108" s="2620" t="e">
        <f t="shared" si="37"/>
        <v>#VALUE!</v>
      </c>
      <c r="BB108" s="2620" t="e">
        <f t="shared" si="38"/>
        <v>#VALUE!</v>
      </c>
      <c r="BC108" s="2620" t="e">
        <f t="shared" si="39"/>
        <v>#VALUE!</v>
      </c>
    </row>
    <row r="109" spans="1:55" s="2459" customFormat="1" ht="19.5" customHeight="1">
      <c r="A109" s="1706">
        <f t="shared" si="20"/>
        <v>0</v>
      </c>
      <c r="B109" s="6301" t="str">
        <f t="shared" si="21"/>
        <v/>
      </c>
      <c r="C109" s="6302"/>
      <c r="D109" s="6302"/>
      <c r="E109" s="6302"/>
      <c r="F109" s="6302"/>
      <c r="G109" s="6302"/>
      <c r="H109" s="6302"/>
      <c r="I109" s="6303"/>
      <c r="J109" s="6304" t="str">
        <f t="shared" si="22"/>
        <v/>
      </c>
      <c r="K109" s="6305"/>
      <c r="L109" s="6305"/>
      <c r="M109" s="6304" t="str">
        <f t="shared" si="23"/>
        <v/>
      </c>
      <c r="N109" s="6305"/>
      <c r="O109" s="6305"/>
      <c r="P109" s="6306"/>
      <c r="Q109" s="4641" t="str">
        <f t="shared" si="24"/>
        <v/>
      </c>
      <c r="R109" s="6307"/>
      <c r="S109" s="6307"/>
      <c r="T109" s="6308"/>
      <c r="U109" s="4641" t="str">
        <f t="shared" si="25"/>
        <v/>
      </c>
      <c r="V109" s="6307"/>
      <c r="W109" s="6307"/>
      <c r="X109" s="6308"/>
      <c r="Y109" s="6300" t="str">
        <f t="shared" si="26"/>
        <v/>
      </c>
      <c r="Z109" s="4756"/>
      <c r="AA109" s="6300" t="str">
        <f t="shared" si="27"/>
        <v/>
      </c>
      <c r="AB109" s="4756"/>
      <c r="AC109" s="6309" t="str">
        <f t="shared" si="28"/>
        <v/>
      </c>
      <c r="AD109" s="6310"/>
      <c r="AE109" s="6310"/>
      <c r="AF109" s="6310"/>
      <c r="AG109" s="2631">
        <f t="shared" si="29"/>
        <v>0</v>
      </c>
      <c r="AH109" s="1644"/>
      <c r="AI109" s="1644" t="e">
        <f t="shared" si="30"/>
        <v>#VALUE!</v>
      </c>
      <c r="AJ109" s="2467"/>
      <c r="AK109" s="2471"/>
      <c r="AL109" s="2471"/>
      <c r="AM109" s="2469"/>
      <c r="AN109" s="2469"/>
      <c r="AO109" s="2470"/>
      <c r="AP109" s="2469"/>
      <c r="AQ109" s="2468"/>
      <c r="AS109" s="2620" t="e">
        <f t="shared" si="31"/>
        <v>#VALUE!</v>
      </c>
      <c r="AT109" s="2620" t="e">
        <f t="shared" si="32"/>
        <v>#VALUE!</v>
      </c>
      <c r="AU109" s="2620" t="e">
        <f t="shared" si="33"/>
        <v>#VALUE!</v>
      </c>
      <c r="AV109" s="2620"/>
      <c r="AW109" s="2620" t="e">
        <f t="shared" si="34"/>
        <v>#VALUE!</v>
      </c>
      <c r="AX109" s="2620" t="e">
        <f t="shared" si="35"/>
        <v>#VALUE!</v>
      </c>
      <c r="AY109" s="2620" t="e">
        <f t="shared" si="36"/>
        <v>#VALUE!</v>
      </c>
      <c r="AZ109" s="2620"/>
      <c r="BA109" s="2620" t="e">
        <f t="shared" si="37"/>
        <v>#VALUE!</v>
      </c>
      <c r="BB109" s="2620" t="e">
        <f t="shared" si="38"/>
        <v>#VALUE!</v>
      </c>
      <c r="BC109" s="2620" t="e">
        <f t="shared" si="39"/>
        <v>#VALUE!</v>
      </c>
    </row>
    <row r="110" spans="1:55" s="2459" customFormat="1" ht="19.5" customHeight="1">
      <c r="A110" s="1706">
        <f t="shared" si="20"/>
        <v>0</v>
      </c>
      <c r="B110" s="6301" t="str">
        <f t="shared" si="21"/>
        <v/>
      </c>
      <c r="C110" s="6302"/>
      <c r="D110" s="6302"/>
      <c r="E110" s="6302"/>
      <c r="F110" s="6302"/>
      <c r="G110" s="6302"/>
      <c r="H110" s="6302"/>
      <c r="I110" s="6303"/>
      <c r="J110" s="6304" t="str">
        <f t="shared" si="22"/>
        <v/>
      </c>
      <c r="K110" s="6305"/>
      <c r="L110" s="6305"/>
      <c r="M110" s="6304" t="str">
        <f t="shared" si="23"/>
        <v/>
      </c>
      <c r="N110" s="6305"/>
      <c r="O110" s="6305"/>
      <c r="P110" s="6306"/>
      <c r="Q110" s="4641" t="str">
        <f t="shared" si="24"/>
        <v/>
      </c>
      <c r="R110" s="6307"/>
      <c r="S110" s="6307"/>
      <c r="T110" s="6308"/>
      <c r="U110" s="4641" t="str">
        <f t="shared" si="25"/>
        <v/>
      </c>
      <c r="V110" s="6307"/>
      <c r="W110" s="6307"/>
      <c r="X110" s="6308"/>
      <c r="Y110" s="6300" t="str">
        <f t="shared" si="26"/>
        <v/>
      </c>
      <c r="Z110" s="4756"/>
      <c r="AA110" s="6300" t="str">
        <f t="shared" si="27"/>
        <v/>
      </c>
      <c r="AB110" s="4756"/>
      <c r="AC110" s="6309" t="str">
        <f t="shared" si="28"/>
        <v/>
      </c>
      <c r="AD110" s="6310"/>
      <c r="AE110" s="6310"/>
      <c r="AF110" s="6310"/>
      <c r="AG110" s="2631">
        <f t="shared" si="29"/>
        <v>0</v>
      </c>
      <c r="AH110" s="1644"/>
      <c r="AI110" s="1644" t="e">
        <f t="shared" si="30"/>
        <v>#VALUE!</v>
      </c>
      <c r="AJ110" s="2467"/>
      <c r="AK110" s="2471"/>
      <c r="AL110" s="2471"/>
      <c r="AM110" s="2469"/>
      <c r="AN110" s="2469"/>
      <c r="AO110" s="2470"/>
      <c r="AP110" s="2469"/>
      <c r="AQ110" s="2468"/>
      <c r="AS110" s="2620" t="e">
        <f t="shared" si="31"/>
        <v>#VALUE!</v>
      </c>
      <c r="AT110" s="2620" t="e">
        <f t="shared" si="32"/>
        <v>#VALUE!</v>
      </c>
      <c r="AU110" s="2620" t="e">
        <f t="shared" si="33"/>
        <v>#VALUE!</v>
      </c>
      <c r="AV110" s="2620"/>
      <c r="AW110" s="2620" t="e">
        <f t="shared" si="34"/>
        <v>#VALUE!</v>
      </c>
      <c r="AX110" s="2620" t="e">
        <f t="shared" si="35"/>
        <v>#VALUE!</v>
      </c>
      <c r="AY110" s="2620" t="e">
        <f t="shared" si="36"/>
        <v>#VALUE!</v>
      </c>
      <c r="AZ110" s="2620"/>
      <c r="BA110" s="2620" t="e">
        <f t="shared" si="37"/>
        <v>#VALUE!</v>
      </c>
      <c r="BB110" s="2620" t="e">
        <f t="shared" si="38"/>
        <v>#VALUE!</v>
      </c>
      <c r="BC110" s="2620" t="e">
        <f t="shared" si="39"/>
        <v>#VALUE!</v>
      </c>
    </row>
    <row r="111" spans="1:55" s="2459" customFormat="1" ht="19.5" customHeight="1">
      <c r="A111" s="1706">
        <f t="shared" si="20"/>
        <v>0</v>
      </c>
      <c r="B111" s="6301" t="str">
        <f t="shared" si="21"/>
        <v/>
      </c>
      <c r="C111" s="6302"/>
      <c r="D111" s="6302"/>
      <c r="E111" s="6302"/>
      <c r="F111" s="6302"/>
      <c r="G111" s="6302"/>
      <c r="H111" s="6302"/>
      <c r="I111" s="6303"/>
      <c r="J111" s="6304" t="str">
        <f t="shared" si="22"/>
        <v/>
      </c>
      <c r="K111" s="6305"/>
      <c r="L111" s="6305"/>
      <c r="M111" s="6304" t="str">
        <f t="shared" si="23"/>
        <v/>
      </c>
      <c r="N111" s="6305"/>
      <c r="O111" s="6305"/>
      <c r="P111" s="6306"/>
      <c r="Q111" s="4641" t="str">
        <f t="shared" si="24"/>
        <v/>
      </c>
      <c r="R111" s="6307"/>
      <c r="S111" s="6307"/>
      <c r="T111" s="6308"/>
      <c r="U111" s="4641" t="str">
        <f t="shared" si="25"/>
        <v/>
      </c>
      <c r="V111" s="6307"/>
      <c r="W111" s="6307"/>
      <c r="X111" s="6308"/>
      <c r="Y111" s="6300" t="str">
        <f t="shared" si="26"/>
        <v/>
      </c>
      <c r="Z111" s="4756"/>
      <c r="AA111" s="6300" t="str">
        <f t="shared" si="27"/>
        <v/>
      </c>
      <c r="AB111" s="4756"/>
      <c r="AC111" s="6309" t="str">
        <f t="shared" si="28"/>
        <v/>
      </c>
      <c r="AD111" s="6310"/>
      <c r="AE111" s="6310"/>
      <c r="AF111" s="6310"/>
      <c r="AG111" s="2631">
        <f t="shared" si="29"/>
        <v>0</v>
      </c>
      <c r="AH111" s="1644"/>
      <c r="AI111" s="1644" t="e">
        <f t="shared" si="30"/>
        <v>#VALUE!</v>
      </c>
      <c r="AJ111" s="2467"/>
      <c r="AK111" s="2471"/>
      <c r="AL111" s="2471"/>
      <c r="AM111" s="2469"/>
      <c r="AN111" s="2469"/>
      <c r="AO111" s="2470"/>
      <c r="AP111" s="2469"/>
      <c r="AQ111" s="2468"/>
      <c r="AS111" s="2620" t="e">
        <f t="shared" si="31"/>
        <v>#VALUE!</v>
      </c>
      <c r="AT111" s="2620" t="e">
        <f t="shared" si="32"/>
        <v>#VALUE!</v>
      </c>
      <c r="AU111" s="2620" t="e">
        <f t="shared" si="33"/>
        <v>#VALUE!</v>
      </c>
      <c r="AV111" s="2620"/>
      <c r="AW111" s="2620" t="e">
        <f t="shared" si="34"/>
        <v>#VALUE!</v>
      </c>
      <c r="AX111" s="2620" t="e">
        <f t="shared" si="35"/>
        <v>#VALUE!</v>
      </c>
      <c r="AY111" s="2620" t="e">
        <f t="shared" si="36"/>
        <v>#VALUE!</v>
      </c>
      <c r="AZ111" s="2620"/>
      <c r="BA111" s="2620" t="e">
        <f t="shared" si="37"/>
        <v>#VALUE!</v>
      </c>
      <c r="BB111" s="2620" t="e">
        <f t="shared" si="38"/>
        <v>#VALUE!</v>
      </c>
      <c r="BC111" s="2620" t="e">
        <f t="shared" si="39"/>
        <v>#VALUE!</v>
      </c>
    </row>
    <row r="112" spans="1:55" s="2459" customFormat="1" ht="19.5" customHeight="1">
      <c r="A112" s="1706">
        <f t="shared" si="20"/>
        <v>0</v>
      </c>
      <c r="B112" s="6301" t="str">
        <f t="shared" si="21"/>
        <v/>
      </c>
      <c r="C112" s="6302"/>
      <c r="D112" s="6302"/>
      <c r="E112" s="6302"/>
      <c r="F112" s="6302"/>
      <c r="G112" s="6302"/>
      <c r="H112" s="6302"/>
      <c r="I112" s="6303"/>
      <c r="J112" s="6304" t="str">
        <f t="shared" si="22"/>
        <v/>
      </c>
      <c r="K112" s="6305"/>
      <c r="L112" s="6305"/>
      <c r="M112" s="6304" t="str">
        <f t="shared" si="23"/>
        <v/>
      </c>
      <c r="N112" s="6305"/>
      <c r="O112" s="6305"/>
      <c r="P112" s="6306"/>
      <c r="Q112" s="4641" t="str">
        <f t="shared" si="24"/>
        <v/>
      </c>
      <c r="R112" s="6307"/>
      <c r="S112" s="6307"/>
      <c r="T112" s="6308"/>
      <c r="U112" s="4641" t="str">
        <f t="shared" si="25"/>
        <v/>
      </c>
      <c r="V112" s="6307"/>
      <c r="W112" s="6307"/>
      <c r="X112" s="6308"/>
      <c r="Y112" s="6300" t="str">
        <f t="shared" si="26"/>
        <v/>
      </c>
      <c r="Z112" s="4756"/>
      <c r="AA112" s="6300" t="str">
        <f t="shared" si="27"/>
        <v/>
      </c>
      <c r="AB112" s="4756"/>
      <c r="AC112" s="6309" t="str">
        <f t="shared" si="28"/>
        <v/>
      </c>
      <c r="AD112" s="6310"/>
      <c r="AE112" s="6310"/>
      <c r="AF112" s="6310"/>
      <c r="AG112" s="2631">
        <f t="shared" si="29"/>
        <v>0</v>
      </c>
      <c r="AH112" s="1644"/>
      <c r="AI112" s="1644" t="e">
        <f t="shared" si="30"/>
        <v>#VALUE!</v>
      </c>
      <c r="AJ112" s="2467"/>
      <c r="AK112" s="2471"/>
      <c r="AL112" s="2471"/>
      <c r="AM112" s="2469"/>
      <c r="AN112" s="2469"/>
      <c r="AO112" s="2470"/>
      <c r="AP112" s="2469"/>
      <c r="AQ112" s="2468"/>
      <c r="AS112" s="2620" t="e">
        <f t="shared" si="31"/>
        <v>#VALUE!</v>
      </c>
      <c r="AT112" s="2620" t="e">
        <f t="shared" si="32"/>
        <v>#VALUE!</v>
      </c>
      <c r="AU112" s="2620" t="e">
        <f t="shared" si="33"/>
        <v>#VALUE!</v>
      </c>
      <c r="AV112" s="2620"/>
      <c r="AW112" s="2620" t="e">
        <f t="shared" si="34"/>
        <v>#VALUE!</v>
      </c>
      <c r="AX112" s="2620" t="e">
        <f t="shared" si="35"/>
        <v>#VALUE!</v>
      </c>
      <c r="AY112" s="2620" t="e">
        <f t="shared" si="36"/>
        <v>#VALUE!</v>
      </c>
      <c r="AZ112" s="2620"/>
      <c r="BA112" s="2620" t="e">
        <f t="shared" si="37"/>
        <v>#VALUE!</v>
      </c>
      <c r="BB112" s="2620" t="e">
        <f t="shared" si="38"/>
        <v>#VALUE!</v>
      </c>
      <c r="BC112" s="2620" t="e">
        <f t="shared" si="39"/>
        <v>#VALUE!</v>
      </c>
    </row>
    <row r="113" spans="1:55" s="2459" customFormat="1" ht="19.5" customHeight="1">
      <c r="A113" s="1706">
        <f t="shared" si="20"/>
        <v>0</v>
      </c>
      <c r="B113" s="6301" t="str">
        <f t="shared" si="21"/>
        <v/>
      </c>
      <c r="C113" s="6302"/>
      <c r="D113" s="6302"/>
      <c r="E113" s="6302"/>
      <c r="F113" s="6302"/>
      <c r="G113" s="6302"/>
      <c r="H113" s="6302"/>
      <c r="I113" s="6303"/>
      <c r="J113" s="6304" t="str">
        <f t="shared" si="22"/>
        <v/>
      </c>
      <c r="K113" s="6305"/>
      <c r="L113" s="6305"/>
      <c r="M113" s="6304" t="str">
        <f t="shared" si="23"/>
        <v/>
      </c>
      <c r="N113" s="6305"/>
      <c r="O113" s="6305"/>
      <c r="P113" s="6306"/>
      <c r="Q113" s="4641" t="str">
        <f t="shared" si="24"/>
        <v/>
      </c>
      <c r="R113" s="6307"/>
      <c r="S113" s="6307"/>
      <c r="T113" s="6308"/>
      <c r="U113" s="4641" t="str">
        <f t="shared" si="25"/>
        <v/>
      </c>
      <c r="V113" s="6307"/>
      <c r="W113" s="6307"/>
      <c r="X113" s="6308"/>
      <c r="Y113" s="6300" t="str">
        <f t="shared" si="26"/>
        <v/>
      </c>
      <c r="Z113" s="4756"/>
      <c r="AA113" s="6300" t="str">
        <f t="shared" si="27"/>
        <v/>
      </c>
      <c r="AB113" s="4756"/>
      <c r="AC113" s="6309" t="str">
        <f t="shared" si="28"/>
        <v/>
      </c>
      <c r="AD113" s="6310"/>
      <c r="AE113" s="6310"/>
      <c r="AF113" s="6310"/>
      <c r="AG113" s="2631">
        <f t="shared" si="29"/>
        <v>0</v>
      </c>
      <c r="AH113" s="1644"/>
      <c r="AI113" s="1644" t="e">
        <f t="shared" si="30"/>
        <v>#VALUE!</v>
      </c>
      <c r="AJ113" s="2467"/>
      <c r="AK113" s="2471"/>
      <c r="AL113" s="2471"/>
      <c r="AM113" s="2469"/>
      <c r="AN113" s="2469"/>
      <c r="AO113" s="2470"/>
      <c r="AP113" s="2469"/>
      <c r="AQ113" s="2468"/>
      <c r="AS113" s="2620" t="e">
        <f t="shared" si="31"/>
        <v>#VALUE!</v>
      </c>
      <c r="AT113" s="2620" t="e">
        <f t="shared" si="32"/>
        <v>#VALUE!</v>
      </c>
      <c r="AU113" s="2620" t="e">
        <f t="shared" si="33"/>
        <v>#VALUE!</v>
      </c>
      <c r="AV113" s="2620"/>
      <c r="AW113" s="2620" t="e">
        <f t="shared" si="34"/>
        <v>#VALUE!</v>
      </c>
      <c r="AX113" s="2620" t="e">
        <f t="shared" si="35"/>
        <v>#VALUE!</v>
      </c>
      <c r="AY113" s="2620" t="e">
        <f t="shared" si="36"/>
        <v>#VALUE!</v>
      </c>
      <c r="AZ113" s="2620"/>
      <c r="BA113" s="2620" t="e">
        <f t="shared" si="37"/>
        <v>#VALUE!</v>
      </c>
      <c r="BB113" s="2620" t="e">
        <f t="shared" si="38"/>
        <v>#VALUE!</v>
      </c>
      <c r="BC113" s="2620" t="e">
        <f t="shared" si="39"/>
        <v>#VALUE!</v>
      </c>
    </row>
    <row r="114" spans="1:55" s="2459" customFormat="1" ht="19.5" customHeight="1">
      <c r="A114" s="1706">
        <f t="shared" si="20"/>
        <v>0</v>
      </c>
      <c r="B114" s="6301" t="str">
        <f t="shared" si="21"/>
        <v/>
      </c>
      <c r="C114" s="6302"/>
      <c r="D114" s="6302"/>
      <c r="E114" s="6302"/>
      <c r="F114" s="6302"/>
      <c r="G114" s="6302"/>
      <c r="H114" s="6302"/>
      <c r="I114" s="6303"/>
      <c r="J114" s="6304" t="str">
        <f t="shared" si="22"/>
        <v/>
      </c>
      <c r="K114" s="6305"/>
      <c r="L114" s="6305"/>
      <c r="M114" s="6304" t="str">
        <f t="shared" si="23"/>
        <v/>
      </c>
      <c r="N114" s="6305"/>
      <c r="O114" s="6305"/>
      <c r="P114" s="6306"/>
      <c r="Q114" s="4641" t="str">
        <f t="shared" si="24"/>
        <v/>
      </c>
      <c r="R114" s="6307"/>
      <c r="S114" s="6307"/>
      <c r="T114" s="6308"/>
      <c r="U114" s="4641" t="str">
        <f t="shared" si="25"/>
        <v/>
      </c>
      <c r="V114" s="6307"/>
      <c r="W114" s="6307"/>
      <c r="X114" s="6308"/>
      <c r="Y114" s="6300" t="str">
        <f t="shared" si="26"/>
        <v/>
      </c>
      <c r="Z114" s="4756"/>
      <c r="AA114" s="6300" t="str">
        <f t="shared" si="27"/>
        <v/>
      </c>
      <c r="AB114" s="4756"/>
      <c r="AC114" s="6309" t="str">
        <f t="shared" si="28"/>
        <v/>
      </c>
      <c r="AD114" s="6310"/>
      <c r="AE114" s="6310"/>
      <c r="AF114" s="6310"/>
      <c r="AG114" s="2631">
        <f t="shared" si="29"/>
        <v>0</v>
      </c>
      <c r="AH114" s="1644"/>
      <c r="AI114" s="1644" t="e">
        <f t="shared" si="30"/>
        <v>#VALUE!</v>
      </c>
      <c r="AJ114" s="2467"/>
      <c r="AK114" s="2471"/>
      <c r="AL114" s="2471"/>
      <c r="AM114" s="2469"/>
      <c r="AN114" s="2469"/>
      <c r="AO114" s="2470"/>
      <c r="AP114" s="2469"/>
      <c r="AQ114" s="2468"/>
      <c r="AS114" s="2620" t="e">
        <f t="shared" si="31"/>
        <v>#VALUE!</v>
      </c>
      <c r="AT114" s="2620" t="e">
        <f t="shared" si="32"/>
        <v>#VALUE!</v>
      </c>
      <c r="AU114" s="2620" t="e">
        <f t="shared" si="33"/>
        <v>#VALUE!</v>
      </c>
      <c r="AV114" s="2620"/>
      <c r="AW114" s="2620" t="e">
        <f t="shared" si="34"/>
        <v>#VALUE!</v>
      </c>
      <c r="AX114" s="2620" t="e">
        <f t="shared" si="35"/>
        <v>#VALUE!</v>
      </c>
      <c r="AY114" s="2620" t="e">
        <f t="shared" si="36"/>
        <v>#VALUE!</v>
      </c>
      <c r="AZ114" s="2620"/>
      <c r="BA114" s="2620" t="e">
        <f t="shared" si="37"/>
        <v>#VALUE!</v>
      </c>
      <c r="BB114" s="2620" t="e">
        <f t="shared" si="38"/>
        <v>#VALUE!</v>
      </c>
      <c r="BC114" s="2620" t="e">
        <f t="shared" si="39"/>
        <v>#VALUE!</v>
      </c>
    </row>
    <row r="115" spans="1:55" s="2459" customFormat="1" ht="19.5" customHeight="1">
      <c r="A115" s="1706">
        <f t="shared" si="20"/>
        <v>0</v>
      </c>
      <c r="B115" s="6301" t="str">
        <f t="shared" si="21"/>
        <v/>
      </c>
      <c r="C115" s="6302"/>
      <c r="D115" s="6302"/>
      <c r="E115" s="6302"/>
      <c r="F115" s="6302"/>
      <c r="G115" s="6302"/>
      <c r="H115" s="6302"/>
      <c r="I115" s="6303"/>
      <c r="J115" s="6304" t="str">
        <f t="shared" si="22"/>
        <v/>
      </c>
      <c r="K115" s="6305"/>
      <c r="L115" s="6305"/>
      <c r="M115" s="6304" t="str">
        <f t="shared" si="23"/>
        <v/>
      </c>
      <c r="N115" s="6305"/>
      <c r="O115" s="6305"/>
      <c r="P115" s="6306"/>
      <c r="Q115" s="4641" t="str">
        <f t="shared" si="24"/>
        <v/>
      </c>
      <c r="R115" s="6307"/>
      <c r="S115" s="6307"/>
      <c r="T115" s="6308"/>
      <c r="U115" s="4641" t="str">
        <f t="shared" si="25"/>
        <v/>
      </c>
      <c r="V115" s="6307"/>
      <c r="W115" s="6307"/>
      <c r="X115" s="6308"/>
      <c r="Y115" s="6300" t="str">
        <f t="shared" si="26"/>
        <v/>
      </c>
      <c r="Z115" s="4756"/>
      <c r="AA115" s="6300" t="str">
        <f t="shared" si="27"/>
        <v/>
      </c>
      <c r="AB115" s="4756"/>
      <c r="AC115" s="6309" t="str">
        <f t="shared" si="28"/>
        <v/>
      </c>
      <c r="AD115" s="6310"/>
      <c r="AE115" s="6310"/>
      <c r="AF115" s="6310"/>
      <c r="AG115" s="2631">
        <f t="shared" si="29"/>
        <v>0</v>
      </c>
      <c r="AH115" s="1644"/>
      <c r="AI115" s="1644" t="e">
        <f t="shared" si="30"/>
        <v>#VALUE!</v>
      </c>
      <c r="AJ115" s="2467"/>
      <c r="AK115" s="2471"/>
      <c r="AL115" s="2471"/>
      <c r="AM115" s="2469"/>
      <c r="AN115" s="2469"/>
      <c r="AO115" s="2470"/>
      <c r="AP115" s="2469"/>
      <c r="AQ115" s="2468"/>
      <c r="AS115" s="2620" t="e">
        <f t="shared" si="31"/>
        <v>#VALUE!</v>
      </c>
      <c r="AT115" s="2620" t="e">
        <f t="shared" si="32"/>
        <v>#VALUE!</v>
      </c>
      <c r="AU115" s="2620" t="e">
        <f t="shared" si="33"/>
        <v>#VALUE!</v>
      </c>
      <c r="AV115" s="2620"/>
      <c r="AW115" s="2620" t="e">
        <f t="shared" si="34"/>
        <v>#VALUE!</v>
      </c>
      <c r="AX115" s="2620" t="e">
        <f t="shared" si="35"/>
        <v>#VALUE!</v>
      </c>
      <c r="AY115" s="2620" t="e">
        <f t="shared" si="36"/>
        <v>#VALUE!</v>
      </c>
      <c r="AZ115" s="2620"/>
      <c r="BA115" s="2620" t="e">
        <f t="shared" si="37"/>
        <v>#VALUE!</v>
      </c>
      <c r="BB115" s="2620" t="e">
        <f t="shared" si="38"/>
        <v>#VALUE!</v>
      </c>
      <c r="BC115" s="2620" t="e">
        <f t="shared" si="39"/>
        <v>#VALUE!</v>
      </c>
    </row>
    <row r="116" spans="1:55" ht="11.25" customHeight="1">
      <c r="A116" s="1706">
        <f>SUM(A88:A115)</f>
        <v>0</v>
      </c>
      <c r="B116" s="6385">
        <v>2</v>
      </c>
      <c r="C116" s="6347" t="s">
        <v>1877</v>
      </c>
      <c r="D116" s="6348"/>
      <c r="E116" s="6348"/>
      <c r="F116" s="6348"/>
      <c r="G116" s="6348"/>
      <c r="H116" s="6348"/>
      <c r="I116" s="6348"/>
      <c r="J116" s="6348"/>
      <c r="K116" s="6348"/>
      <c r="L116" s="6348"/>
      <c r="M116" s="6348"/>
      <c r="N116" s="6348"/>
      <c r="O116" s="6348"/>
      <c r="P116" s="6348"/>
      <c r="Q116" s="6351" t="str">
        <f>IF(A116=0,"",ROUND(SUM(Q88:Q115),0))</f>
        <v/>
      </c>
      <c r="R116" s="6352"/>
      <c r="S116" s="6352"/>
      <c r="T116" s="6353"/>
      <c r="U116" s="6351" t="str">
        <f>IF(A116=0,"",ROUND(SUM(U88:U115),0))</f>
        <v/>
      </c>
      <c r="V116" s="6361"/>
      <c r="W116" s="6361"/>
      <c r="X116" s="6364"/>
      <c r="Y116" s="6371"/>
      <c r="Z116" s="6372"/>
      <c r="AA116" s="6351" t="str">
        <f>IF(A116=0,"",ROUND(SUM(AA88:AA115),0))</f>
        <v/>
      </c>
      <c r="AB116" s="6353"/>
      <c r="AC116" s="6351" t="str">
        <f>IF(A116=0,"",ROUND(SUM(AC88:AC115),0))</f>
        <v/>
      </c>
      <c r="AD116" s="6361"/>
      <c r="AE116" s="6361"/>
      <c r="AF116" s="6361"/>
      <c r="AG116" s="1706"/>
    </row>
    <row r="117" spans="1:55" ht="11.25" customHeight="1">
      <c r="A117" s="1706"/>
      <c r="B117" s="6386"/>
      <c r="C117" s="6349"/>
      <c r="D117" s="6349"/>
      <c r="E117" s="6349"/>
      <c r="F117" s="6349"/>
      <c r="G117" s="6349"/>
      <c r="H117" s="6349"/>
      <c r="I117" s="6349"/>
      <c r="J117" s="6349"/>
      <c r="K117" s="6349"/>
      <c r="L117" s="6349"/>
      <c r="M117" s="6349"/>
      <c r="N117" s="6349"/>
      <c r="O117" s="6349"/>
      <c r="P117" s="6349"/>
      <c r="Q117" s="6354"/>
      <c r="R117" s="6355"/>
      <c r="S117" s="6355"/>
      <c r="T117" s="6356"/>
      <c r="U117" s="6362"/>
      <c r="V117" s="6363"/>
      <c r="W117" s="6363"/>
      <c r="X117" s="6365"/>
      <c r="Y117" s="6373"/>
      <c r="Z117" s="6374"/>
      <c r="AA117" s="6354"/>
      <c r="AB117" s="6356"/>
      <c r="AC117" s="6362"/>
      <c r="AD117" s="6363"/>
      <c r="AE117" s="6363"/>
      <c r="AF117" s="6363"/>
      <c r="AG117" s="1706"/>
    </row>
    <row r="118" spans="1:55" ht="11.25" customHeight="1">
      <c r="A118" s="1706"/>
      <c r="B118" s="6386"/>
      <c r="C118" s="6349"/>
      <c r="D118" s="6349"/>
      <c r="E118" s="6349"/>
      <c r="F118" s="6349"/>
      <c r="G118" s="6349"/>
      <c r="H118" s="6349"/>
      <c r="I118" s="6349"/>
      <c r="J118" s="6349"/>
      <c r="K118" s="6349"/>
      <c r="L118" s="6349"/>
      <c r="M118" s="6349"/>
      <c r="N118" s="6349"/>
      <c r="O118" s="6349"/>
      <c r="P118" s="6349"/>
      <c r="Q118" s="6354"/>
      <c r="R118" s="6355"/>
      <c r="S118" s="6355"/>
      <c r="T118" s="6356"/>
      <c r="U118" s="6362"/>
      <c r="V118" s="6363"/>
      <c r="W118" s="6363"/>
      <c r="X118" s="6365"/>
      <c r="Y118" s="6373"/>
      <c r="Z118" s="6374"/>
      <c r="AA118" s="6354"/>
      <c r="AB118" s="6356"/>
      <c r="AC118" s="6362"/>
      <c r="AD118" s="6363"/>
      <c r="AE118" s="6363"/>
      <c r="AF118" s="6363"/>
      <c r="AG118" s="1706"/>
    </row>
    <row r="119" spans="1:55" ht="11.25" customHeight="1">
      <c r="A119" s="1706"/>
      <c r="B119" s="6386"/>
      <c r="C119" s="6349"/>
      <c r="D119" s="6349"/>
      <c r="E119" s="6349"/>
      <c r="F119" s="6349"/>
      <c r="G119" s="6349"/>
      <c r="H119" s="6349"/>
      <c r="I119" s="6349"/>
      <c r="J119" s="6349"/>
      <c r="K119" s="6349"/>
      <c r="L119" s="6349"/>
      <c r="M119" s="6349"/>
      <c r="N119" s="6349"/>
      <c r="O119" s="6349"/>
      <c r="P119" s="6349"/>
      <c r="Q119" s="6354"/>
      <c r="R119" s="6355"/>
      <c r="S119" s="6355"/>
      <c r="T119" s="6356"/>
      <c r="U119" s="6362"/>
      <c r="V119" s="6363"/>
      <c r="W119" s="6363"/>
      <c r="X119" s="6365"/>
      <c r="Y119" s="6373"/>
      <c r="Z119" s="6374"/>
      <c r="AA119" s="6354"/>
      <c r="AB119" s="6356"/>
      <c r="AC119" s="6362"/>
      <c r="AD119" s="6363"/>
      <c r="AE119" s="6363"/>
      <c r="AF119" s="6363"/>
      <c r="AG119" s="1706"/>
    </row>
    <row r="120" spans="1:55" ht="6" customHeight="1" thickBot="1">
      <c r="A120" s="1706"/>
      <c r="B120" s="6386"/>
      <c r="C120" s="6350"/>
      <c r="D120" s="6350"/>
      <c r="E120" s="6350"/>
      <c r="F120" s="6350"/>
      <c r="G120" s="6350"/>
      <c r="H120" s="6350"/>
      <c r="I120" s="6350"/>
      <c r="J120" s="6350"/>
      <c r="K120" s="6350"/>
      <c r="L120" s="6350"/>
      <c r="M120" s="6350"/>
      <c r="N120" s="6350"/>
      <c r="O120" s="6350"/>
      <c r="P120" s="6350"/>
      <c r="Q120" s="6354"/>
      <c r="R120" s="6355"/>
      <c r="S120" s="6355"/>
      <c r="T120" s="6356"/>
      <c r="U120" s="6366"/>
      <c r="V120" s="6367"/>
      <c r="W120" s="6367"/>
      <c r="X120" s="6368"/>
      <c r="Y120" s="6375"/>
      <c r="Z120" s="6376"/>
      <c r="AA120" s="6377"/>
      <c r="AB120" s="6378"/>
      <c r="AC120" s="6362"/>
      <c r="AD120" s="6363"/>
      <c r="AE120" s="6363"/>
      <c r="AF120" s="6363"/>
      <c r="AG120" s="1706"/>
    </row>
    <row r="121" spans="1:55" ht="25.5" customHeight="1" thickBot="1">
      <c r="A121" s="1706"/>
      <c r="B121" s="6316" t="s">
        <v>3014</v>
      </c>
      <c r="C121" s="6317"/>
      <c r="D121" s="6317"/>
      <c r="E121" s="6317"/>
      <c r="F121" s="6317"/>
      <c r="G121" s="6317"/>
      <c r="H121" s="6317"/>
      <c r="I121" s="6317"/>
      <c r="J121" s="6317"/>
      <c r="K121" s="6317"/>
      <c r="L121" s="6317"/>
      <c r="M121" s="6317"/>
      <c r="N121" s="6317"/>
      <c r="O121" s="6317"/>
      <c r="P121" s="6317"/>
      <c r="Q121" s="6317"/>
      <c r="R121" s="6317"/>
      <c r="S121" s="6317"/>
      <c r="T121" s="6317"/>
      <c r="U121" s="6318"/>
      <c r="V121" s="6318"/>
      <c r="W121" s="6318"/>
      <c r="X121" s="6318"/>
      <c r="Y121" s="6317"/>
      <c r="Z121" s="6317"/>
      <c r="AA121" s="6317"/>
      <c r="AB121" s="6317"/>
      <c r="AC121" s="6317"/>
      <c r="AD121" s="6317"/>
      <c r="AE121" s="6317"/>
      <c r="AF121" s="6317"/>
      <c r="AG121" s="1706"/>
    </row>
    <row r="122" spans="1:55" ht="14.25" customHeight="1" thickTop="1">
      <c r="A122" s="1706"/>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1656"/>
      <c r="AD122" s="1656" t="s">
        <v>1154</v>
      </c>
      <c r="AE122" s="35"/>
      <c r="AF122" s="1656" t="str">
        <f>"("&amp;TaxYear&amp;")"</f>
        <v>(2016)</v>
      </c>
      <c r="AG122" s="1706"/>
    </row>
    <row r="123" spans="1:55">
      <c r="A123" s="1706"/>
      <c r="B123" s="1706"/>
      <c r="C123" s="1706"/>
      <c r="D123" s="1706"/>
      <c r="E123" s="1706"/>
      <c r="F123" s="1706"/>
      <c r="G123" s="1706"/>
      <c r="H123" s="1706"/>
      <c r="I123" s="1706"/>
      <c r="J123" s="1706"/>
      <c r="K123" s="1706"/>
      <c r="L123" s="1706"/>
      <c r="M123" s="1706"/>
      <c r="N123" s="1706"/>
      <c r="O123" s="1706"/>
      <c r="P123" s="1706"/>
      <c r="Q123" s="1706"/>
      <c r="R123" s="1706"/>
      <c r="S123" s="1706"/>
      <c r="T123" s="1706"/>
      <c r="U123" s="1706"/>
      <c r="V123" s="1706"/>
      <c r="W123" s="1706"/>
      <c r="X123" s="1706"/>
      <c r="Y123" s="1706"/>
      <c r="Z123" s="1706"/>
      <c r="AA123" s="1706"/>
      <c r="AB123" s="1706"/>
      <c r="AC123" s="1706"/>
      <c r="AD123" s="1706"/>
      <c r="AE123" s="1706"/>
      <c r="AF123" s="1706"/>
      <c r="AG123" s="1706"/>
    </row>
  </sheetData>
  <sheetProtection password="F07E" sheet="1" objects="1" scenarios="1"/>
  <mergeCells count="470">
    <mergeCell ref="AC100:AF100"/>
    <mergeCell ref="AA102:AB102"/>
    <mergeCell ref="AC102:AF102"/>
    <mergeCell ref="AA96:AB96"/>
    <mergeCell ref="AC96:AF96"/>
    <mergeCell ref="AC93:AF93"/>
    <mergeCell ref="AC94:AF94"/>
    <mergeCell ref="AC92:AF92"/>
    <mergeCell ref="AJ25:AQ25"/>
    <mergeCell ref="AC88:AF88"/>
    <mergeCell ref="AC89:AF89"/>
    <mergeCell ref="AC99:AF99"/>
    <mergeCell ref="AC98:AF98"/>
    <mergeCell ref="AC90:AF90"/>
    <mergeCell ref="AC91:AF91"/>
    <mergeCell ref="AC53:AF53"/>
    <mergeCell ref="AC44:AF44"/>
    <mergeCell ref="AC84:AF87"/>
    <mergeCell ref="AA35:AB35"/>
    <mergeCell ref="AA37:AB37"/>
    <mergeCell ref="AA98:AB98"/>
    <mergeCell ref="AA45:AB45"/>
    <mergeCell ref="AA40:AB40"/>
    <mergeCell ref="AA39:AB39"/>
    <mergeCell ref="BA22:BC22"/>
    <mergeCell ref="BA23:BA34"/>
    <mergeCell ref="BB23:BB34"/>
    <mergeCell ref="BC23:BC34"/>
    <mergeCell ref="BA75:BC75"/>
    <mergeCell ref="BA76:BA87"/>
    <mergeCell ref="BB76:BB87"/>
    <mergeCell ref="BC76:BC87"/>
    <mergeCell ref="AO33:AO34"/>
    <mergeCell ref="AO31:AP32"/>
    <mergeCell ref="AP33:AP34"/>
    <mergeCell ref="AJ27:AQ27"/>
    <mergeCell ref="AJ29:AQ29"/>
    <mergeCell ref="AJ78:AQ78"/>
    <mergeCell ref="AJ80:AQ80"/>
    <mergeCell ref="AJ82:AQ82"/>
    <mergeCell ref="AL84:AL87"/>
    <mergeCell ref="AK31:AK34"/>
    <mergeCell ref="AL31:AL34"/>
    <mergeCell ref="AK84:AK87"/>
    <mergeCell ref="AJ84:AJ87"/>
    <mergeCell ref="AN31:AN34"/>
    <mergeCell ref="AQ31:AQ34"/>
    <mergeCell ref="AM31:AM34"/>
    <mergeCell ref="Y102:Z102"/>
    <mergeCell ref="Q100:T100"/>
    <mergeCell ref="B12:AF14"/>
    <mergeCell ref="B65:AF67"/>
    <mergeCell ref="J96:L96"/>
    <mergeCell ref="Y96:Z96"/>
    <mergeCell ref="B94:I94"/>
    <mergeCell ref="J94:L94"/>
    <mergeCell ref="B95:I95"/>
    <mergeCell ref="J95:L95"/>
    <mergeCell ref="M95:P95"/>
    <mergeCell ref="Q95:T95"/>
    <mergeCell ref="U95:X95"/>
    <mergeCell ref="Y95:Z95"/>
    <mergeCell ref="AA95:AB95"/>
    <mergeCell ref="AC95:AF95"/>
    <mergeCell ref="B96:I96"/>
    <mergeCell ref="Q88:T88"/>
    <mergeCell ref="B39:I39"/>
    <mergeCell ref="J39:L39"/>
    <mergeCell ref="M39:P39"/>
    <mergeCell ref="M38:P38"/>
    <mergeCell ref="Q38:T38"/>
    <mergeCell ref="U38:X38"/>
    <mergeCell ref="AN84:AN87"/>
    <mergeCell ref="AQ84:AQ87"/>
    <mergeCell ref="AO84:AP85"/>
    <mergeCell ref="AP86:AP87"/>
    <mergeCell ref="AM84:AM87"/>
    <mergeCell ref="AO86:AO87"/>
    <mergeCell ref="J41:L41"/>
    <mergeCell ref="M41:P41"/>
    <mergeCell ref="Q41:T41"/>
    <mergeCell ref="U41:X41"/>
    <mergeCell ref="Y41:Z41"/>
    <mergeCell ref="AA41:AB41"/>
    <mergeCell ref="AC41:AF41"/>
    <mergeCell ref="M84:P87"/>
    <mergeCell ref="J45:L45"/>
    <mergeCell ref="AC49:AF49"/>
    <mergeCell ref="AC48:AF48"/>
    <mergeCell ref="R82:AE82"/>
    <mergeCell ref="AA43:AB43"/>
    <mergeCell ref="AC43:AF43"/>
    <mergeCell ref="Y44:Z44"/>
    <mergeCell ref="AA44:AB44"/>
    <mergeCell ref="U43:X43"/>
    <mergeCell ref="Y43:Z43"/>
    <mergeCell ref="AC38:AF38"/>
    <mergeCell ref="AC39:AF39"/>
    <mergeCell ref="M40:P40"/>
    <mergeCell ref="Q40:T40"/>
    <mergeCell ref="AC106:AF106"/>
    <mergeCell ref="B103:I103"/>
    <mergeCell ref="J103:L103"/>
    <mergeCell ref="M103:P103"/>
    <mergeCell ref="Q103:T103"/>
    <mergeCell ref="U103:X103"/>
    <mergeCell ref="Y103:Z103"/>
    <mergeCell ref="AA103:AB103"/>
    <mergeCell ref="AC103:AF103"/>
    <mergeCell ref="B104:I104"/>
    <mergeCell ref="J104:L104"/>
    <mergeCell ref="M104:P104"/>
    <mergeCell ref="Q104:T104"/>
    <mergeCell ref="U104:X104"/>
    <mergeCell ref="Y104:Z104"/>
    <mergeCell ref="AA104:AB104"/>
    <mergeCell ref="AC104:AF104"/>
    <mergeCell ref="B106:I106"/>
    <mergeCell ref="J106:L106"/>
    <mergeCell ref="M106:P106"/>
    <mergeCell ref="Q106:T106"/>
    <mergeCell ref="U40:X40"/>
    <mergeCell ref="AC40:AF40"/>
    <mergeCell ref="AA38:AB38"/>
    <mergeCell ref="B40:I40"/>
    <mergeCell ref="J40:L40"/>
    <mergeCell ref="U39:X39"/>
    <mergeCell ref="AJ31:AJ34"/>
    <mergeCell ref="M35:P35"/>
    <mergeCell ref="B42:I42"/>
    <mergeCell ref="J42:L42"/>
    <mergeCell ref="M42:P42"/>
    <mergeCell ref="Q42:T42"/>
    <mergeCell ref="U42:X42"/>
    <mergeCell ref="Y42:Z42"/>
    <mergeCell ref="AA42:AB42"/>
    <mergeCell ref="AC42:AF42"/>
    <mergeCell ref="B41:I41"/>
    <mergeCell ref="B43:I43"/>
    <mergeCell ref="J43:L43"/>
    <mergeCell ref="M43:P43"/>
    <mergeCell ref="Q43:T43"/>
    <mergeCell ref="AA97:AB97"/>
    <mergeCell ref="AC97:AF97"/>
    <mergeCell ref="B2:K2"/>
    <mergeCell ref="H8:AA8"/>
    <mergeCell ref="B4:F6"/>
    <mergeCell ref="AB4:AF4"/>
    <mergeCell ref="AB5:AF7"/>
    <mergeCell ref="AC35:AF35"/>
    <mergeCell ref="AC36:AF36"/>
    <mergeCell ref="U35:X35"/>
    <mergeCell ref="V11:AF11"/>
    <mergeCell ref="B11:U11"/>
    <mergeCell ref="H4:AA6"/>
    <mergeCell ref="B16:C16"/>
    <mergeCell ref="B31:B34"/>
    <mergeCell ref="AB8:AF9"/>
    <mergeCell ref="H7:AA7"/>
    <mergeCell ref="U36:X36"/>
    <mergeCell ref="C31:I34"/>
    <mergeCell ref="AA36:AB36"/>
    <mergeCell ref="R29:AE29"/>
    <mergeCell ref="Y31:AB32"/>
    <mergeCell ref="Y33:Z34"/>
    <mergeCell ref="AA33:AB34"/>
    <mergeCell ref="AC31:AF34"/>
    <mergeCell ref="AC115:AF115"/>
    <mergeCell ref="B116:B120"/>
    <mergeCell ref="U116:X120"/>
    <mergeCell ref="AC116:AF120"/>
    <mergeCell ref="B115:I115"/>
    <mergeCell ref="J115:L115"/>
    <mergeCell ref="M115:P115"/>
    <mergeCell ref="Q115:T115"/>
    <mergeCell ref="U115:X115"/>
    <mergeCell ref="AA115:AB115"/>
    <mergeCell ref="Y116:Z120"/>
    <mergeCell ref="AA116:AB120"/>
    <mergeCell ref="Y115:Z115"/>
    <mergeCell ref="AC114:AF114"/>
    <mergeCell ref="B113:I113"/>
    <mergeCell ref="J113:L113"/>
    <mergeCell ref="AC112:AF112"/>
    <mergeCell ref="B111:I111"/>
    <mergeCell ref="J111:L111"/>
    <mergeCell ref="M111:P111"/>
    <mergeCell ref="Q111:T111"/>
    <mergeCell ref="U111:X111"/>
    <mergeCell ref="B114:I114"/>
    <mergeCell ref="J114:L114"/>
    <mergeCell ref="M114:P114"/>
    <mergeCell ref="Q114:T114"/>
    <mergeCell ref="U114:X114"/>
    <mergeCell ref="B112:I112"/>
    <mergeCell ref="J112:L112"/>
    <mergeCell ref="M112:P112"/>
    <mergeCell ref="Q112:T112"/>
    <mergeCell ref="U112:X112"/>
    <mergeCell ref="AC113:AF113"/>
    <mergeCell ref="M113:P113"/>
    <mergeCell ref="Q113:T113"/>
    <mergeCell ref="Y114:Z114"/>
    <mergeCell ref="AA114:AB114"/>
    <mergeCell ref="Y110:Z110"/>
    <mergeCell ref="AA110:AB110"/>
    <mergeCell ref="Y111:Z111"/>
    <mergeCell ref="M109:P109"/>
    <mergeCell ref="Q109:T109"/>
    <mergeCell ref="U109:X109"/>
    <mergeCell ref="U113:X113"/>
    <mergeCell ref="AC111:AF111"/>
    <mergeCell ref="AC110:AF110"/>
    <mergeCell ref="Y112:Z112"/>
    <mergeCell ref="Y113:Z113"/>
    <mergeCell ref="AA113:AB113"/>
    <mergeCell ref="U88:X88"/>
    <mergeCell ref="U100:X100"/>
    <mergeCell ref="Y100:Z100"/>
    <mergeCell ref="AA100:AB100"/>
    <mergeCell ref="Q84:T87"/>
    <mergeCell ref="U84:X87"/>
    <mergeCell ref="Y84:AB85"/>
    <mergeCell ref="Y88:Z88"/>
    <mergeCell ref="Y89:Z89"/>
    <mergeCell ref="Y90:Z90"/>
    <mergeCell ref="Y92:Z92"/>
    <mergeCell ref="Y93:Z93"/>
    <mergeCell ref="Y94:Z94"/>
    <mergeCell ref="Y99:Z99"/>
    <mergeCell ref="Q97:T97"/>
    <mergeCell ref="U97:X97"/>
    <mergeCell ref="Y97:Z97"/>
    <mergeCell ref="Q89:T89"/>
    <mergeCell ref="U89:X89"/>
    <mergeCell ref="AA90:AB90"/>
    <mergeCell ref="AA92:AB92"/>
    <mergeCell ref="AA93:AB93"/>
    <mergeCell ref="AA94:AB94"/>
    <mergeCell ref="AA99:AB99"/>
    <mergeCell ref="B107:I107"/>
    <mergeCell ref="J107:L107"/>
    <mergeCell ref="M107:P107"/>
    <mergeCell ref="B109:I109"/>
    <mergeCell ref="J109:L109"/>
    <mergeCell ref="AC108:AF108"/>
    <mergeCell ref="AC109:AF109"/>
    <mergeCell ref="B110:I110"/>
    <mergeCell ref="J110:L110"/>
    <mergeCell ref="M110:P110"/>
    <mergeCell ref="Q110:T110"/>
    <mergeCell ref="U110:X110"/>
    <mergeCell ref="B108:I108"/>
    <mergeCell ref="J108:L108"/>
    <mergeCell ref="M108:P108"/>
    <mergeCell ref="Q108:T108"/>
    <mergeCell ref="U108:X108"/>
    <mergeCell ref="Y109:Z109"/>
    <mergeCell ref="Q107:T107"/>
    <mergeCell ref="U107:X107"/>
    <mergeCell ref="Y108:Z108"/>
    <mergeCell ref="Y107:Z107"/>
    <mergeCell ref="AC107:AF107"/>
    <mergeCell ref="AA107:AB107"/>
    <mergeCell ref="B100:I100"/>
    <mergeCell ref="J100:L100"/>
    <mergeCell ref="B105:I105"/>
    <mergeCell ref="J105:L105"/>
    <mergeCell ref="AC105:AF105"/>
    <mergeCell ref="B101:I101"/>
    <mergeCell ref="J101:L101"/>
    <mergeCell ref="U101:X101"/>
    <mergeCell ref="Y101:Z101"/>
    <mergeCell ref="AA101:AB101"/>
    <mergeCell ref="AC101:AF101"/>
    <mergeCell ref="B102:I102"/>
    <mergeCell ref="M100:P100"/>
    <mergeCell ref="M105:P105"/>
    <mergeCell ref="Q105:T105"/>
    <mergeCell ref="U105:X105"/>
    <mergeCell ref="Y105:Z105"/>
    <mergeCell ref="AA105:AB105"/>
    <mergeCell ref="M101:P101"/>
    <mergeCell ref="Q101:T101"/>
    <mergeCell ref="J102:L102"/>
    <mergeCell ref="M102:P102"/>
    <mergeCell ref="Q102:T102"/>
    <mergeCell ref="U102:X102"/>
    <mergeCell ref="B99:I99"/>
    <mergeCell ref="J99:L99"/>
    <mergeCell ref="M99:P99"/>
    <mergeCell ref="Q99:T99"/>
    <mergeCell ref="U99:X99"/>
    <mergeCell ref="B93:I93"/>
    <mergeCell ref="J93:L93"/>
    <mergeCell ref="M93:P93"/>
    <mergeCell ref="Q93:T93"/>
    <mergeCell ref="U93:X93"/>
    <mergeCell ref="M94:P94"/>
    <mergeCell ref="Q94:T94"/>
    <mergeCell ref="U94:X94"/>
    <mergeCell ref="M96:P96"/>
    <mergeCell ref="Q96:T96"/>
    <mergeCell ref="U96:X96"/>
    <mergeCell ref="B98:I98"/>
    <mergeCell ref="J98:L98"/>
    <mergeCell ref="M98:P98"/>
    <mergeCell ref="B97:I97"/>
    <mergeCell ref="J97:L97"/>
    <mergeCell ref="M97:P97"/>
    <mergeCell ref="J90:L90"/>
    <mergeCell ref="M90:P90"/>
    <mergeCell ref="Q90:T90"/>
    <mergeCell ref="U90:X90"/>
    <mergeCell ref="B92:I92"/>
    <mergeCell ref="J92:L92"/>
    <mergeCell ref="M92:P92"/>
    <mergeCell ref="Q92:T92"/>
    <mergeCell ref="U92:X92"/>
    <mergeCell ref="B53:I53"/>
    <mergeCell ref="J53:L53"/>
    <mergeCell ref="M53:P53"/>
    <mergeCell ref="Q53:T53"/>
    <mergeCell ref="U53:X53"/>
    <mergeCell ref="AA53:AB53"/>
    <mergeCell ref="AC54:AF54"/>
    <mergeCell ref="AC55:AF59"/>
    <mergeCell ref="U55:X59"/>
    <mergeCell ref="B54:I54"/>
    <mergeCell ref="J54:L54"/>
    <mergeCell ref="M54:P54"/>
    <mergeCell ref="Q54:T54"/>
    <mergeCell ref="U54:X54"/>
    <mergeCell ref="B55:B59"/>
    <mergeCell ref="Y54:Z54"/>
    <mergeCell ref="AA54:AB54"/>
    <mergeCell ref="C55:P59"/>
    <mergeCell ref="Q55:T59"/>
    <mergeCell ref="Y55:Z59"/>
    <mergeCell ref="AA55:AB59"/>
    <mergeCell ref="AC45:AF45"/>
    <mergeCell ref="B46:I46"/>
    <mergeCell ref="J46:L46"/>
    <mergeCell ref="M46:P46"/>
    <mergeCell ref="Q46:T46"/>
    <mergeCell ref="U46:X46"/>
    <mergeCell ref="AC46:AF46"/>
    <mergeCell ref="AC47:AF47"/>
    <mergeCell ref="B50:I50"/>
    <mergeCell ref="J50:L50"/>
    <mergeCell ref="M50:P50"/>
    <mergeCell ref="Q50:T50"/>
    <mergeCell ref="U50:X50"/>
    <mergeCell ref="AC50:AF50"/>
    <mergeCell ref="B49:I49"/>
    <mergeCell ref="J49:L49"/>
    <mergeCell ref="M49:P49"/>
    <mergeCell ref="Q49:T49"/>
    <mergeCell ref="U49:X49"/>
    <mergeCell ref="AA50:AB50"/>
    <mergeCell ref="AA49:AB49"/>
    <mergeCell ref="B48:I48"/>
    <mergeCell ref="J48:L48"/>
    <mergeCell ref="M48:P48"/>
    <mergeCell ref="Q48:T48"/>
    <mergeCell ref="U48:X48"/>
    <mergeCell ref="AA48:AB48"/>
    <mergeCell ref="AA47:AB47"/>
    <mergeCell ref="AA46:AB46"/>
    <mergeCell ref="M45:P45"/>
    <mergeCell ref="Q45:T45"/>
    <mergeCell ref="U45:X45"/>
    <mergeCell ref="B45:I45"/>
    <mergeCell ref="B47:I47"/>
    <mergeCell ref="J47:L47"/>
    <mergeCell ref="M47:P47"/>
    <mergeCell ref="Q47:T47"/>
    <mergeCell ref="U47:X47"/>
    <mergeCell ref="Q44:T44"/>
    <mergeCell ref="U44:X44"/>
    <mergeCell ref="M31:P34"/>
    <mergeCell ref="J31:L34"/>
    <mergeCell ref="M37:P37"/>
    <mergeCell ref="Q37:T37"/>
    <mergeCell ref="J36:L36"/>
    <mergeCell ref="Q36:T36"/>
    <mergeCell ref="B37:I37"/>
    <mergeCell ref="J37:L37"/>
    <mergeCell ref="B36:I36"/>
    <mergeCell ref="U37:X37"/>
    <mergeCell ref="B38:I38"/>
    <mergeCell ref="J38:L38"/>
    <mergeCell ref="M36:P36"/>
    <mergeCell ref="B35:I35"/>
    <mergeCell ref="J35:L35"/>
    <mergeCell ref="U31:X34"/>
    <mergeCell ref="Q31:T34"/>
    <mergeCell ref="Q35:T35"/>
    <mergeCell ref="Q39:T39"/>
    <mergeCell ref="B121:AF121"/>
    <mergeCell ref="C116:P120"/>
    <mergeCell ref="Q116:T120"/>
    <mergeCell ref="Y35:Z35"/>
    <mergeCell ref="Y36:Z36"/>
    <mergeCell ref="Y37:Z37"/>
    <mergeCell ref="Y38:Z38"/>
    <mergeCell ref="Y39:Z39"/>
    <mergeCell ref="Y40:Z40"/>
    <mergeCell ref="Y45:Z45"/>
    <mergeCell ref="Y46:Z46"/>
    <mergeCell ref="Y47:Z47"/>
    <mergeCell ref="Y48:Z48"/>
    <mergeCell ref="Y49:Z49"/>
    <mergeCell ref="Y50:Z50"/>
    <mergeCell ref="Y51:Z51"/>
    <mergeCell ref="Y52:Z52"/>
    <mergeCell ref="Y53:Z53"/>
    <mergeCell ref="AC37:AF37"/>
    <mergeCell ref="AA111:AB111"/>
    <mergeCell ref="AA109:AB109"/>
    <mergeCell ref="B44:I44"/>
    <mergeCell ref="J44:L44"/>
    <mergeCell ref="M44:P44"/>
    <mergeCell ref="Y86:Z87"/>
    <mergeCell ref="AA86:AB87"/>
    <mergeCell ref="B60:AF60"/>
    <mergeCell ref="B84:B87"/>
    <mergeCell ref="C84:I87"/>
    <mergeCell ref="J84:L87"/>
    <mergeCell ref="B69:C69"/>
    <mergeCell ref="B64:U64"/>
    <mergeCell ref="V64:AF64"/>
    <mergeCell ref="J52:L52"/>
    <mergeCell ref="M52:P52"/>
    <mergeCell ref="Q52:T52"/>
    <mergeCell ref="U52:X52"/>
    <mergeCell ref="AC52:AF52"/>
    <mergeCell ref="B51:I51"/>
    <mergeCell ref="J51:L51"/>
    <mergeCell ref="M51:P51"/>
    <mergeCell ref="Q51:T51"/>
    <mergeCell ref="U51:X51"/>
    <mergeCell ref="AA52:AB52"/>
    <mergeCell ref="AA51:AB51"/>
    <mergeCell ref="AC51:AF51"/>
    <mergeCell ref="B52:I52"/>
    <mergeCell ref="AA108:AB108"/>
    <mergeCell ref="AA112:AB112"/>
    <mergeCell ref="B88:I88"/>
    <mergeCell ref="J88:L88"/>
    <mergeCell ref="M88:P88"/>
    <mergeCell ref="B89:I89"/>
    <mergeCell ref="J89:L89"/>
    <mergeCell ref="M89:P89"/>
    <mergeCell ref="U106:X106"/>
    <mergeCell ref="Y106:Z106"/>
    <mergeCell ref="AA106:AB106"/>
    <mergeCell ref="Q98:T98"/>
    <mergeCell ref="U98:X98"/>
    <mergeCell ref="Y98:Z98"/>
    <mergeCell ref="B91:I91"/>
    <mergeCell ref="J91:L91"/>
    <mergeCell ref="M91:P91"/>
    <mergeCell ref="Q91:T91"/>
    <mergeCell ref="U91:X91"/>
    <mergeCell ref="Y91:Z91"/>
    <mergeCell ref="AA91:AB91"/>
    <mergeCell ref="AA88:AB88"/>
    <mergeCell ref="AA89:AB89"/>
    <mergeCell ref="B90:I90"/>
  </mergeCells>
  <conditionalFormatting sqref="P69">
    <cfRule type="expression" dxfId="290" priority="536" stopIfTrue="1">
      <formula>IF(AND($L$2="",$AG$69),TRUE,FALSE)</formula>
    </cfRule>
  </conditionalFormatting>
  <conditionalFormatting sqref="T16:T19">
    <cfRule type="expression" dxfId="289" priority="128" stopIfTrue="1">
      <formula>IF(AND($L$2="",$AG$16),TRUE,FALSE)</formula>
    </cfRule>
  </conditionalFormatting>
  <conditionalFormatting sqref="T69">
    <cfRule type="expression" dxfId="288" priority="127" stopIfTrue="1">
      <formula>IF(AND($L$2="",$AG$69),TRUE,FALSE)</formula>
    </cfRule>
  </conditionalFormatting>
  <conditionalFormatting sqref="L2">
    <cfRule type="expression" dxfId="287" priority="574" stopIfTrue="1">
      <formula>IF(OR($AG$16,$AG$69),1,0)</formula>
    </cfRule>
  </conditionalFormatting>
  <conditionalFormatting sqref="B2">
    <cfRule type="expression" dxfId="286" priority="575" stopIfTrue="1">
      <formula>IF(OR($AG$16,$AG$69),1,0)</formula>
    </cfRule>
  </conditionalFormatting>
  <conditionalFormatting sqref="M36">
    <cfRule type="expression" dxfId="285" priority="47" stopIfTrue="1">
      <formula>IF(AND($L$2="",AG36&gt;0),TRUE,FALSE)</formula>
    </cfRule>
  </conditionalFormatting>
  <conditionalFormatting sqref="J36">
    <cfRule type="expression" dxfId="284" priority="46" stopIfTrue="1">
      <formula>IF(AND($L$2="",AG36&lt;&gt;0),TRUE,FALSE)</formula>
    </cfRule>
  </conditionalFormatting>
  <conditionalFormatting sqref="M37">
    <cfRule type="expression" dxfId="283" priority="45" stopIfTrue="1">
      <formula>IF(AND($L$2="",AG37&gt;0),TRUE,FALSE)</formula>
    </cfRule>
  </conditionalFormatting>
  <conditionalFormatting sqref="J37">
    <cfRule type="expression" dxfId="282" priority="44" stopIfTrue="1">
      <formula>IF(AND($L$2="",AG37&lt;&gt;0),TRUE,FALSE)</formula>
    </cfRule>
  </conditionalFormatting>
  <conditionalFormatting sqref="M38:M40 M42:M54">
    <cfRule type="expression" dxfId="281" priority="43" stopIfTrue="1">
      <formula>IF(AND($L$2="",AG38&gt;0),TRUE,FALSE)</formula>
    </cfRule>
  </conditionalFormatting>
  <conditionalFormatting sqref="J38:J40 J42:J54">
    <cfRule type="expression" dxfId="280" priority="42" stopIfTrue="1">
      <formula>IF(AND($L$2="",AG38&lt;&gt;0),TRUE,FALSE)</formula>
    </cfRule>
  </conditionalFormatting>
  <conditionalFormatting sqref="J41">
    <cfRule type="expression" dxfId="279" priority="41" stopIfTrue="1">
      <formula>IF(AND($L$2="",AG41&lt;&gt;0),TRUE,FALSE)</formula>
    </cfRule>
  </conditionalFormatting>
  <conditionalFormatting sqref="M41">
    <cfRule type="expression" dxfId="278" priority="40" stopIfTrue="1">
      <formula>IF(AND($L$2="",AG41&gt;0),TRUE,FALSE)</formula>
    </cfRule>
  </conditionalFormatting>
  <conditionalFormatting sqref="J35">
    <cfRule type="expression" dxfId="277" priority="34" stopIfTrue="1">
      <formula>IF(AND($L$2="",AG35&lt;&gt;0),TRUE,FALSE)</formula>
    </cfRule>
  </conditionalFormatting>
  <conditionalFormatting sqref="M35">
    <cfRule type="expression" dxfId="276" priority="33" stopIfTrue="1">
      <formula>IF(AND($L$2="",AG35&gt;0),TRUE,FALSE)</formula>
    </cfRule>
  </conditionalFormatting>
  <conditionalFormatting sqref="B11:AF11">
    <cfRule type="expression" dxfId="275" priority="32">
      <formula>IF(NoColor,1,0)</formula>
    </cfRule>
  </conditionalFormatting>
  <conditionalFormatting sqref="C25">
    <cfRule type="expression" dxfId="274" priority="31">
      <formula>IF(NoColor,1,0)</formula>
    </cfRule>
  </conditionalFormatting>
  <conditionalFormatting sqref="AA55:AF59">
    <cfRule type="expression" dxfId="273" priority="26">
      <formula>IF(NoColor,1,0)</formula>
    </cfRule>
  </conditionalFormatting>
  <conditionalFormatting sqref="B35:AF54">
    <cfRule type="expression" dxfId="272" priority="28">
      <formula>IF(NoColor,1,0)</formula>
    </cfRule>
  </conditionalFormatting>
  <conditionalFormatting sqref="Q55:X59">
    <cfRule type="expression" dxfId="271" priority="27">
      <formula>IF(NoColor,1,0)</formula>
    </cfRule>
  </conditionalFormatting>
  <conditionalFormatting sqref="B64:AF64">
    <cfRule type="expression" dxfId="270" priority="25">
      <formula>IF(NoColor,1,0)</formula>
    </cfRule>
  </conditionalFormatting>
  <conditionalFormatting sqref="C78">
    <cfRule type="expression" dxfId="269" priority="24">
      <formula>IF(NoColor,1,0)</formula>
    </cfRule>
  </conditionalFormatting>
  <conditionalFormatting sqref="J88:J115">
    <cfRule type="expression" dxfId="268" priority="21" stopIfTrue="1">
      <formula>IF(AND($L$2="",AG88&lt;&gt;0),TRUE,FALSE)</formula>
    </cfRule>
  </conditionalFormatting>
  <conditionalFormatting sqref="M88:M115">
    <cfRule type="expression" dxfId="267" priority="20" stopIfTrue="1">
      <formula>IF(AND($L$2="",AG88&gt;0),TRUE,FALSE)</formula>
    </cfRule>
  </conditionalFormatting>
  <conditionalFormatting sqref="B88:AB115">
    <cfRule type="expression" dxfId="266" priority="19">
      <formula>IF(NoColor,1,0)</formula>
    </cfRule>
  </conditionalFormatting>
  <conditionalFormatting sqref="Q116:X120">
    <cfRule type="expression" dxfId="265" priority="15">
      <formula>IF(NoColor,1,0)</formula>
    </cfRule>
  </conditionalFormatting>
  <conditionalFormatting sqref="AA116:AF120">
    <cfRule type="expression" dxfId="264" priority="14">
      <formula>IF(NoColor,1,0)</formula>
    </cfRule>
  </conditionalFormatting>
  <conditionalFormatting sqref="C27">
    <cfRule type="expression" dxfId="263" priority="13">
      <formula>IF(NoColor,1,0)</formula>
    </cfRule>
  </conditionalFormatting>
  <conditionalFormatting sqref="C29">
    <cfRule type="expression" dxfId="262" priority="12">
      <formula>IF(NoColor,1,0)</formula>
    </cfRule>
  </conditionalFormatting>
  <conditionalFormatting sqref="C80">
    <cfRule type="expression" dxfId="261" priority="11">
      <formula>IF(NoColor,1,0)</formula>
    </cfRule>
  </conditionalFormatting>
  <conditionalFormatting sqref="C82">
    <cfRule type="expression" dxfId="260" priority="10">
      <formula>IF(NoColor,1,0)</formula>
    </cfRule>
  </conditionalFormatting>
  <conditionalFormatting sqref="AC88:AF115">
    <cfRule type="expression" dxfId="259" priority="9">
      <formula>IF(NoColor,1,0)</formula>
    </cfRule>
  </conditionalFormatting>
  <conditionalFormatting sqref="T70:T72">
    <cfRule type="expression" dxfId="258" priority="8" stopIfTrue="1">
      <formula>IF(AND($L$2="",$AG$16),TRUE,FALSE)</formula>
    </cfRule>
  </conditionalFormatting>
  <conditionalFormatting sqref="K74">
    <cfRule type="expression" dxfId="257" priority="4">
      <formula>IF($A$82&gt;1,1,0)</formula>
    </cfRule>
  </conditionalFormatting>
  <conditionalFormatting sqref="B74">
    <cfRule type="expression" dxfId="256" priority="3">
      <formula>IF($A$31=0,1,0)</formula>
    </cfRule>
  </conditionalFormatting>
  <conditionalFormatting sqref="B21">
    <cfRule type="expression" dxfId="255" priority="2">
      <formula>IF($A$31=0,1,0)</formula>
    </cfRule>
  </conditionalFormatting>
  <conditionalFormatting sqref="L21">
    <cfRule type="expression" dxfId="254" priority="1">
      <formula>IF($A$31&gt;1,1,0)</formula>
    </cfRule>
  </conditionalFormatting>
  <printOptions horizontalCentered="1"/>
  <pageMargins left="0.2" right="0.2" top="0.3" bottom="0.25" header="0" footer="0"/>
  <pageSetup scale="80" fitToHeight="2" orientation="portrait" r:id="rId1"/>
  <rowBreaks count="1" manualBreakCount="1">
    <brk id="61" min="1" max="31"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3"/>
  <sheetViews>
    <sheetView zoomScaleNormal="100" zoomScaleSheetLayoutView="100" workbookViewId="0">
      <selection activeCell="C25" sqref="C25"/>
    </sheetView>
  </sheetViews>
  <sheetFormatPr defaultColWidth="3.7109375" defaultRowHeight="12.75"/>
  <cols>
    <col min="1" max="1" width="3.7109375" style="1658" customWidth="1"/>
    <col min="2" max="2" width="4.140625" style="64" customWidth="1"/>
    <col min="3" max="3" width="2.28515625" style="64" customWidth="1"/>
    <col min="4" max="9" width="3.7109375" style="64" customWidth="1"/>
    <col min="10" max="12" width="4" style="64" customWidth="1"/>
    <col min="13" max="19" width="3.7109375" style="64" customWidth="1"/>
    <col min="20" max="23" width="3.85546875" style="64" customWidth="1"/>
    <col min="24" max="24" width="3.7109375" style="64" customWidth="1"/>
    <col min="25" max="26" width="5.42578125" style="64" customWidth="1"/>
    <col min="27" max="28" width="6.42578125" style="64" customWidth="1"/>
    <col min="29" max="32" width="3.7109375" style="64" customWidth="1"/>
    <col min="33" max="33" width="6" style="2621" customWidth="1"/>
    <col min="34" max="34" width="4.85546875" style="2458" customWidth="1"/>
    <col min="35" max="35" width="8.5703125" style="2458" bestFit="1" customWidth="1"/>
    <col min="36" max="36" width="29.28515625" style="64" customWidth="1"/>
    <col min="37" max="40" width="13.7109375" style="64" customWidth="1"/>
    <col min="41" max="41" width="10" style="64" customWidth="1"/>
    <col min="42" max="42" width="15.5703125" style="64" customWidth="1"/>
    <col min="43" max="43" width="15.42578125" style="64" customWidth="1"/>
    <col min="44" max="44" width="3.7109375" style="64"/>
    <col min="45" max="46" width="5" style="64" hidden="1" customWidth="1"/>
    <col min="47" max="47" width="0" style="64" hidden="1" customWidth="1"/>
    <col min="48" max="48" width="1.7109375" style="64" hidden="1" customWidth="1"/>
    <col min="49" max="49" width="5" style="64" hidden="1" customWidth="1"/>
    <col min="50" max="52" width="0" style="64" hidden="1" customWidth="1"/>
    <col min="53" max="55" width="7" style="64" hidden="1" customWidth="1"/>
    <col min="56" max="16384" width="3.7109375" style="64"/>
  </cols>
  <sheetData>
    <row r="1" spans="1:35" s="437" customFormat="1">
      <c r="A1" s="1706"/>
      <c r="B1" s="1706"/>
      <c r="C1" s="1706"/>
      <c r="D1" s="1706"/>
      <c r="E1" s="1706"/>
      <c r="F1" s="1706"/>
      <c r="G1" s="1706"/>
      <c r="H1" s="1706"/>
      <c r="I1" s="1706"/>
      <c r="J1" s="1706"/>
      <c r="K1" s="1706"/>
      <c r="L1" s="1706"/>
      <c r="M1" s="1706"/>
      <c r="N1" s="1706"/>
      <c r="O1" s="1706"/>
      <c r="P1" s="1706"/>
      <c r="Q1" s="1706"/>
      <c r="R1" s="1706"/>
      <c r="S1" s="1706"/>
      <c r="T1" s="1706"/>
      <c r="U1" s="1706"/>
      <c r="V1" s="1706"/>
      <c r="W1" s="1706"/>
      <c r="X1" s="1706"/>
      <c r="Y1" s="1706"/>
      <c r="Z1" s="1706"/>
      <c r="AA1" s="1706"/>
      <c r="AB1" s="1706"/>
      <c r="AC1" s="1706"/>
      <c r="AD1" s="1706"/>
      <c r="AE1" s="1706"/>
      <c r="AF1" s="1706"/>
      <c r="AG1" s="1528"/>
      <c r="AH1" s="1421"/>
      <c r="AI1" s="1421"/>
    </row>
    <row r="2" spans="1:35">
      <c r="A2" s="112"/>
      <c r="B2" s="6387" t="s">
        <v>1396</v>
      </c>
      <c r="C2" s="6388"/>
      <c r="D2" s="6388"/>
      <c r="E2" s="6388"/>
      <c r="F2" s="6388"/>
      <c r="G2" s="6388"/>
      <c r="H2" s="6388"/>
      <c r="I2" s="6388"/>
      <c r="J2" s="6388"/>
      <c r="K2" s="6388"/>
      <c r="L2" s="2097"/>
      <c r="M2" s="112"/>
      <c r="N2" s="112"/>
      <c r="O2" s="112"/>
      <c r="P2" s="112"/>
      <c r="Q2" s="112"/>
      <c r="R2" s="112"/>
      <c r="S2" s="112"/>
      <c r="T2" s="112"/>
      <c r="U2" s="112"/>
      <c r="V2" s="112"/>
      <c r="W2" s="112"/>
      <c r="X2" s="112"/>
      <c r="Y2" s="112"/>
      <c r="Z2" s="112"/>
      <c r="AA2" s="1511"/>
      <c r="AB2" s="112"/>
      <c r="AC2" s="112"/>
      <c r="AD2" s="112"/>
      <c r="AE2" s="112"/>
      <c r="AF2" s="112"/>
      <c r="AG2" s="1528"/>
    </row>
    <row r="3" spans="1:35" s="437" customFormat="1">
      <c r="A3" s="1706"/>
      <c r="B3" s="1706"/>
      <c r="C3" s="1706"/>
      <c r="D3" s="1706"/>
      <c r="E3" s="1706"/>
      <c r="F3" s="1706"/>
      <c r="G3" s="1706"/>
      <c r="H3" s="1706"/>
      <c r="I3" s="1706"/>
      <c r="J3" s="1706"/>
      <c r="K3" s="1706"/>
      <c r="L3" s="1706"/>
      <c r="M3" s="1706"/>
      <c r="N3" s="1706"/>
      <c r="O3" s="1706"/>
      <c r="P3" s="1706"/>
      <c r="Q3" s="1706"/>
      <c r="R3" s="1706"/>
      <c r="S3" s="1706"/>
      <c r="T3" s="1706"/>
      <c r="U3" s="1706"/>
      <c r="V3" s="1706"/>
      <c r="W3" s="1706"/>
      <c r="X3" s="1706"/>
      <c r="Y3" s="1706"/>
      <c r="Z3" s="1706"/>
      <c r="AA3" s="1706"/>
      <c r="AB3" s="1706"/>
      <c r="AC3" s="1706"/>
      <c r="AD3" s="1706"/>
      <c r="AE3" s="1706"/>
      <c r="AF3" s="1706"/>
      <c r="AG3" s="1528"/>
      <c r="AH3" s="1421"/>
      <c r="AI3" s="1421"/>
    </row>
    <row r="4" spans="1:35" ht="11.25" customHeight="1">
      <c r="A4" s="1706"/>
      <c r="B4" s="6392" t="s">
        <v>1104</v>
      </c>
      <c r="C4" s="6157"/>
      <c r="D4" s="6157"/>
      <c r="E4" s="6157"/>
      <c r="F4" s="6157"/>
      <c r="G4" s="44"/>
      <c r="H4" s="6396" t="s">
        <v>1105</v>
      </c>
      <c r="I4" s="6397"/>
      <c r="J4" s="6397"/>
      <c r="K4" s="6397"/>
      <c r="L4" s="6397"/>
      <c r="M4" s="6397"/>
      <c r="N4" s="6397"/>
      <c r="O4" s="6397"/>
      <c r="P4" s="6397"/>
      <c r="Q4" s="6397"/>
      <c r="R4" s="6397"/>
      <c r="S4" s="6397"/>
      <c r="T4" s="6397"/>
      <c r="U4" s="6397"/>
      <c r="V4" s="6397"/>
      <c r="W4" s="6397"/>
      <c r="X4" s="6397"/>
      <c r="Y4" s="6397"/>
      <c r="Z4" s="6397"/>
      <c r="AA4" s="6398"/>
      <c r="AB4" s="6393" t="s">
        <v>249</v>
      </c>
      <c r="AC4" s="6162"/>
      <c r="AD4" s="6162"/>
      <c r="AE4" s="6162"/>
      <c r="AF4" s="6162"/>
      <c r="AG4" s="1528"/>
      <c r="AH4" s="1645"/>
    </row>
    <row r="5" spans="1:35" ht="11.25" customHeight="1">
      <c r="A5" s="1706"/>
      <c r="B5" s="6157"/>
      <c r="C5" s="6157"/>
      <c r="D5" s="6157"/>
      <c r="E5" s="6157"/>
      <c r="F5" s="6157"/>
      <c r="G5" s="44"/>
      <c r="H5" s="6399"/>
      <c r="I5" s="6397"/>
      <c r="J5" s="6397"/>
      <c r="K5" s="6397"/>
      <c r="L5" s="6397"/>
      <c r="M5" s="6397"/>
      <c r="N5" s="6397"/>
      <c r="O5" s="6397"/>
      <c r="P5" s="6397"/>
      <c r="Q5" s="6397"/>
      <c r="R5" s="6397"/>
      <c r="S5" s="6397"/>
      <c r="T5" s="6397"/>
      <c r="U5" s="6397"/>
      <c r="V5" s="6397"/>
      <c r="W5" s="6397"/>
      <c r="X5" s="6397"/>
      <c r="Y5" s="6397"/>
      <c r="Z5" s="6397"/>
      <c r="AA5" s="6398"/>
      <c r="AB5" s="6394">
        <f>TaxYear</f>
        <v>2016</v>
      </c>
      <c r="AC5" s="6395"/>
      <c r="AD5" s="6395"/>
      <c r="AE5" s="6395"/>
      <c r="AF5" s="6395"/>
      <c r="AG5" s="1528"/>
      <c r="AH5" s="1645"/>
    </row>
    <row r="6" spans="1:35" ht="11.25" customHeight="1">
      <c r="A6" s="1706"/>
      <c r="B6" s="6157"/>
      <c r="C6" s="6157"/>
      <c r="D6" s="6157"/>
      <c r="E6" s="6157"/>
      <c r="F6" s="6157"/>
      <c r="G6" s="44"/>
      <c r="H6" s="6400"/>
      <c r="I6" s="4724"/>
      <c r="J6" s="4724"/>
      <c r="K6" s="4724"/>
      <c r="L6" s="4724"/>
      <c r="M6" s="4724"/>
      <c r="N6" s="4724"/>
      <c r="O6" s="4724"/>
      <c r="P6" s="4724"/>
      <c r="Q6" s="4724"/>
      <c r="R6" s="4724"/>
      <c r="S6" s="4724"/>
      <c r="T6" s="4724"/>
      <c r="U6" s="4724"/>
      <c r="V6" s="4724"/>
      <c r="W6" s="4724"/>
      <c r="X6" s="4724"/>
      <c r="Y6" s="4724"/>
      <c r="Z6" s="4724"/>
      <c r="AA6" s="6107"/>
      <c r="AB6" s="6157"/>
      <c r="AC6" s="6395"/>
      <c r="AD6" s="6395"/>
      <c r="AE6" s="6395"/>
      <c r="AF6" s="6395"/>
      <c r="AG6" s="1528"/>
      <c r="AH6" s="1643"/>
    </row>
    <row r="7" spans="1:35" ht="11.25" customHeight="1">
      <c r="A7" s="1706"/>
      <c r="B7" s="44"/>
      <c r="C7" s="44"/>
      <c r="D7" s="44"/>
      <c r="E7" s="44"/>
      <c r="F7" s="44"/>
      <c r="G7" s="44"/>
      <c r="H7" s="6404" t="s">
        <v>2058</v>
      </c>
      <c r="I7" s="6405"/>
      <c r="J7" s="6405"/>
      <c r="K7" s="6405"/>
      <c r="L7" s="6405"/>
      <c r="M7" s="6405"/>
      <c r="N7" s="6405"/>
      <c r="O7" s="6405"/>
      <c r="P7" s="6405"/>
      <c r="Q7" s="6405"/>
      <c r="R7" s="6405"/>
      <c r="S7" s="6405"/>
      <c r="T7" s="6405"/>
      <c r="U7" s="6405"/>
      <c r="V7" s="6405"/>
      <c r="W7" s="6405"/>
      <c r="X7" s="6405"/>
      <c r="Y7" s="6405"/>
      <c r="Z7" s="6405"/>
      <c r="AA7" s="6406"/>
      <c r="AB7" s="6157"/>
      <c r="AC7" s="6395"/>
      <c r="AD7" s="6395"/>
      <c r="AE7" s="6395"/>
      <c r="AF7" s="6395"/>
      <c r="AG7" s="1528"/>
    </row>
    <row r="8" spans="1:35" ht="10.5" customHeight="1">
      <c r="A8" s="1706"/>
      <c r="B8" s="45" t="s">
        <v>293</v>
      </c>
      <c r="C8" s="44"/>
      <c r="D8" s="44"/>
      <c r="E8" s="44"/>
      <c r="F8" s="44"/>
      <c r="G8" s="44"/>
      <c r="H8" s="6389" t="s">
        <v>2057</v>
      </c>
      <c r="I8" s="6390"/>
      <c r="J8" s="6390"/>
      <c r="K8" s="6390"/>
      <c r="L8" s="6390"/>
      <c r="M8" s="6390"/>
      <c r="N8" s="6390"/>
      <c r="O8" s="6390"/>
      <c r="P8" s="6390"/>
      <c r="Q8" s="6390"/>
      <c r="R8" s="6390"/>
      <c r="S8" s="6390"/>
      <c r="T8" s="6390"/>
      <c r="U8" s="6390"/>
      <c r="V8" s="6390"/>
      <c r="W8" s="6390"/>
      <c r="X8" s="6390"/>
      <c r="Y8" s="6390"/>
      <c r="Z8" s="6390"/>
      <c r="AA8" s="6391"/>
      <c r="AB8" s="6401" t="s">
        <v>1432</v>
      </c>
      <c r="AC8" s="6402"/>
      <c r="AD8" s="6402"/>
      <c r="AE8" s="6402"/>
      <c r="AF8" s="6402"/>
      <c r="AG8" s="1528"/>
    </row>
    <row r="9" spans="1:35" ht="10.5" customHeight="1" thickBot="1">
      <c r="A9" s="1706"/>
      <c r="B9" s="43" t="s">
        <v>364</v>
      </c>
      <c r="C9" s="52"/>
      <c r="D9" s="52"/>
      <c r="E9" s="52"/>
      <c r="F9" s="52"/>
      <c r="G9" s="52"/>
      <c r="H9" s="2462"/>
      <c r="I9" s="2461"/>
      <c r="J9" s="2461"/>
      <c r="K9" s="2461"/>
      <c r="L9" s="2461"/>
      <c r="M9" s="2461"/>
      <c r="N9" s="2461"/>
      <c r="O9" s="2461"/>
      <c r="P9" s="2461"/>
      <c r="Q9" s="2461"/>
      <c r="R9" s="2461"/>
      <c r="S9" s="2461"/>
      <c r="T9" s="2461"/>
      <c r="U9" s="2461"/>
      <c r="V9" s="2461"/>
      <c r="W9" s="2461"/>
      <c r="X9" s="2461"/>
      <c r="Y9" s="2461"/>
      <c r="Z9" s="2461"/>
      <c r="AA9" s="2463"/>
      <c r="AB9" s="6403"/>
      <c r="AC9" s="6403"/>
      <c r="AD9" s="6403"/>
      <c r="AE9" s="6403"/>
      <c r="AF9" s="6403"/>
      <c r="AG9" s="1528"/>
    </row>
    <row r="10" spans="1:35">
      <c r="A10" s="1706"/>
      <c r="B10" s="56" t="s">
        <v>98</v>
      </c>
      <c r="C10" s="35"/>
      <c r="D10" s="35"/>
      <c r="E10" s="35"/>
      <c r="F10" s="35"/>
      <c r="G10" s="35"/>
      <c r="H10" s="35"/>
      <c r="I10" s="35"/>
      <c r="J10" s="35"/>
      <c r="K10" s="35"/>
      <c r="L10" s="35"/>
      <c r="M10" s="35"/>
      <c r="N10" s="35"/>
      <c r="O10" s="35"/>
      <c r="P10" s="35"/>
      <c r="Q10" s="35"/>
      <c r="R10" s="35"/>
      <c r="S10" s="35"/>
      <c r="T10" s="35"/>
      <c r="U10" s="35"/>
      <c r="V10" s="2466" t="s">
        <v>1458</v>
      </c>
      <c r="W10" s="35"/>
      <c r="X10" s="35"/>
      <c r="Y10" s="35"/>
      <c r="Z10" s="50"/>
      <c r="AA10" s="35"/>
      <c r="AB10" s="35"/>
      <c r="AC10" s="35"/>
      <c r="AD10" s="35"/>
      <c r="AE10" s="35"/>
      <c r="AF10" s="35"/>
      <c r="AG10" s="1528"/>
    </row>
    <row r="11" spans="1:35" ht="16.5" thickBot="1">
      <c r="A11" s="1706"/>
      <c r="B11" s="6342" t="str">
        <f>Names</f>
        <v/>
      </c>
      <c r="C11" s="6343"/>
      <c r="D11" s="6343"/>
      <c r="E11" s="6343"/>
      <c r="F11" s="6343"/>
      <c r="G11" s="6343"/>
      <c r="H11" s="6343"/>
      <c r="I11" s="6343"/>
      <c r="J11" s="6343"/>
      <c r="K11" s="6343"/>
      <c r="L11" s="6343"/>
      <c r="M11" s="6343"/>
      <c r="N11" s="6343"/>
      <c r="O11" s="6343"/>
      <c r="P11" s="6343"/>
      <c r="Q11" s="6343"/>
      <c r="R11" s="6343"/>
      <c r="S11" s="6343"/>
      <c r="T11" s="6343"/>
      <c r="U11" s="6344"/>
      <c r="V11" s="6345">
        <f>SS_Yours</f>
        <v>0</v>
      </c>
      <c r="W11" s="6346"/>
      <c r="X11" s="6346"/>
      <c r="Y11" s="6346"/>
      <c r="Z11" s="6346"/>
      <c r="AA11" s="6346"/>
      <c r="AB11" s="6346"/>
      <c r="AC11" s="6346"/>
      <c r="AD11" s="6346"/>
      <c r="AE11" s="6346"/>
      <c r="AF11" s="6346"/>
      <c r="AG11" s="1528"/>
    </row>
    <row r="12" spans="1:35" ht="12.75" customHeight="1">
      <c r="A12" s="1706"/>
      <c r="B12" s="6415" t="s">
        <v>3012</v>
      </c>
      <c r="C12" s="6416"/>
      <c r="D12" s="6416"/>
      <c r="E12" s="6416"/>
      <c r="F12" s="6416"/>
      <c r="G12" s="6416"/>
      <c r="H12" s="6416"/>
      <c r="I12" s="6416"/>
      <c r="J12" s="6416"/>
      <c r="K12" s="6416"/>
      <c r="L12" s="6416"/>
      <c r="M12" s="6416"/>
      <c r="N12" s="6416"/>
      <c r="O12" s="6416"/>
      <c r="P12" s="6416"/>
      <c r="Q12" s="6416"/>
      <c r="R12" s="6416"/>
      <c r="S12" s="6416"/>
      <c r="T12" s="6416"/>
      <c r="U12" s="6416"/>
      <c r="V12" s="6416"/>
      <c r="W12" s="6416"/>
      <c r="X12" s="6416"/>
      <c r="Y12" s="6416"/>
      <c r="Z12" s="6416"/>
      <c r="AA12" s="6416"/>
      <c r="AB12" s="6416"/>
      <c r="AC12" s="6416"/>
      <c r="AD12" s="6416"/>
      <c r="AE12" s="6416"/>
      <c r="AF12" s="6416"/>
      <c r="AG12" s="1528"/>
    </row>
    <row r="13" spans="1:35" ht="12.75" customHeight="1">
      <c r="A13" s="1706"/>
      <c r="B13" s="6417"/>
      <c r="C13" s="6417"/>
      <c r="D13" s="6417"/>
      <c r="E13" s="6417"/>
      <c r="F13" s="6417"/>
      <c r="G13" s="6417"/>
      <c r="H13" s="6417"/>
      <c r="I13" s="6417"/>
      <c r="J13" s="6417"/>
      <c r="K13" s="6417"/>
      <c r="L13" s="6417"/>
      <c r="M13" s="6417"/>
      <c r="N13" s="6417"/>
      <c r="O13" s="6417"/>
      <c r="P13" s="6417"/>
      <c r="Q13" s="6417"/>
      <c r="R13" s="6417"/>
      <c r="S13" s="6417"/>
      <c r="T13" s="6417"/>
      <c r="U13" s="6417"/>
      <c r="V13" s="6417"/>
      <c r="W13" s="6417"/>
      <c r="X13" s="6417"/>
      <c r="Y13" s="6417"/>
      <c r="Z13" s="6417"/>
      <c r="AA13" s="6417"/>
      <c r="AB13" s="6417"/>
      <c r="AC13" s="6417"/>
      <c r="AD13" s="6417"/>
      <c r="AE13" s="6417"/>
      <c r="AF13" s="6417"/>
      <c r="AG13" s="1528"/>
    </row>
    <row r="14" spans="1:35" ht="12.75" customHeight="1">
      <c r="A14" s="1706"/>
      <c r="B14" s="6418"/>
      <c r="C14" s="6418"/>
      <c r="D14" s="6418"/>
      <c r="E14" s="6418"/>
      <c r="F14" s="6418"/>
      <c r="G14" s="6418"/>
      <c r="H14" s="6418"/>
      <c r="I14" s="6418"/>
      <c r="J14" s="6418"/>
      <c r="K14" s="6418"/>
      <c r="L14" s="6418"/>
      <c r="M14" s="6418"/>
      <c r="N14" s="6418"/>
      <c r="O14" s="6418"/>
      <c r="P14" s="6418"/>
      <c r="Q14" s="6418"/>
      <c r="R14" s="6418"/>
      <c r="S14" s="6418"/>
      <c r="T14" s="6418"/>
      <c r="U14" s="6418"/>
      <c r="V14" s="6418"/>
      <c r="W14" s="6418"/>
      <c r="X14" s="6418"/>
      <c r="Y14" s="6418"/>
      <c r="Z14" s="6418"/>
      <c r="AA14" s="6418"/>
      <c r="AB14" s="6418"/>
      <c r="AC14" s="6418"/>
      <c r="AD14" s="6418"/>
      <c r="AE14" s="6418"/>
      <c r="AF14" s="6418"/>
      <c r="AG14" s="1528"/>
    </row>
    <row r="15" spans="1:35" ht="3.75" customHeight="1">
      <c r="A15" s="1706"/>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1528"/>
    </row>
    <row r="16" spans="1:35" ht="15">
      <c r="A16" s="1706"/>
      <c r="B16" s="6341" t="s">
        <v>92</v>
      </c>
      <c r="C16" s="4675"/>
      <c r="D16" s="35"/>
      <c r="E16" s="1642" t="s">
        <v>1434</v>
      </c>
      <c r="F16" s="35"/>
      <c r="G16" s="35"/>
      <c r="H16" s="35"/>
      <c r="I16" s="35"/>
      <c r="J16" s="35"/>
      <c r="K16" s="35"/>
      <c r="L16" s="35"/>
      <c r="M16" s="35"/>
      <c r="N16" s="35"/>
      <c r="O16" s="35"/>
      <c r="P16" s="35"/>
      <c r="Q16" s="35"/>
      <c r="R16" s="35"/>
      <c r="S16" s="35"/>
      <c r="T16" s="580" t="s">
        <v>2054</v>
      </c>
      <c r="U16" s="35"/>
      <c r="V16" s="35"/>
      <c r="W16" s="35"/>
      <c r="X16" s="1464" t="s">
        <v>1435</v>
      </c>
      <c r="Y16" s="35"/>
      <c r="Z16" s="35"/>
      <c r="AA16" s="35"/>
      <c r="AB16" s="35"/>
      <c r="AC16" s="35"/>
      <c r="AD16" s="35"/>
      <c r="AE16" s="35"/>
      <c r="AF16" s="35"/>
      <c r="AG16" s="2631" t="b">
        <f>IF(SUM(AG35:AG54)&gt;0,TRUE,FALSE)</f>
        <v>0</v>
      </c>
    </row>
    <row r="17" spans="1:55" ht="11.25" customHeight="1">
      <c r="A17" s="1706"/>
      <c r="B17" s="44"/>
      <c r="C17" s="44"/>
      <c r="D17" s="44"/>
      <c r="E17" s="44" t="s">
        <v>1433</v>
      </c>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1528"/>
    </row>
    <row r="18" spans="1:55" ht="11.25" customHeight="1">
      <c r="A18" s="1706"/>
      <c r="B18" s="35"/>
      <c r="C18" s="35"/>
      <c r="D18" s="35"/>
      <c r="E18" s="2809" t="s">
        <v>1718</v>
      </c>
      <c r="F18" s="35"/>
      <c r="G18" s="35"/>
      <c r="H18" s="35"/>
      <c r="I18" s="35"/>
      <c r="J18" s="35"/>
      <c r="K18" s="35"/>
      <c r="L18" s="35"/>
      <c r="M18" s="35"/>
      <c r="N18" s="35"/>
      <c r="O18" s="35"/>
      <c r="P18" s="35"/>
      <c r="Q18" s="35"/>
      <c r="R18" s="35"/>
      <c r="S18" s="35"/>
      <c r="T18" s="580"/>
      <c r="U18" s="35"/>
      <c r="V18" s="35"/>
      <c r="W18" s="35"/>
      <c r="X18" s="1464"/>
      <c r="Y18" s="35"/>
      <c r="Z18" s="35"/>
      <c r="AA18" s="35"/>
      <c r="AB18" s="35"/>
      <c r="AC18" s="35"/>
      <c r="AD18" s="35"/>
      <c r="AE18" s="35"/>
      <c r="AF18" s="35"/>
      <c r="AG18" s="1706"/>
      <c r="AH18" s="2804"/>
      <c r="AI18" s="2804"/>
    </row>
    <row r="19" spans="1:55" ht="11.25" customHeight="1">
      <c r="A19" s="1706"/>
      <c r="B19" s="35"/>
      <c r="C19" s="35"/>
      <c r="D19" s="35"/>
      <c r="E19" s="44" t="s">
        <v>1716</v>
      </c>
      <c r="F19" s="35"/>
      <c r="G19" s="35"/>
      <c r="H19" s="35"/>
      <c r="I19" s="35"/>
      <c r="J19" s="35"/>
      <c r="K19" s="35"/>
      <c r="L19" s="35"/>
      <c r="M19" s="35"/>
      <c r="N19" s="35"/>
      <c r="O19" s="35"/>
      <c r="P19" s="35"/>
      <c r="Q19" s="35"/>
      <c r="R19" s="35"/>
      <c r="S19" s="35"/>
      <c r="T19" s="580"/>
      <c r="U19" s="35"/>
      <c r="V19" s="35"/>
      <c r="W19" s="35"/>
      <c r="X19" s="1464"/>
      <c r="Y19" s="35"/>
      <c r="Z19" s="35"/>
      <c r="AA19" s="35"/>
      <c r="AB19" s="35"/>
      <c r="AC19" s="35"/>
      <c r="AD19" s="35"/>
      <c r="AE19" s="35"/>
      <c r="AF19" s="35"/>
      <c r="AG19" s="1706"/>
      <c r="AH19" s="2804"/>
      <c r="AI19" s="2804"/>
    </row>
    <row r="20" spans="1:55" ht="11.25" customHeight="1">
      <c r="A20" s="1706"/>
      <c r="B20" s="63"/>
      <c r="C20" s="63"/>
      <c r="D20" s="63"/>
      <c r="E20" s="63" t="s">
        <v>1717</v>
      </c>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1706"/>
      <c r="AH20" s="2804"/>
      <c r="AI20" s="2804"/>
    </row>
    <row r="21" spans="1:55">
      <c r="A21" s="1706"/>
      <c r="B21" s="364" t="s">
        <v>1443</v>
      </c>
      <c r="C21" s="360"/>
      <c r="D21" s="360"/>
      <c r="E21" s="360"/>
      <c r="F21" s="360"/>
      <c r="G21" s="360"/>
      <c r="H21" s="360"/>
      <c r="I21" s="360"/>
      <c r="J21" s="360"/>
      <c r="K21" s="364"/>
      <c r="L21" s="364" t="s">
        <v>1442</v>
      </c>
      <c r="M21" s="360"/>
      <c r="N21" s="360"/>
      <c r="O21" s="360"/>
      <c r="P21" s="360"/>
      <c r="Q21" s="360" t="s">
        <v>1441</v>
      </c>
      <c r="R21" s="360"/>
      <c r="S21" s="360"/>
      <c r="T21" s="360"/>
      <c r="U21" s="360"/>
      <c r="V21" s="360"/>
      <c r="W21" s="360"/>
      <c r="X21" s="360"/>
      <c r="Y21" s="360"/>
      <c r="Z21" s="360"/>
      <c r="AA21" s="360"/>
      <c r="AB21" s="360"/>
      <c r="AC21" s="360"/>
      <c r="AD21" s="360"/>
      <c r="AE21" s="360"/>
      <c r="AF21" s="360"/>
      <c r="AG21" s="1528"/>
    </row>
    <row r="22" spans="1:55">
      <c r="A22" s="1706"/>
      <c r="B22" s="1464" t="s">
        <v>1439</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c r="AD22" s="360"/>
      <c r="AE22" s="360"/>
      <c r="AF22" s="360"/>
      <c r="AG22" s="1528"/>
      <c r="BA22" s="6419" t="s">
        <v>1573</v>
      </c>
      <c r="BB22" s="5423"/>
      <c r="BC22" s="6420"/>
    </row>
    <row r="23" spans="1:55">
      <c r="A23" s="1706"/>
      <c r="B23" s="1464" t="s">
        <v>1440</v>
      </c>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1528"/>
      <c r="BA23" s="6421" t="s">
        <v>1572</v>
      </c>
      <c r="BB23" s="6421" t="s">
        <v>1562</v>
      </c>
      <c r="BC23" s="6421" t="s">
        <v>1563</v>
      </c>
    </row>
    <row r="24" spans="1:55" ht="4.5" customHeight="1" thickBot="1">
      <c r="A24" s="1706"/>
      <c r="B24" s="360"/>
      <c r="C24" s="360"/>
      <c r="D24" s="360"/>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1528"/>
      <c r="BA24" s="6422"/>
      <c r="BB24" s="6422"/>
      <c r="BC24" s="6422"/>
    </row>
    <row r="25" spans="1:55" ht="12" customHeight="1" thickBot="1">
      <c r="A25" s="1706"/>
      <c r="B25" s="2574">
        <f>IF(C25&lt;&gt;"",1,0)</f>
        <v>0</v>
      </c>
      <c r="C25" s="2573"/>
      <c r="D25" s="688" t="s">
        <v>1722</v>
      </c>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1528"/>
      <c r="AJ25" s="6423"/>
      <c r="AK25" s="6424"/>
      <c r="AL25" s="6424"/>
      <c r="AM25" s="6424"/>
      <c r="AN25" s="6424"/>
      <c r="AO25" s="6424"/>
      <c r="AP25" s="6424"/>
      <c r="AQ25" s="6424"/>
      <c r="BA25" s="6422"/>
      <c r="BB25" s="6422"/>
      <c r="BC25" s="6422"/>
    </row>
    <row r="26" spans="1:55" ht="4.5" customHeight="1" thickBot="1">
      <c r="A26" s="1706"/>
      <c r="B26" s="2574"/>
      <c r="C26" s="360"/>
      <c r="D26" s="360"/>
      <c r="E26" s="360"/>
      <c r="F26" s="360"/>
      <c r="G26" s="360"/>
      <c r="H26" s="360"/>
      <c r="I26" s="360"/>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1528"/>
      <c r="BA26" s="6422"/>
      <c r="BB26" s="6422"/>
      <c r="BC26" s="6422"/>
    </row>
    <row r="27" spans="1:55" ht="11.25" customHeight="1" thickBot="1">
      <c r="A27" s="1706"/>
      <c r="B27" s="2574">
        <f>IF(C27&lt;&gt;"",1,0)</f>
        <v>0</v>
      </c>
      <c r="C27" s="2573"/>
      <c r="D27" s="688" t="s">
        <v>3215</v>
      </c>
      <c r="E27" s="360"/>
      <c r="F27" s="360"/>
      <c r="G27" s="360"/>
      <c r="H27" s="360"/>
      <c r="I27" s="360"/>
      <c r="J27" s="360"/>
      <c r="K27" s="360"/>
      <c r="L27" s="360"/>
      <c r="M27" s="360"/>
      <c r="N27" s="360"/>
      <c r="O27" s="360"/>
      <c r="P27" s="360"/>
      <c r="Q27" s="360"/>
      <c r="R27" s="360"/>
      <c r="S27" s="360"/>
      <c r="T27" s="360"/>
      <c r="U27" s="360"/>
      <c r="V27" s="360"/>
      <c r="W27" s="360"/>
      <c r="X27" s="360"/>
      <c r="Y27" s="360"/>
      <c r="Z27" s="360"/>
      <c r="AA27" s="360"/>
      <c r="AB27" s="360"/>
      <c r="AC27" s="360"/>
      <c r="AD27" s="360"/>
      <c r="AE27" s="360"/>
      <c r="AF27" s="360"/>
      <c r="AG27" s="1528"/>
      <c r="AJ27" s="6423"/>
      <c r="AK27" s="6424"/>
      <c r="AL27" s="6424"/>
      <c r="AM27" s="6424"/>
      <c r="AN27" s="6424"/>
      <c r="AO27" s="6424"/>
      <c r="AP27" s="6424"/>
      <c r="AQ27" s="6424"/>
      <c r="BA27" s="6422"/>
      <c r="BB27" s="6422"/>
      <c r="BC27" s="6422"/>
    </row>
    <row r="28" spans="1:55" ht="4.5" customHeight="1" thickBot="1">
      <c r="A28" s="1706"/>
      <c r="B28" s="2574"/>
      <c r="C28" s="360"/>
      <c r="D28" s="360"/>
      <c r="E28" s="360"/>
      <c r="F28" s="360"/>
      <c r="G28" s="360"/>
      <c r="H28" s="360"/>
      <c r="I28" s="360"/>
      <c r="J28" s="360"/>
      <c r="K28" s="360"/>
      <c r="L28" s="360"/>
      <c r="M28" s="360"/>
      <c r="N28" s="360"/>
      <c r="O28" s="360"/>
      <c r="P28" s="360"/>
      <c r="Q28" s="360"/>
      <c r="R28" s="6407"/>
      <c r="S28" s="6408"/>
      <c r="T28" s="6408"/>
      <c r="U28" s="6408"/>
      <c r="V28" s="6408"/>
      <c r="W28" s="6408"/>
      <c r="X28" s="6408"/>
      <c r="Y28" s="6408"/>
      <c r="Z28" s="6408"/>
      <c r="AA28" s="6408"/>
      <c r="AB28" s="6408"/>
      <c r="AC28" s="6408"/>
      <c r="AD28" s="6408"/>
      <c r="AE28" s="6408"/>
      <c r="AF28" s="360"/>
      <c r="AG28" s="1528"/>
      <c r="BA28" s="6422"/>
      <c r="BB28" s="6422"/>
      <c r="BC28" s="6422"/>
    </row>
    <row r="29" spans="1:55" ht="12" customHeight="1" thickBot="1">
      <c r="A29" s="1706">
        <f>SUM(B25:B29)</f>
        <v>0</v>
      </c>
      <c r="B29" s="2574">
        <f>IF(C29&lt;&gt;"",1,0)</f>
        <v>0</v>
      </c>
      <c r="C29" s="2573"/>
      <c r="D29" s="688" t="s">
        <v>1444</v>
      </c>
      <c r="E29" s="360"/>
      <c r="F29" s="360"/>
      <c r="G29" s="360"/>
      <c r="H29" s="360"/>
      <c r="I29" s="360"/>
      <c r="J29" s="360"/>
      <c r="K29" s="360"/>
      <c r="L29" s="360"/>
      <c r="M29" s="360"/>
      <c r="N29" s="360"/>
      <c r="O29" s="360"/>
      <c r="P29" s="360"/>
      <c r="Q29" s="360"/>
      <c r="R29" s="6407" t="str">
        <f>IF(SpaceUsed_8949B_ST,"ERROR: DO NOT use the space bar to uncheck a box. Use the 'Delete' key.",IF(A29&gt;1,"Check only ONE box.",IF($A$31&gt;0,"",IF(A29&lt;1,"Check ONE box.",""))))</f>
        <v>Check ONE box.</v>
      </c>
      <c r="S29" s="6408"/>
      <c r="T29" s="6408"/>
      <c r="U29" s="6408"/>
      <c r="V29" s="6408"/>
      <c r="W29" s="6408"/>
      <c r="X29" s="6408"/>
      <c r="Y29" s="6408"/>
      <c r="Z29" s="6408"/>
      <c r="AA29" s="6408"/>
      <c r="AB29" s="6408"/>
      <c r="AC29" s="6408"/>
      <c r="AD29" s="6408"/>
      <c r="AE29" s="6408"/>
      <c r="AF29" s="360"/>
      <c r="AG29" s="1528"/>
      <c r="AH29" s="2901" t="b">
        <f>IF(OR(F8949BSBOXA=CHAR(32),F8949BSBOXB=CHAR(32),F8949BSBOXC=CHAR(32)),TRUE,FALSE)</f>
        <v>0</v>
      </c>
      <c r="AJ29" s="6423" t="s">
        <v>1400</v>
      </c>
      <c r="AK29" s="6424"/>
      <c r="AL29" s="6424"/>
      <c r="AM29" s="6424"/>
      <c r="AN29" s="6424"/>
      <c r="AO29" s="6424"/>
      <c r="AP29" s="6424"/>
      <c r="AQ29" s="6424"/>
      <c r="BA29" s="6422"/>
      <c r="BB29" s="6422"/>
      <c r="BC29" s="6422"/>
    </row>
    <row r="30" spans="1:55" ht="3.75" customHeight="1">
      <c r="A30" s="1706"/>
      <c r="B30" s="361"/>
      <c r="C30" s="1647"/>
      <c r="D30" s="361"/>
      <c r="E30" s="361"/>
      <c r="F30" s="361"/>
      <c r="G30" s="361"/>
      <c r="H30" s="361"/>
      <c r="I30" s="361"/>
      <c r="J30" s="361"/>
      <c r="K30" s="361"/>
      <c r="L30" s="361"/>
      <c r="M30" s="361"/>
      <c r="N30" s="1647"/>
      <c r="O30" s="361"/>
      <c r="P30" s="361"/>
      <c r="Q30" s="361"/>
      <c r="R30" s="361"/>
      <c r="S30" s="361"/>
      <c r="T30" s="361"/>
      <c r="U30" s="361"/>
      <c r="V30" s="361"/>
      <c r="W30" s="361"/>
      <c r="X30" s="361"/>
      <c r="Y30" s="1647"/>
      <c r="Z30" s="361"/>
      <c r="AA30" s="361"/>
      <c r="AB30" s="361"/>
      <c r="AC30" s="361"/>
      <c r="AD30" s="361"/>
      <c r="AE30" s="361"/>
      <c r="AF30" s="361"/>
      <c r="AG30" s="1528"/>
      <c r="BA30" s="6422"/>
      <c r="BB30" s="6422"/>
      <c r="BC30" s="6422"/>
    </row>
    <row r="31" spans="1:55" ht="21" customHeight="1">
      <c r="A31" s="1706">
        <f>A29</f>
        <v>0</v>
      </c>
      <c r="B31" s="6319">
        <v>1</v>
      </c>
      <c r="C31" s="6322" t="s">
        <v>1106</v>
      </c>
      <c r="D31" s="6323"/>
      <c r="E31" s="6323"/>
      <c r="F31" s="6323"/>
      <c r="G31" s="6323"/>
      <c r="H31" s="6323"/>
      <c r="I31" s="6324"/>
      <c r="J31" s="6331" t="s">
        <v>1449</v>
      </c>
      <c r="K31" s="6332"/>
      <c r="L31" s="6333"/>
      <c r="M31" s="6331" t="s">
        <v>1450</v>
      </c>
      <c r="N31" s="6332"/>
      <c r="O31" s="6332"/>
      <c r="P31" s="6333"/>
      <c r="Q31" s="6331" t="s">
        <v>1451</v>
      </c>
      <c r="R31" s="6332"/>
      <c r="S31" s="6332"/>
      <c r="T31" s="6333"/>
      <c r="U31" s="6357" t="s">
        <v>1456</v>
      </c>
      <c r="V31" s="5273"/>
      <c r="W31" s="5273"/>
      <c r="X31" s="6312"/>
      <c r="Y31" s="6379" t="s">
        <v>1452</v>
      </c>
      <c r="Z31" s="6380"/>
      <c r="AA31" s="6380"/>
      <c r="AB31" s="6381"/>
      <c r="AC31" s="6357" t="s">
        <v>1455</v>
      </c>
      <c r="AD31" s="5273"/>
      <c r="AE31" s="5273"/>
      <c r="AF31" s="5273"/>
      <c r="AG31" s="1528"/>
      <c r="AJ31" s="6409" t="s">
        <v>1399</v>
      </c>
      <c r="AK31" s="6409" t="s">
        <v>1459</v>
      </c>
      <c r="AL31" s="6409" t="s">
        <v>1460</v>
      </c>
      <c r="AM31" s="6409" t="s">
        <v>1461</v>
      </c>
      <c r="AN31" s="6411" t="s">
        <v>1462</v>
      </c>
      <c r="AO31" s="6379" t="s">
        <v>1452</v>
      </c>
      <c r="AP31" s="5285"/>
      <c r="AQ31" s="6409" t="s">
        <v>1545</v>
      </c>
      <c r="BA31" s="6422"/>
      <c r="BB31" s="6422"/>
      <c r="BC31" s="6422"/>
    </row>
    <row r="32" spans="1:55" ht="21" customHeight="1">
      <c r="A32" s="1706"/>
      <c r="B32" s="4708"/>
      <c r="C32" s="6325"/>
      <c r="D32" s="6326"/>
      <c r="E32" s="6326"/>
      <c r="F32" s="6326"/>
      <c r="G32" s="6326"/>
      <c r="H32" s="6326"/>
      <c r="I32" s="6327"/>
      <c r="J32" s="6334"/>
      <c r="K32" s="6335"/>
      <c r="L32" s="6336"/>
      <c r="M32" s="6334"/>
      <c r="N32" s="6335"/>
      <c r="O32" s="6335"/>
      <c r="P32" s="6336"/>
      <c r="Q32" s="6334"/>
      <c r="R32" s="6335"/>
      <c r="S32" s="6335"/>
      <c r="T32" s="6336"/>
      <c r="U32" s="6358"/>
      <c r="V32" s="6359"/>
      <c r="W32" s="6359"/>
      <c r="X32" s="6360"/>
      <c r="Y32" s="6382"/>
      <c r="Z32" s="6383"/>
      <c r="AA32" s="6383"/>
      <c r="AB32" s="6384"/>
      <c r="AC32" s="6358"/>
      <c r="AD32" s="6359"/>
      <c r="AE32" s="6359"/>
      <c r="AF32" s="6359"/>
      <c r="AG32" s="1528"/>
      <c r="AJ32" s="6409"/>
      <c r="AK32" s="6409"/>
      <c r="AL32" s="6409"/>
      <c r="AM32" s="6409"/>
      <c r="AN32" s="6411"/>
      <c r="AO32" s="5430"/>
      <c r="AP32" s="5291"/>
      <c r="AQ32" s="6409"/>
      <c r="BA32" s="6422"/>
      <c r="BB32" s="6422"/>
      <c r="BC32" s="6422"/>
    </row>
    <row r="33" spans="1:55" ht="18" customHeight="1">
      <c r="A33" s="1706"/>
      <c r="B33" s="6320"/>
      <c r="C33" s="6328"/>
      <c r="D33" s="6328"/>
      <c r="E33" s="6328"/>
      <c r="F33" s="6328"/>
      <c r="G33" s="6328"/>
      <c r="H33" s="6328"/>
      <c r="I33" s="6327"/>
      <c r="J33" s="6337"/>
      <c r="K33" s="6335"/>
      <c r="L33" s="6336"/>
      <c r="M33" s="6337"/>
      <c r="N33" s="6335"/>
      <c r="O33" s="6335"/>
      <c r="P33" s="6336"/>
      <c r="Q33" s="6337"/>
      <c r="R33" s="6335"/>
      <c r="S33" s="6335"/>
      <c r="T33" s="6336"/>
      <c r="U33" s="5274"/>
      <c r="V33" s="6359"/>
      <c r="W33" s="6359"/>
      <c r="X33" s="6360"/>
      <c r="Y33" s="6311" t="s">
        <v>1453</v>
      </c>
      <c r="Z33" s="6312"/>
      <c r="AA33" s="6314" t="s">
        <v>1454</v>
      </c>
      <c r="AB33" s="6315"/>
      <c r="AC33" s="5274"/>
      <c r="AD33" s="6359"/>
      <c r="AE33" s="6359"/>
      <c r="AF33" s="6359"/>
      <c r="AG33" s="1528"/>
      <c r="AJ33" s="6410"/>
      <c r="AK33" s="6410"/>
      <c r="AL33" s="6410"/>
      <c r="AM33" s="6410"/>
      <c r="AN33" s="6412"/>
      <c r="AO33" s="6414" t="s">
        <v>1463</v>
      </c>
      <c r="AP33" s="6413" t="s">
        <v>1454</v>
      </c>
      <c r="AQ33" s="6410"/>
      <c r="BA33" s="6422"/>
      <c r="BB33" s="6422"/>
      <c r="BC33" s="6422"/>
    </row>
    <row r="34" spans="1:55" ht="18" customHeight="1">
      <c r="A34" s="1706"/>
      <c r="B34" s="6321"/>
      <c r="C34" s="6329"/>
      <c r="D34" s="6329"/>
      <c r="E34" s="6329"/>
      <c r="F34" s="6329"/>
      <c r="G34" s="6329"/>
      <c r="H34" s="6329"/>
      <c r="I34" s="6330"/>
      <c r="J34" s="6338"/>
      <c r="K34" s="6339"/>
      <c r="L34" s="6340"/>
      <c r="M34" s="6338"/>
      <c r="N34" s="6339"/>
      <c r="O34" s="6339"/>
      <c r="P34" s="6340"/>
      <c r="Q34" s="6338"/>
      <c r="R34" s="6339"/>
      <c r="S34" s="6339"/>
      <c r="T34" s="6340"/>
      <c r="U34" s="5276"/>
      <c r="V34" s="5277"/>
      <c r="W34" s="5277"/>
      <c r="X34" s="6313"/>
      <c r="Y34" s="5276"/>
      <c r="Z34" s="6313"/>
      <c r="AA34" s="5411"/>
      <c r="AB34" s="5342"/>
      <c r="AC34" s="5276"/>
      <c r="AD34" s="5277"/>
      <c r="AE34" s="5277"/>
      <c r="AF34" s="5277"/>
      <c r="AG34" s="1528"/>
      <c r="AJ34" s="6410"/>
      <c r="AK34" s="6410"/>
      <c r="AL34" s="6410"/>
      <c r="AM34" s="6410"/>
      <c r="AN34" s="6412"/>
      <c r="AO34" s="5244"/>
      <c r="AP34" s="5244"/>
      <c r="AQ34" s="6410"/>
      <c r="BA34" s="6422"/>
      <c r="BB34" s="6422"/>
      <c r="BC34" s="6422"/>
    </row>
    <row r="35" spans="1:55" s="2459" customFormat="1" ht="19.5" customHeight="1">
      <c r="A35" s="1706">
        <f t="shared" ref="A35:A54" si="0">IF(OR(U35&lt;&gt;"",Y35&lt;&gt;""),1,0)</f>
        <v>0</v>
      </c>
      <c r="B35" s="6301" t="str">
        <f t="shared" ref="B35:B54" si="1">IF(AJ35="","",AJ35)</f>
        <v/>
      </c>
      <c r="C35" s="6302"/>
      <c r="D35" s="6302"/>
      <c r="E35" s="6302"/>
      <c r="F35" s="6302"/>
      <c r="G35" s="6302"/>
      <c r="H35" s="6302"/>
      <c r="I35" s="6303"/>
      <c r="J35" s="6304" t="str">
        <f t="shared" ref="J35:J54" si="2">IF(AK35="","",AK35)</f>
        <v/>
      </c>
      <c r="K35" s="6305"/>
      <c r="L35" s="6305"/>
      <c r="M35" s="6304" t="str">
        <f t="shared" ref="M35:M54" si="3">IF(AL35="","",AL35)</f>
        <v/>
      </c>
      <c r="N35" s="6305"/>
      <c r="O35" s="6305"/>
      <c r="P35" s="6306"/>
      <c r="Q35" s="4641" t="str">
        <f t="shared" ref="Q35:Q54" si="4">IF(AM35="","",AM35)</f>
        <v/>
      </c>
      <c r="R35" s="6307"/>
      <c r="S35" s="6307"/>
      <c r="T35" s="6308"/>
      <c r="U35" s="4641" t="str">
        <f t="shared" ref="U35:U54" si="5">IF(AN35="","",AN35)</f>
        <v/>
      </c>
      <c r="V35" s="6307"/>
      <c r="W35" s="6307"/>
      <c r="X35" s="6308"/>
      <c r="Y35" s="6300" t="str">
        <f>IF(AO35&lt;&gt;"",AO35,"")</f>
        <v/>
      </c>
      <c r="Z35" s="4756"/>
      <c r="AA35" s="6300" t="str">
        <f>IF(AP35="","",AP35)</f>
        <v/>
      </c>
      <c r="AB35" s="4756"/>
      <c r="AC35" s="6309" t="str">
        <f>IF(AQ35&lt;&gt;"",AQ35,IF(AND(Q35&lt;&gt;"",U35&lt;&gt;""),SUM(Q35,-U35,AA35),""))</f>
        <v/>
      </c>
      <c r="AD35" s="6310"/>
      <c r="AE35" s="6310"/>
      <c r="AF35" s="6310"/>
      <c r="AG35" s="2631">
        <f>IF(OR(J35="",M35=""),0,IF(OR(BA35,BB35,BC35),0,1))</f>
        <v>0</v>
      </c>
      <c r="AH35" s="1644"/>
      <c r="AI35" s="1644" t="e">
        <f t="shared" ref="AI35:AI54" si="6">M35-J35</f>
        <v>#VALUE!</v>
      </c>
      <c r="AJ35" s="2467"/>
      <c r="AK35" s="2471"/>
      <c r="AL35" s="2471"/>
      <c r="AM35" s="2469"/>
      <c r="AN35" s="2469"/>
      <c r="AO35" s="2470"/>
      <c r="AP35" s="2469"/>
      <c r="AQ35" s="2468"/>
      <c r="AS35" s="2459" t="e">
        <f>YEAR(J35)</f>
        <v>#VALUE!</v>
      </c>
      <c r="AT35" s="2459" t="e">
        <f>MONTH(J35)</f>
        <v>#VALUE!</v>
      </c>
      <c r="AU35" s="2459" t="e">
        <f>DAY(J35)</f>
        <v>#VALUE!</v>
      </c>
      <c r="AW35" s="2459" t="e">
        <f>YEAR(M35)</f>
        <v>#VALUE!</v>
      </c>
      <c r="AX35" s="2459" t="e">
        <f>MONTH(M35)</f>
        <v>#VALUE!</v>
      </c>
      <c r="AY35" s="2459" t="e">
        <f>DAY(M35)</f>
        <v>#VALUE!</v>
      </c>
      <c r="BA35" s="2459" t="e">
        <f>IF(AW35=AS35,TRUE,FALSE)</f>
        <v>#VALUE!</v>
      </c>
      <c r="BB35" s="2459" t="e">
        <f>IF(AND(AW35=AS35+1,AX35&lt;AT35),TRUE,FALSE)</f>
        <v>#VALUE!</v>
      </c>
      <c r="BC35" s="2459" t="e">
        <f>IF(AND(AW35=AS35+1,AX35=AT35,AY35&lt;=AU35),TRUE,FALSE)</f>
        <v>#VALUE!</v>
      </c>
    </row>
    <row r="36" spans="1:55" s="2459" customFormat="1" ht="19.5" customHeight="1">
      <c r="A36" s="1706">
        <f t="shared" si="0"/>
        <v>0</v>
      </c>
      <c r="B36" s="6301" t="str">
        <f t="shared" si="1"/>
        <v/>
      </c>
      <c r="C36" s="6302"/>
      <c r="D36" s="6302"/>
      <c r="E36" s="6302"/>
      <c r="F36" s="6302"/>
      <c r="G36" s="6302"/>
      <c r="H36" s="6302"/>
      <c r="I36" s="6303"/>
      <c r="J36" s="6304" t="str">
        <f t="shared" si="2"/>
        <v/>
      </c>
      <c r="K36" s="6305"/>
      <c r="L36" s="6305"/>
      <c r="M36" s="6304" t="str">
        <f t="shared" si="3"/>
        <v/>
      </c>
      <c r="N36" s="6305"/>
      <c r="O36" s="6305"/>
      <c r="P36" s="6306"/>
      <c r="Q36" s="4641" t="str">
        <f t="shared" si="4"/>
        <v/>
      </c>
      <c r="R36" s="6307"/>
      <c r="S36" s="6307"/>
      <c r="T36" s="6308"/>
      <c r="U36" s="4641" t="str">
        <f t="shared" si="5"/>
        <v/>
      </c>
      <c r="V36" s="6307"/>
      <c r="W36" s="6307"/>
      <c r="X36" s="6308"/>
      <c r="Y36" s="6300" t="str">
        <f>IF(AO36&lt;&gt;"",AO36,"")</f>
        <v/>
      </c>
      <c r="Z36" s="4756"/>
      <c r="AA36" s="6300" t="str">
        <f>IF(AP36="","",AP36)</f>
        <v/>
      </c>
      <c r="AB36" s="4756"/>
      <c r="AC36" s="6309" t="str">
        <f t="shared" ref="AC36:AC54" si="7">IF(AQ36&lt;&gt;"",AQ36,IF(AND(Q36&lt;&gt;"",U36&lt;&gt;""),SUM(Q36,-U36,AA36),""))</f>
        <v/>
      </c>
      <c r="AD36" s="6310"/>
      <c r="AE36" s="6310"/>
      <c r="AF36" s="6310"/>
      <c r="AG36" s="2631">
        <f t="shared" ref="AG36:AG54" si="8">IF(OR(J36="",M36=""),0,IF(OR(BA36,BB36,BC36),0,1))</f>
        <v>0</v>
      </c>
      <c r="AH36" s="1644"/>
      <c r="AI36" s="1644" t="e">
        <f t="shared" si="6"/>
        <v>#VALUE!</v>
      </c>
      <c r="AJ36" s="2467"/>
      <c r="AK36" s="2471"/>
      <c r="AL36" s="2471"/>
      <c r="AM36" s="2469"/>
      <c r="AN36" s="2469"/>
      <c r="AO36" s="2470"/>
      <c r="AP36" s="2469"/>
      <c r="AQ36" s="2468"/>
      <c r="AS36" s="2620" t="e">
        <f t="shared" ref="AS36:AS54" si="9">YEAR(J36)</f>
        <v>#VALUE!</v>
      </c>
      <c r="AT36" s="2620" t="e">
        <f t="shared" ref="AT36:AT54" si="10">MONTH(J36)</f>
        <v>#VALUE!</v>
      </c>
      <c r="AU36" s="2620" t="e">
        <f t="shared" ref="AU36:AU54" si="11">DAY(J36)</f>
        <v>#VALUE!</v>
      </c>
      <c r="AV36" s="2620"/>
      <c r="AW36" s="2620" t="e">
        <f t="shared" ref="AW36:AW54" si="12">YEAR(M36)</f>
        <v>#VALUE!</v>
      </c>
      <c r="AX36" s="2620" t="e">
        <f t="shared" ref="AX36:AX54" si="13">MONTH(M36)</f>
        <v>#VALUE!</v>
      </c>
      <c r="AY36" s="2620" t="e">
        <f t="shared" ref="AY36:AY54" si="14">DAY(M36)</f>
        <v>#VALUE!</v>
      </c>
      <c r="AZ36" s="2620"/>
      <c r="BA36" s="2620" t="e">
        <f t="shared" ref="BA36:BA54" si="15">IF(AW36=AS36,TRUE,FALSE)</f>
        <v>#VALUE!</v>
      </c>
      <c r="BB36" s="2620" t="e">
        <f t="shared" ref="BB36:BB54" si="16">IF(AND(AW36=AS36+1,AX36&lt;AT36),TRUE,FALSE)</f>
        <v>#VALUE!</v>
      </c>
      <c r="BC36" s="2620" t="e">
        <f t="shared" ref="BC36:BC54" si="17">IF(AND(AW36=AS36+1,AX36=AT36,AY36&lt;=AU36),TRUE,FALSE)</f>
        <v>#VALUE!</v>
      </c>
    </row>
    <row r="37" spans="1:55" s="2459" customFormat="1" ht="19.5" customHeight="1">
      <c r="A37" s="1706">
        <f t="shared" si="0"/>
        <v>0</v>
      </c>
      <c r="B37" s="6301" t="str">
        <f t="shared" si="1"/>
        <v/>
      </c>
      <c r="C37" s="6302"/>
      <c r="D37" s="6302"/>
      <c r="E37" s="6302"/>
      <c r="F37" s="6302"/>
      <c r="G37" s="6302"/>
      <c r="H37" s="6302"/>
      <c r="I37" s="6303"/>
      <c r="J37" s="6304" t="str">
        <f t="shared" si="2"/>
        <v/>
      </c>
      <c r="K37" s="6305"/>
      <c r="L37" s="6305"/>
      <c r="M37" s="6304" t="str">
        <f t="shared" si="3"/>
        <v/>
      </c>
      <c r="N37" s="6305"/>
      <c r="O37" s="6305"/>
      <c r="P37" s="6306"/>
      <c r="Q37" s="4641" t="str">
        <f t="shared" si="4"/>
        <v/>
      </c>
      <c r="R37" s="6307"/>
      <c r="S37" s="6307"/>
      <c r="T37" s="6308"/>
      <c r="U37" s="4641" t="str">
        <f t="shared" si="5"/>
        <v/>
      </c>
      <c r="V37" s="6307"/>
      <c r="W37" s="6307"/>
      <c r="X37" s="6308"/>
      <c r="Y37" s="6300" t="str">
        <f>IF(AO37&lt;&gt;"",AO37,"")</f>
        <v/>
      </c>
      <c r="Z37" s="4756"/>
      <c r="AA37" s="6300" t="str">
        <f>IF(AP37="","",AP37)</f>
        <v/>
      </c>
      <c r="AB37" s="4756"/>
      <c r="AC37" s="6309" t="str">
        <f t="shared" si="7"/>
        <v/>
      </c>
      <c r="AD37" s="6310"/>
      <c r="AE37" s="6310"/>
      <c r="AF37" s="6310"/>
      <c r="AG37" s="2631">
        <f t="shared" si="8"/>
        <v>0</v>
      </c>
      <c r="AH37" s="1644"/>
      <c r="AI37" s="1644" t="e">
        <f t="shared" si="6"/>
        <v>#VALUE!</v>
      </c>
      <c r="AJ37" s="2467"/>
      <c r="AK37" s="2471"/>
      <c r="AL37" s="2471"/>
      <c r="AM37" s="2469"/>
      <c r="AN37" s="2469"/>
      <c r="AO37" s="2470"/>
      <c r="AP37" s="2469"/>
      <c r="AQ37" s="2468"/>
      <c r="AS37" s="2620" t="e">
        <f t="shared" si="9"/>
        <v>#VALUE!</v>
      </c>
      <c r="AT37" s="2620" t="e">
        <f t="shared" si="10"/>
        <v>#VALUE!</v>
      </c>
      <c r="AU37" s="2620" t="e">
        <f t="shared" si="11"/>
        <v>#VALUE!</v>
      </c>
      <c r="AV37" s="2620"/>
      <c r="AW37" s="2620" t="e">
        <f t="shared" si="12"/>
        <v>#VALUE!</v>
      </c>
      <c r="AX37" s="2620" t="e">
        <f t="shared" si="13"/>
        <v>#VALUE!</v>
      </c>
      <c r="AY37" s="2620" t="e">
        <f t="shared" si="14"/>
        <v>#VALUE!</v>
      </c>
      <c r="AZ37" s="2620"/>
      <c r="BA37" s="2620" t="e">
        <f t="shared" si="15"/>
        <v>#VALUE!</v>
      </c>
      <c r="BB37" s="2620" t="e">
        <f t="shared" si="16"/>
        <v>#VALUE!</v>
      </c>
      <c r="BC37" s="2620" t="e">
        <f t="shared" si="17"/>
        <v>#VALUE!</v>
      </c>
    </row>
    <row r="38" spans="1:55" s="2459" customFormat="1" ht="19.5" customHeight="1">
      <c r="A38" s="1706">
        <f t="shared" si="0"/>
        <v>0</v>
      </c>
      <c r="B38" s="6301" t="str">
        <f t="shared" si="1"/>
        <v/>
      </c>
      <c r="C38" s="6302"/>
      <c r="D38" s="6302"/>
      <c r="E38" s="6302"/>
      <c r="F38" s="6302"/>
      <c r="G38" s="6302"/>
      <c r="H38" s="6302"/>
      <c r="I38" s="6303"/>
      <c r="J38" s="6304" t="str">
        <f t="shared" si="2"/>
        <v/>
      </c>
      <c r="K38" s="6305"/>
      <c r="L38" s="6305"/>
      <c r="M38" s="6304" t="str">
        <f t="shared" si="3"/>
        <v/>
      </c>
      <c r="N38" s="6305"/>
      <c r="O38" s="6305"/>
      <c r="P38" s="6306"/>
      <c r="Q38" s="4641" t="str">
        <f t="shared" si="4"/>
        <v/>
      </c>
      <c r="R38" s="6307"/>
      <c r="S38" s="6307"/>
      <c r="T38" s="6308"/>
      <c r="U38" s="4641" t="str">
        <f t="shared" si="5"/>
        <v/>
      </c>
      <c r="V38" s="6307"/>
      <c r="W38" s="6307"/>
      <c r="X38" s="6308"/>
      <c r="Y38" s="6300" t="str">
        <f t="shared" ref="Y38:Y54" si="18">IF(AO38&lt;&gt;"",AO38,"")</f>
        <v/>
      </c>
      <c r="Z38" s="4756"/>
      <c r="AA38" s="6300" t="str">
        <f t="shared" ref="AA38:AA54" si="19">IF(AP38="","",AP38)</f>
        <v/>
      </c>
      <c r="AB38" s="4756"/>
      <c r="AC38" s="6309" t="str">
        <f t="shared" si="7"/>
        <v/>
      </c>
      <c r="AD38" s="6310"/>
      <c r="AE38" s="6310"/>
      <c r="AF38" s="6310"/>
      <c r="AG38" s="2631">
        <f t="shared" si="8"/>
        <v>0</v>
      </c>
      <c r="AH38" s="1644"/>
      <c r="AI38" s="1644" t="e">
        <f t="shared" si="6"/>
        <v>#VALUE!</v>
      </c>
      <c r="AJ38" s="2467"/>
      <c r="AK38" s="2471"/>
      <c r="AL38" s="2471"/>
      <c r="AM38" s="2469"/>
      <c r="AN38" s="2469"/>
      <c r="AO38" s="2470"/>
      <c r="AP38" s="2469"/>
      <c r="AQ38" s="2468"/>
      <c r="AS38" s="2620" t="e">
        <f t="shared" si="9"/>
        <v>#VALUE!</v>
      </c>
      <c r="AT38" s="2620" t="e">
        <f t="shared" si="10"/>
        <v>#VALUE!</v>
      </c>
      <c r="AU38" s="2620" t="e">
        <f t="shared" si="11"/>
        <v>#VALUE!</v>
      </c>
      <c r="AV38" s="2620"/>
      <c r="AW38" s="2620" t="e">
        <f t="shared" si="12"/>
        <v>#VALUE!</v>
      </c>
      <c r="AX38" s="2620" t="e">
        <f t="shared" si="13"/>
        <v>#VALUE!</v>
      </c>
      <c r="AY38" s="2620" t="e">
        <f t="shared" si="14"/>
        <v>#VALUE!</v>
      </c>
      <c r="AZ38" s="2620"/>
      <c r="BA38" s="2620" t="e">
        <f t="shared" si="15"/>
        <v>#VALUE!</v>
      </c>
      <c r="BB38" s="2620" t="e">
        <f t="shared" si="16"/>
        <v>#VALUE!</v>
      </c>
      <c r="BC38" s="2620" t="e">
        <f t="shared" si="17"/>
        <v>#VALUE!</v>
      </c>
    </row>
    <row r="39" spans="1:55" s="2459" customFormat="1" ht="19.5" customHeight="1">
      <c r="A39" s="1706">
        <f t="shared" si="0"/>
        <v>0</v>
      </c>
      <c r="B39" s="6301" t="str">
        <f t="shared" si="1"/>
        <v/>
      </c>
      <c r="C39" s="6302"/>
      <c r="D39" s="6302"/>
      <c r="E39" s="6302"/>
      <c r="F39" s="6302"/>
      <c r="G39" s="6302"/>
      <c r="H39" s="6302"/>
      <c r="I39" s="6303"/>
      <c r="J39" s="6304" t="str">
        <f t="shared" si="2"/>
        <v/>
      </c>
      <c r="K39" s="6305"/>
      <c r="L39" s="6305"/>
      <c r="M39" s="6304" t="str">
        <f t="shared" si="3"/>
        <v/>
      </c>
      <c r="N39" s="6305"/>
      <c r="O39" s="6305"/>
      <c r="P39" s="6306"/>
      <c r="Q39" s="4641" t="str">
        <f t="shared" si="4"/>
        <v/>
      </c>
      <c r="R39" s="6307"/>
      <c r="S39" s="6307"/>
      <c r="T39" s="6308"/>
      <c r="U39" s="4641" t="str">
        <f t="shared" si="5"/>
        <v/>
      </c>
      <c r="V39" s="6307"/>
      <c r="W39" s="6307"/>
      <c r="X39" s="6308"/>
      <c r="Y39" s="6300" t="str">
        <f t="shared" si="18"/>
        <v/>
      </c>
      <c r="Z39" s="4756"/>
      <c r="AA39" s="6300" t="str">
        <f t="shared" si="19"/>
        <v/>
      </c>
      <c r="AB39" s="4756"/>
      <c r="AC39" s="6309" t="str">
        <f t="shared" si="7"/>
        <v/>
      </c>
      <c r="AD39" s="6310"/>
      <c r="AE39" s="6310"/>
      <c r="AF39" s="6310"/>
      <c r="AG39" s="2631">
        <f t="shared" si="8"/>
        <v>0</v>
      </c>
      <c r="AH39" s="1644"/>
      <c r="AI39" s="1644" t="e">
        <f t="shared" si="6"/>
        <v>#VALUE!</v>
      </c>
      <c r="AJ39" s="2467"/>
      <c r="AK39" s="2471"/>
      <c r="AL39" s="2471"/>
      <c r="AM39" s="2469"/>
      <c r="AN39" s="2469"/>
      <c r="AO39" s="2470"/>
      <c r="AP39" s="2469"/>
      <c r="AQ39" s="2468"/>
      <c r="AS39" s="2620" t="e">
        <f t="shared" si="9"/>
        <v>#VALUE!</v>
      </c>
      <c r="AT39" s="2620" t="e">
        <f t="shared" si="10"/>
        <v>#VALUE!</v>
      </c>
      <c r="AU39" s="2620" t="e">
        <f t="shared" si="11"/>
        <v>#VALUE!</v>
      </c>
      <c r="AV39" s="2620"/>
      <c r="AW39" s="2620" t="e">
        <f t="shared" si="12"/>
        <v>#VALUE!</v>
      </c>
      <c r="AX39" s="2620" t="e">
        <f t="shared" si="13"/>
        <v>#VALUE!</v>
      </c>
      <c r="AY39" s="2620" t="e">
        <f t="shared" si="14"/>
        <v>#VALUE!</v>
      </c>
      <c r="AZ39" s="2620"/>
      <c r="BA39" s="2620" t="e">
        <f t="shared" si="15"/>
        <v>#VALUE!</v>
      </c>
      <c r="BB39" s="2620" t="e">
        <f t="shared" si="16"/>
        <v>#VALUE!</v>
      </c>
      <c r="BC39" s="2620" t="e">
        <f t="shared" si="17"/>
        <v>#VALUE!</v>
      </c>
    </row>
    <row r="40" spans="1:55" s="2459" customFormat="1" ht="19.5" customHeight="1">
      <c r="A40" s="1706">
        <f t="shared" si="0"/>
        <v>0</v>
      </c>
      <c r="B40" s="6301" t="str">
        <f t="shared" si="1"/>
        <v/>
      </c>
      <c r="C40" s="6302"/>
      <c r="D40" s="6302"/>
      <c r="E40" s="6302"/>
      <c r="F40" s="6302"/>
      <c r="G40" s="6302"/>
      <c r="H40" s="6302"/>
      <c r="I40" s="6303"/>
      <c r="J40" s="6304" t="str">
        <f t="shared" si="2"/>
        <v/>
      </c>
      <c r="K40" s="6305"/>
      <c r="L40" s="6305"/>
      <c r="M40" s="6304" t="str">
        <f t="shared" si="3"/>
        <v/>
      </c>
      <c r="N40" s="6305"/>
      <c r="O40" s="6305"/>
      <c r="P40" s="6306"/>
      <c r="Q40" s="4641" t="str">
        <f t="shared" si="4"/>
        <v/>
      </c>
      <c r="R40" s="6307"/>
      <c r="S40" s="6307"/>
      <c r="T40" s="6308"/>
      <c r="U40" s="4641" t="str">
        <f t="shared" si="5"/>
        <v/>
      </c>
      <c r="V40" s="6307"/>
      <c r="W40" s="6307"/>
      <c r="X40" s="6308"/>
      <c r="Y40" s="6300" t="str">
        <f t="shared" si="18"/>
        <v/>
      </c>
      <c r="Z40" s="4756"/>
      <c r="AA40" s="6300" t="str">
        <f t="shared" si="19"/>
        <v/>
      </c>
      <c r="AB40" s="4756"/>
      <c r="AC40" s="6309" t="str">
        <f t="shared" si="7"/>
        <v/>
      </c>
      <c r="AD40" s="6310"/>
      <c r="AE40" s="6310"/>
      <c r="AF40" s="6310"/>
      <c r="AG40" s="2631">
        <f t="shared" si="8"/>
        <v>0</v>
      </c>
      <c r="AH40" s="1644"/>
      <c r="AI40" s="1644" t="e">
        <f t="shared" si="6"/>
        <v>#VALUE!</v>
      </c>
      <c r="AJ40" s="2467"/>
      <c r="AK40" s="2471"/>
      <c r="AL40" s="2471"/>
      <c r="AM40" s="2469"/>
      <c r="AN40" s="2469"/>
      <c r="AO40" s="2470"/>
      <c r="AP40" s="2469"/>
      <c r="AQ40" s="2468"/>
      <c r="AS40" s="2620" t="e">
        <f t="shared" si="9"/>
        <v>#VALUE!</v>
      </c>
      <c r="AT40" s="2620" t="e">
        <f t="shared" si="10"/>
        <v>#VALUE!</v>
      </c>
      <c r="AU40" s="2620" t="e">
        <f t="shared" si="11"/>
        <v>#VALUE!</v>
      </c>
      <c r="AV40" s="2620"/>
      <c r="AW40" s="2620" t="e">
        <f t="shared" si="12"/>
        <v>#VALUE!</v>
      </c>
      <c r="AX40" s="2620" t="e">
        <f t="shared" si="13"/>
        <v>#VALUE!</v>
      </c>
      <c r="AY40" s="2620" t="e">
        <f t="shared" si="14"/>
        <v>#VALUE!</v>
      </c>
      <c r="AZ40" s="2620"/>
      <c r="BA40" s="2620" t="e">
        <f t="shared" si="15"/>
        <v>#VALUE!</v>
      </c>
      <c r="BB40" s="2620" t="e">
        <f t="shared" si="16"/>
        <v>#VALUE!</v>
      </c>
      <c r="BC40" s="2620" t="e">
        <f t="shared" si="17"/>
        <v>#VALUE!</v>
      </c>
    </row>
    <row r="41" spans="1:55" s="2459" customFormat="1" ht="19.5" customHeight="1">
      <c r="A41" s="1706">
        <f t="shared" si="0"/>
        <v>0</v>
      </c>
      <c r="B41" s="6301" t="str">
        <f t="shared" si="1"/>
        <v/>
      </c>
      <c r="C41" s="6302"/>
      <c r="D41" s="6302"/>
      <c r="E41" s="6302"/>
      <c r="F41" s="6302"/>
      <c r="G41" s="6302"/>
      <c r="H41" s="6302"/>
      <c r="I41" s="6303"/>
      <c r="J41" s="6304" t="str">
        <f t="shared" si="2"/>
        <v/>
      </c>
      <c r="K41" s="6305"/>
      <c r="L41" s="6305"/>
      <c r="M41" s="6304" t="str">
        <f t="shared" si="3"/>
        <v/>
      </c>
      <c r="N41" s="6305"/>
      <c r="O41" s="6305"/>
      <c r="P41" s="6306"/>
      <c r="Q41" s="4641" t="str">
        <f t="shared" si="4"/>
        <v/>
      </c>
      <c r="R41" s="6307"/>
      <c r="S41" s="6307"/>
      <c r="T41" s="6308"/>
      <c r="U41" s="4641" t="str">
        <f t="shared" si="5"/>
        <v/>
      </c>
      <c r="V41" s="6307"/>
      <c r="W41" s="6307"/>
      <c r="X41" s="6308"/>
      <c r="Y41" s="6300" t="str">
        <f t="shared" si="18"/>
        <v/>
      </c>
      <c r="Z41" s="4756"/>
      <c r="AA41" s="6300" t="str">
        <f t="shared" si="19"/>
        <v/>
      </c>
      <c r="AB41" s="4756"/>
      <c r="AC41" s="6309" t="str">
        <f t="shared" si="7"/>
        <v/>
      </c>
      <c r="AD41" s="6310"/>
      <c r="AE41" s="6310"/>
      <c r="AF41" s="6310"/>
      <c r="AG41" s="2631">
        <f t="shared" si="8"/>
        <v>0</v>
      </c>
      <c r="AH41" s="1644"/>
      <c r="AI41" s="1644" t="e">
        <f t="shared" si="6"/>
        <v>#VALUE!</v>
      </c>
      <c r="AJ41" s="2467"/>
      <c r="AK41" s="2471"/>
      <c r="AL41" s="2471"/>
      <c r="AM41" s="2469"/>
      <c r="AN41" s="2469"/>
      <c r="AO41" s="2470"/>
      <c r="AP41" s="2469"/>
      <c r="AQ41" s="2468"/>
      <c r="AS41" s="2620" t="e">
        <f t="shared" si="9"/>
        <v>#VALUE!</v>
      </c>
      <c r="AT41" s="2620" t="e">
        <f t="shared" si="10"/>
        <v>#VALUE!</v>
      </c>
      <c r="AU41" s="2620" t="e">
        <f t="shared" si="11"/>
        <v>#VALUE!</v>
      </c>
      <c r="AV41" s="2620"/>
      <c r="AW41" s="2620" t="e">
        <f t="shared" si="12"/>
        <v>#VALUE!</v>
      </c>
      <c r="AX41" s="2620" t="e">
        <f t="shared" si="13"/>
        <v>#VALUE!</v>
      </c>
      <c r="AY41" s="2620" t="e">
        <f t="shared" si="14"/>
        <v>#VALUE!</v>
      </c>
      <c r="AZ41" s="2620"/>
      <c r="BA41" s="2620" t="e">
        <f t="shared" si="15"/>
        <v>#VALUE!</v>
      </c>
      <c r="BB41" s="2620" t="e">
        <f t="shared" si="16"/>
        <v>#VALUE!</v>
      </c>
      <c r="BC41" s="2620" t="e">
        <f t="shared" si="17"/>
        <v>#VALUE!</v>
      </c>
    </row>
    <row r="42" spans="1:55" s="2459" customFormat="1" ht="19.5" customHeight="1">
      <c r="A42" s="1706">
        <f t="shared" si="0"/>
        <v>0</v>
      </c>
      <c r="B42" s="6301" t="str">
        <f t="shared" si="1"/>
        <v/>
      </c>
      <c r="C42" s="6302"/>
      <c r="D42" s="6302"/>
      <c r="E42" s="6302"/>
      <c r="F42" s="6302"/>
      <c r="G42" s="6302"/>
      <c r="H42" s="6302"/>
      <c r="I42" s="6303"/>
      <c r="J42" s="6304" t="str">
        <f t="shared" si="2"/>
        <v/>
      </c>
      <c r="K42" s="6305"/>
      <c r="L42" s="6305"/>
      <c r="M42" s="6304" t="str">
        <f t="shared" si="3"/>
        <v/>
      </c>
      <c r="N42" s="6305"/>
      <c r="O42" s="6305"/>
      <c r="P42" s="6306"/>
      <c r="Q42" s="4641" t="str">
        <f t="shared" si="4"/>
        <v/>
      </c>
      <c r="R42" s="6307"/>
      <c r="S42" s="6307"/>
      <c r="T42" s="6308"/>
      <c r="U42" s="4641" t="str">
        <f t="shared" si="5"/>
        <v/>
      </c>
      <c r="V42" s="6307"/>
      <c r="W42" s="6307"/>
      <c r="X42" s="6308"/>
      <c r="Y42" s="6300" t="str">
        <f t="shared" si="18"/>
        <v/>
      </c>
      <c r="Z42" s="4756"/>
      <c r="AA42" s="6300" t="str">
        <f t="shared" si="19"/>
        <v/>
      </c>
      <c r="AB42" s="4756"/>
      <c r="AC42" s="6309" t="str">
        <f t="shared" si="7"/>
        <v/>
      </c>
      <c r="AD42" s="6310"/>
      <c r="AE42" s="6310"/>
      <c r="AF42" s="6310"/>
      <c r="AG42" s="2631">
        <f t="shared" si="8"/>
        <v>0</v>
      </c>
      <c r="AH42" s="1644"/>
      <c r="AI42" s="1644" t="e">
        <f t="shared" si="6"/>
        <v>#VALUE!</v>
      </c>
      <c r="AJ42" s="2467"/>
      <c r="AK42" s="2471"/>
      <c r="AL42" s="2471"/>
      <c r="AM42" s="2469"/>
      <c r="AN42" s="2469"/>
      <c r="AO42" s="2470"/>
      <c r="AP42" s="2469"/>
      <c r="AQ42" s="2468"/>
      <c r="AS42" s="2620" t="e">
        <f t="shared" si="9"/>
        <v>#VALUE!</v>
      </c>
      <c r="AT42" s="2620" t="e">
        <f t="shared" si="10"/>
        <v>#VALUE!</v>
      </c>
      <c r="AU42" s="2620" t="e">
        <f t="shared" si="11"/>
        <v>#VALUE!</v>
      </c>
      <c r="AV42" s="2620"/>
      <c r="AW42" s="2620" t="e">
        <f t="shared" si="12"/>
        <v>#VALUE!</v>
      </c>
      <c r="AX42" s="2620" t="e">
        <f t="shared" si="13"/>
        <v>#VALUE!</v>
      </c>
      <c r="AY42" s="2620" t="e">
        <f t="shared" si="14"/>
        <v>#VALUE!</v>
      </c>
      <c r="AZ42" s="2620"/>
      <c r="BA42" s="2620" t="e">
        <f t="shared" si="15"/>
        <v>#VALUE!</v>
      </c>
      <c r="BB42" s="2620" t="e">
        <f t="shared" si="16"/>
        <v>#VALUE!</v>
      </c>
      <c r="BC42" s="2620" t="e">
        <f t="shared" si="17"/>
        <v>#VALUE!</v>
      </c>
    </row>
    <row r="43" spans="1:55" s="2459" customFormat="1" ht="19.5" customHeight="1">
      <c r="A43" s="1706">
        <f t="shared" si="0"/>
        <v>0</v>
      </c>
      <c r="B43" s="6301" t="str">
        <f t="shared" si="1"/>
        <v/>
      </c>
      <c r="C43" s="6302"/>
      <c r="D43" s="6302"/>
      <c r="E43" s="6302"/>
      <c r="F43" s="6302"/>
      <c r="G43" s="6302"/>
      <c r="H43" s="6302"/>
      <c r="I43" s="6303"/>
      <c r="J43" s="6304" t="str">
        <f t="shared" si="2"/>
        <v/>
      </c>
      <c r="K43" s="6305"/>
      <c r="L43" s="6305"/>
      <c r="M43" s="6304" t="str">
        <f t="shared" si="3"/>
        <v/>
      </c>
      <c r="N43" s="6305"/>
      <c r="O43" s="6305"/>
      <c r="P43" s="6306"/>
      <c r="Q43" s="4641" t="str">
        <f t="shared" si="4"/>
        <v/>
      </c>
      <c r="R43" s="6307"/>
      <c r="S43" s="6307"/>
      <c r="T43" s="6308"/>
      <c r="U43" s="4641" t="str">
        <f t="shared" si="5"/>
        <v/>
      </c>
      <c r="V43" s="6307"/>
      <c r="W43" s="6307"/>
      <c r="X43" s="6308"/>
      <c r="Y43" s="6300" t="str">
        <f t="shared" si="18"/>
        <v/>
      </c>
      <c r="Z43" s="4756"/>
      <c r="AA43" s="6300" t="str">
        <f t="shared" si="19"/>
        <v/>
      </c>
      <c r="AB43" s="4756"/>
      <c r="AC43" s="6309" t="str">
        <f t="shared" si="7"/>
        <v/>
      </c>
      <c r="AD43" s="6310"/>
      <c r="AE43" s="6310"/>
      <c r="AF43" s="6310"/>
      <c r="AG43" s="2631">
        <f t="shared" si="8"/>
        <v>0</v>
      </c>
      <c r="AH43" s="1644"/>
      <c r="AI43" s="1644" t="e">
        <f t="shared" si="6"/>
        <v>#VALUE!</v>
      </c>
      <c r="AJ43" s="2467"/>
      <c r="AK43" s="2471"/>
      <c r="AL43" s="2471"/>
      <c r="AM43" s="2469"/>
      <c r="AN43" s="2469"/>
      <c r="AO43" s="2470"/>
      <c r="AP43" s="2469"/>
      <c r="AQ43" s="2468"/>
      <c r="AS43" s="2620" t="e">
        <f t="shared" si="9"/>
        <v>#VALUE!</v>
      </c>
      <c r="AT43" s="2620" t="e">
        <f t="shared" si="10"/>
        <v>#VALUE!</v>
      </c>
      <c r="AU43" s="2620" t="e">
        <f t="shared" si="11"/>
        <v>#VALUE!</v>
      </c>
      <c r="AV43" s="2620"/>
      <c r="AW43" s="2620" t="e">
        <f t="shared" si="12"/>
        <v>#VALUE!</v>
      </c>
      <c r="AX43" s="2620" t="e">
        <f t="shared" si="13"/>
        <v>#VALUE!</v>
      </c>
      <c r="AY43" s="2620" t="e">
        <f t="shared" si="14"/>
        <v>#VALUE!</v>
      </c>
      <c r="AZ43" s="2620"/>
      <c r="BA43" s="2620" t="e">
        <f t="shared" si="15"/>
        <v>#VALUE!</v>
      </c>
      <c r="BB43" s="2620" t="e">
        <f t="shared" si="16"/>
        <v>#VALUE!</v>
      </c>
      <c r="BC43" s="2620" t="e">
        <f t="shared" si="17"/>
        <v>#VALUE!</v>
      </c>
    </row>
    <row r="44" spans="1:55" s="2459" customFormat="1" ht="19.5" customHeight="1">
      <c r="A44" s="1706">
        <f t="shared" si="0"/>
        <v>0</v>
      </c>
      <c r="B44" s="6301" t="str">
        <f t="shared" si="1"/>
        <v/>
      </c>
      <c r="C44" s="6302"/>
      <c r="D44" s="6302"/>
      <c r="E44" s="6302"/>
      <c r="F44" s="6302"/>
      <c r="G44" s="6302"/>
      <c r="H44" s="6302"/>
      <c r="I44" s="6303"/>
      <c r="J44" s="6304" t="str">
        <f t="shared" si="2"/>
        <v/>
      </c>
      <c r="K44" s="6305"/>
      <c r="L44" s="6305"/>
      <c r="M44" s="6304" t="str">
        <f t="shared" si="3"/>
        <v/>
      </c>
      <c r="N44" s="6305"/>
      <c r="O44" s="6305"/>
      <c r="P44" s="6306"/>
      <c r="Q44" s="4641" t="str">
        <f t="shared" si="4"/>
        <v/>
      </c>
      <c r="R44" s="6307"/>
      <c r="S44" s="6307"/>
      <c r="T44" s="6308"/>
      <c r="U44" s="4641" t="str">
        <f t="shared" si="5"/>
        <v/>
      </c>
      <c r="V44" s="6307"/>
      <c r="W44" s="6307"/>
      <c r="X44" s="6308"/>
      <c r="Y44" s="6300" t="str">
        <f t="shared" si="18"/>
        <v/>
      </c>
      <c r="Z44" s="4756"/>
      <c r="AA44" s="6300" t="str">
        <f t="shared" si="19"/>
        <v/>
      </c>
      <c r="AB44" s="4756"/>
      <c r="AC44" s="6309" t="str">
        <f t="shared" si="7"/>
        <v/>
      </c>
      <c r="AD44" s="6310"/>
      <c r="AE44" s="6310"/>
      <c r="AF44" s="6310"/>
      <c r="AG44" s="2631">
        <f t="shared" si="8"/>
        <v>0</v>
      </c>
      <c r="AH44" s="1644"/>
      <c r="AI44" s="1644" t="e">
        <f t="shared" si="6"/>
        <v>#VALUE!</v>
      </c>
      <c r="AJ44" s="2467"/>
      <c r="AK44" s="2471"/>
      <c r="AL44" s="2471"/>
      <c r="AM44" s="2469"/>
      <c r="AN44" s="2469"/>
      <c r="AO44" s="2470"/>
      <c r="AP44" s="2469"/>
      <c r="AQ44" s="2468"/>
      <c r="AS44" s="2620" t="e">
        <f t="shared" si="9"/>
        <v>#VALUE!</v>
      </c>
      <c r="AT44" s="2620" t="e">
        <f t="shared" si="10"/>
        <v>#VALUE!</v>
      </c>
      <c r="AU44" s="2620" t="e">
        <f t="shared" si="11"/>
        <v>#VALUE!</v>
      </c>
      <c r="AV44" s="2620"/>
      <c r="AW44" s="2620" t="e">
        <f t="shared" si="12"/>
        <v>#VALUE!</v>
      </c>
      <c r="AX44" s="2620" t="e">
        <f t="shared" si="13"/>
        <v>#VALUE!</v>
      </c>
      <c r="AY44" s="2620" t="e">
        <f t="shared" si="14"/>
        <v>#VALUE!</v>
      </c>
      <c r="AZ44" s="2620"/>
      <c r="BA44" s="2620" t="e">
        <f t="shared" si="15"/>
        <v>#VALUE!</v>
      </c>
      <c r="BB44" s="2620" t="e">
        <f t="shared" si="16"/>
        <v>#VALUE!</v>
      </c>
      <c r="BC44" s="2620" t="e">
        <f t="shared" si="17"/>
        <v>#VALUE!</v>
      </c>
    </row>
    <row r="45" spans="1:55" s="2459" customFormat="1" ht="19.5" customHeight="1">
      <c r="A45" s="1706">
        <f t="shared" si="0"/>
        <v>0</v>
      </c>
      <c r="B45" s="6301" t="str">
        <f t="shared" si="1"/>
        <v/>
      </c>
      <c r="C45" s="6302"/>
      <c r="D45" s="6302"/>
      <c r="E45" s="6302"/>
      <c r="F45" s="6302"/>
      <c r="G45" s="6302"/>
      <c r="H45" s="6302"/>
      <c r="I45" s="6303"/>
      <c r="J45" s="6304" t="str">
        <f t="shared" si="2"/>
        <v/>
      </c>
      <c r="K45" s="6305"/>
      <c r="L45" s="6305"/>
      <c r="M45" s="6304" t="str">
        <f t="shared" si="3"/>
        <v/>
      </c>
      <c r="N45" s="6305"/>
      <c r="O45" s="6305"/>
      <c r="P45" s="6306"/>
      <c r="Q45" s="4641" t="str">
        <f t="shared" si="4"/>
        <v/>
      </c>
      <c r="R45" s="6307"/>
      <c r="S45" s="6307"/>
      <c r="T45" s="6308"/>
      <c r="U45" s="4641" t="str">
        <f t="shared" si="5"/>
        <v/>
      </c>
      <c r="V45" s="6307"/>
      <c r="W45" s="6307"/>
      <c r="X45" s="6308"/>
      <c r="Y45" s="6300" t="str">
        <f t="shared" si="18"/>
        <v/>
      </c>
      <c r="Z45" s="4756"/>
      <c r="AA45" s="6300" t="str">
        <f t="shared" si="19"/>
        <v/>
      </c>
      <c r="AB45" s="4756"/>
      <c r="AC45" s="6309" t="str">
        <f t="shared" si="7"/>
        <v/>
      </c>
      <c r="AD45" s="6310"/>
      <c r="AE45" s="6310"/>
      <c r="AF45" s="6310"/>
      <c r="AG45" s="2631">
        <f t="shared" si="8"/>
        <v>0</v>
      </c>
      <c r="AH45" s="1644"/>
      <c r="AI45" s="1644" t="e">
        <f t="shared" si="6"/>
        <v>#VALUE!</v>
      </c>
      <c r="AJ45" s="2467"/>
      <c r="AK45" s="2471"/>
      <c r="AL45" s="2471"/>
      <c r="AM45" s="2469"/>
      <c r="AN45" s="2469"/>
      <c r="AO45" s="2470"/>
      <c r="AP45" s="2469"/>
      <c r="AQ45" s="2468"/>
      <c r="AS45" s="2620" t="e">
        <f t="shared" si="9"/>
        <v>#VALUE!</v>
      </c>
      <c r="AT45" s="2620" t="e">
        <f t="shared" si="10"/>
        <v>#VALUE!</v>
      </c>
      <c r="AU45" s="2620" t="e">
        <f t="shared" si="11"/>
        <v>#VALUE!</v>
      </c>
      <c r="AV45" s="2620"/>
      <c r="AW45" s="2620" t="e">
        <f t="shared" si="12"/>
        <v>#VALUE!</v>
      </c>
      <c r="AX45" s="2620" t="e">
        <f t="shared" si="13"/>
        <v>#VALUE!</v>
      </c>
      <c r="AY45" s="2620" t="e">
        <f t="shared" si="14"/>
        <v>#VALUE!</v>
      </c>
      <c r="AZ45" s="2620"/>
      <c r="BA45" s="2620" t="e">
        <f t="shared" si="15"/>
        <v>#VALUE!</v>
      </c>
      <c r="BB45" s="2620" t="e">
        <f t="shared" si="16"/>
        <v>#VALUE!</v>
      </c>
      <c r="BC45" s="2620" t="e">
        <f t="shared" si="17"/>
        <v>#VALUE!</v>
      </c>
    </row>
    <row r="46" spans="1:55" s="2459" customFormat="1" ht="19.5" customHeight="1">
      <c r="A46" s="1706">
        <f t="shared" si="0"/>
        <v>0</v>
      </c>
      <c r="B46" s="6301" t="str">
        <f t="shared" si="1"/>
        <v/>
      </c>
      <c r="C46" s="6302"/>
      <c r="D46" s="6302"/>
      <c r="E46" s="6302"/>
      <c r="F46" s="6302"/>
      <c r="G46" s="6302"/>
      <c r="H46" s="6302"/>
      <c r="I46" s="6303"/>
      <c r="J46" s="6304" t="str">
        <f t="shared" si="2"/>
        <v/>
      </c>
      <c r="K46" s="6305"/>
      <c r="L46" s="6305"/>
      <c r="M46" s="6304" t="str">
        <f t="shared" si="3"/>
        <v/>
      </c>
      <c r="N46" s="6305"/>
      <c r="O46" s="6305"/>
      <c r="P46" s="6306"/>
      <c r="Q46" s="4641" t="str">
        <f t="shared" si="4"/>
        <v/>
      </c>
      <c r="R46" s="6307"/>
      <c r="S46" s="6307"/>
      <c r="T46" s="6308"/>
      <c r="U46" s="4641" t="str">
        <f t="shared" si="5"/>
        <v/>
      </c>
      <c r="V46" s="6307"/>
      <c r="W46" s="6307"/>
      <c r="X46" s="6308"/>
      <c r="Y46" s="6300" t="str">
        <f t="shared" si="18"/>
        <v/>
      </c>
      <c r="Z46" s="4756"/>
      <c r="AA46" s="6300" t="str">
        <f t="shared" si="19"/>
        <v/>
      </c>
      <c r="AB46" s="4756"/>
      <c r="AC46" s="6309" t="str">
        <f t="shared" si="7"/>
        <v/>
      </c>
      <c r="AD46" s="6310"/>
      <c r="AE46" s="6310"/>
      <c r="AF46" s="6310"/>
      <c r="AG46" s="2631">
        <f t="shared" si="8"/>
        <v>0</v>
      </c>
      <c r="AH46" s="1644"/>
      <c r="AI46" s="1644" t="e">
        <f t="shared" si="6"/>
        <v>#VALUE!</v>
      </c>
      <c r="AJ46" s="2467"/>
      <c r="AK46" s="2471"/>
      <c r="AL46" s="2471"/>
      <c r="AM46" s="2469"/>
      <c r="AN46" s="2469"/>
      <c r="AO46" s="2470"/>
      <c r="AP46" s="2469"/>
      <c r="AQ46" s="2468"/>
      <c r="AS46" s="2620" t="e">
        <f t="shared" si="9"/>
        <v>#VALUE!</v>
      </c>
      <c r="AT46" s="2620" t="e">
        <f t="shared" si="10"/>
        <v>#VALUE!</v>
      </c>
      <c r="AU46" s="2620" t="e">
        <f t="shared" si="11"/>
        <v>#VALUE!</v>
      </c>
      <c r="AV46" s="2620"/>
      <c r="AW46" s="2620" t="e">
        <f t="shared" si="12"/>
        <v>#VALUE!</v>
      </c>
      <c r="AX46" s="2620" t="e">
        <f t="shared" si="13"/>
        <v>#VALUE!</v>
      </c>
      <c r="AY46" s="2620" t="e">
        <f t="shared" si="14"/>
        <v>#VALUE!</v>
      </c>
      <c r="AZ46" s="2620"/>
      <c r="BA46" s="2620" t="e">
        <f t="shared" si="15"/>
        <v>#VALUE!</v>
      </c>
      <c r="BB46" s="2620" t="e">
        <f t="shared" si="16"/>
        <v>#VALUE!</v>
      </c>
      <c r="BC46" s="2620" t="e">
        <f t="shared" si="17"/>
        <v>#VALUE!</v>
      </c>
    </row>
    <row r="47" spans="1:55" s="2459" customFormat="1" ht="19.5" customHeight="1">
      <c r="A47" s="1706">
        <f t="shared" si="0"/>
        <v>0</v>
      </c>
      <c r="B47" s="6301" t="str">
        <f t="shared" si="1"/>
        <v/>
      </c>
      <c r="C47" s="6302"/>
      <c r="D47" s="6302"/>
      <c r="E47" s="6302"/>
      <c r="F47" s="6302"/>
      <c r="G47" s="6302"/>
      <c r="H47" s="6302"/>
      <c r="I47" s="6303"/>
      <c r="J47" s="6304" t="str">
        <f t="shared" si="2"/>
        <v/>
      </c>
      <c r="K47" s="6305"/>
      <c r="L47" s="6305"/>
      <c r="M47" s="6304" t="str">
        <f t="shared" si="3"/>
        <v/>
      </c>
      <c r="N47" s="6305"/>
      <c r="O47" s="6305"/>
      <c r="P47" s="6306"/>
      <c r="Q47" s="4641" t="str">
        <f t="shared" si="4"/>
        <v/>
      </c>
      <c r="R47" s="6307"/>
      <c r="S47" s="6307"/>
      <c r="T47" s="6308"/>
      <c r="U47" s="4641" t="str">
        <f t="shared" si="5"/>
        <v/>
      </c>
      <c r="V47" s="6307"/>
      <c r="W47" s="6307"/>
      <c r="X47" s="6308"/>
      <c r="Y47" s="6300" t="str">
        <f t="shared" si="18"/>
        <v/>
      </c>
      <c r="Z47" s="4756"/>
      <c r="AA47" s="6300" t="str">
        <f t="shared" si="19"/>
        <v/>
      </c>
      <c r="AB47" s="4756"/>
      <c r="AC47" s="6309" t="str">
        <f t="shared" si="7"/>
        <v/>
      </c>
      <c r="AD47" s="6310"/>
      <c r="AE47" s="6310"/>
      <c r="AF47" s="6310"/>
      <c r="AG47" s="2631">
        <f t="shared" si="8"/>
        <v>0</v>
      </c>
      <c r="AH47" s="1644"/>
      <c r="AI47" s="1644" t="e">
        <f t="shared" si="6"/>
        <v>#VALUE!</v>
      </c>
      <c r="AJ47" s="2467"/>
      <c r="AK47" s="2471"/>
      <c r="AL47" s="2471"/>
      <c r="AM47" s="2469"/>
      <c r="AN47" s="2469"/>
      <c r="AO47" s="2470"/>
      <c r="AP47" s="2469"/>
      <c r="AQ47" s="2468"/>
      <c r="AS47" s="2620" t="e">
        <f t="shared" si="9"/>
        <v>#VALUE!</v>
      </c>
      <c r="AT47" s="2620" t="e">
        <f t="shared" si="10"/>
        <v>#VALUE!</v>
      </c>
      <c r="AU47" s="2620" t="e">
        <f t="shared" si="11"/>
        <v>#VALUE!</v>
      </c>
      <c r="AV47" s="2620"/>
      <c r="AW47" s="2620" t="e">
        <f t="shared" si="12"/>
        <v>#VALUE!</v>
      </c>
      <c r="AX47" s="2620" t="e">
        <f t="shared" si="13"/>
        <v>#VALUE!</v>
      </c>
      <c r="AY47" s="2620" t="e">
        <f t="shared" si="14"/>
        <v>#VALUE!</v>
      </c>
      <c r="AZ47" s="2620"/>
      <c r="BA47" s="2620" t="e">
        <f t="shared" si="15"/>
        <v>#VALUE!</v>
      </c>
      <c r="BB47" s="2620" t="e">
        <f t="shared" si="16"/>
        <v>#VALUE!</v>
      </c>
      <c r="BC47" s="2620" t="e">
        <f t="shared" si="17"/>
        <v>#VALUE!</v>
      </c>
    </row>
    <row r="48" spans="1:55" s="2459" customFormat="1" ht="19.5" customHeight="1">
      <c r="A48" s="1706">
        <f t="shared" si="0"/>
        <v>0</v>
      </c>
      <c r="B48" s="6301" t="str">
        <f t="shared" si="1"/>
        <v/>
      </c>
      <c r="C48" s="6302"/>
      <c r="D48" s="6302"/>
      <c r="E48" s="6302"/>
      <c r="F48" s="6302"/>
      <c r="G48" s="6302"/>
      <c r="H48" s="6302"/>
      <c r="I48" s="6303"/>
      <c r="J48" s="6304" t="str">
        <f t="shared" si="2"/>
        <v/>
      </c>
      <c r="K48" s="6305"/>
      <c r="L48" s="6305"/>
      <c r="M48" s="6304" t="str">
        <f t="shared" si="3"/>
        <v/>
      </c>
      <c r="N48" s="6305"/>
      <c r="O48" s="6305"/>
      <c r="P48" s="6306"/>
      <c r="Q48" s="4641" t="str">
        <f t="shared" si="4"/>
        <v/>
      </c>
      <c r="R48" s="6307"/>
      <c r="S48" s="6307"/>
      <c r="T48" s="6308"/>
      <c r="U48" s="4641" t="str">
        <f t="shared" si="5"/>
        <v/>
      </c>
      <c r="V48" s="6307"/>
      <c r="W48" s="6307"/>
      <c r="X48" s="6308"/>
      <c r="Y48" s="6300" t="str">
        <f t="shared" si="18"/>
        <v/>
      </c>
      <c r="Z48" s="4756"/>
      <c r="AA48" s="6300" t="str">
        <f t="shared" si="19"/>
        <v/>
      </c>
      <c r="AB48" s="4756"/>
      <c r="AC48" s="6309" t="str">
        <f t="shared" si="7"/>
        <v/>
      </c>
      <c r="AD48" s="6310"/>
      <c r="AE48" s="6310"/>
      <c r="AF48" s="6310"/>
      <c r="AG48" s="2631">
        <f t="shared" si="8"/>
        <v>0</v>
      </c>
      <c r="AH48" s="1644"/>
      <c r="AI48" s="1644" t="e">
        <f t="shared" si="6"/>
        <v>#VALUE!</v>
      </c>
      <c r="AJ48" s="2467"/>
      <c r="AK48" s="2471"/>
      <c r="AL48" s="2471"/>
      <c r="AM48" s="2469"/>
      <c r="AN48" s="2469"/>
      <c r="AO48" s="2470"/>
      <c r="AP48" s="2469"/>
      <c r="AQ48" s="2468"/>
      <c r="AS48" s="2620" t="e">
        <f t="shared" si="9"/>
        <v>#VALUE!</v>
      </c>
      <c r="AT48" s="2620" t="e">
        <f t="shared" si="10"/>
        <v>#VALUE!</v>
      </c>
      <c r="AU48" s="2620" t="e">
        <f t="shared" si="11"/>
        <v>#VALUE!</v>
      </c>
      <c r="AV48" s="2620"/>
      <c r="AW48" s="2620" t="e">
        <f t="shared" si="12"/>
        <v>#VALUE!</v>
      </c>
      <c r="AX48" s="2620" t="e">
        <f t="shared" si="13"/>
        <v>#VALUE!</v>
      </c>
      <c r="AY48" s="2620" t="e">
        <f t="shared" si="14"/>
        <v>#VALUE!</v>
      </c>
      <c r="AZ48" s="2620"/>
      <c r="BA48" s="2620" t="e">
        <f t="shared" si="15"/>
        <v>#VALUE!</v>
      </c>
      <c r="BB48" s="2620" t="e">
        <f t="shared" si="16"/>
        <v>#VALUE!</v>
      </c>
      <c r="BC48" s="2620" t="e">
        <f t="shared" si="17"/>
        <v>#VALUE!</v>
      </c>
    </row>
    <row r="49" spans="1:55" s="2459" customFormat="1" ht="19.5" customHeight="1">
      <c r="A49" s="1706">
        <f t="shared" si="0"/>
        <v>0</v>
      </c>
      <c r="B49" s="6301" t="str">
        <f t="shared" si="1"/>
        <v/>
      </c>
      <c r="C49" s="6302"/>
      <c r="D49" s="6302"/>
      <c r="E49" s="6302"/>
      <c r="F49" s="6302"/>
      <c r="G49" s="6302"/>
      <c r="H49" s="6302"/>
      <c r="I49" s="6303"/>
      <c r="J49" s="6304" t="str">
        <f t="shared" si="2"/>
        <v/>
      </c>
      <c r="K49" s="6305"/>
      <c r="L49" s="6305"/>
      <c r="M49" s="6304" t="str">
        <f t="shared" si="3"/>
        <v/>
      </c>
      <c r="N49" s="6305"/>
      <c r="O49" s="6305"/>
      <c r="P49" s="6306"/>
      <c r="Q49" s="4641" t="str">
        <f t="shared" si="4"/>
        <v/>
      </c>
      <c r="R49" s="6307"/>
      <c r="S49" s="6307"/>
      <c r="T49" s="6308"/>
      <c r="U49" s="4641" t="str">
        <f t="shared" si="5"/>
        <v/>
      </c>
      <c r="V49" s="6307"/>
      <c r="W49" s="6307"/>
      <c r="X49" s="6308"/>
      <c r="Y49" s="6300" t="str">
        <f t="shared" si="18"/>
        <v/>
      </c>
      <c r="Z49" s="4756"/>
      <c r="AA49" s="6300" t="str">
        <f t="shared" si="19"/>
        <v/>
      </c>
      <c r="AB49" s="4756"/>
      <c r="AC49" s="6309" t="str">
        <f t="shared" si="7"/>
        <v/>
      </c>
      <c r="AD49" s="6310"/>
      <c r="AE49" s="6310"/>
      <c r="AF49" s="6310"/>
      <c r="AG49" s="2631">
        <f t="shared" si="8"/>
        <v>0</v>
      </c>
      <c r="AH49" s="1644"/>
      <c r="AI49" s="1644" t="e">
        <f t="shared" si="6"/>
        <v>#VALUE!</v>
      </c>
      <c r="AJ49" s="2467"/>
      <c r="AK49" s="2471"/>
      <c r="AL49" s="2471"/>
      <c r="AM49" s="2469"/>
      <c r="AN49" s="2469"/>
      <c r="AO49" s="2470"/>
      <c r="AP49" s="2469"/>
      <c r="AQ49" s="2468"/>
      <c r="AS49" s="2620" t="e">
        <f t="shared" si="9"/>
        <v>#VALUE!</v>
      </c>
      <c r="AT49" s="2620" t="e">
        <f t="shared" si="10"/>
        <v>#VALUE!</v>
      </c>
      <c r="AU49" s="2620" t="e">
        <f t="shared" si="11"/>
        <v>#VALUE!</v>
      </c>
      <c r="AV49" s="2620"/>
      <c r="AW49" s="2620" t="e">
        <f t="shared" si="12"/>
        <v>#VALUE!</v>
      </c>
      <c r="AX49" s="2620" t="e">
        <f t="shared" si="13"/>
        <v>#VALUE!</v>
      </c>
      <c r="AY49" s="2620" t="e">
        <f t="shared" si="14"/>
        <v>#VALUE!</v>
      </c>
      <c r="AZ49" s="2620"/>
      <c r="BA49" s="2620" t="e">
        <f t="shared" si="15"/>
        <v>#VALUE!</v>
      </c>
      <c r="BB49" s="2620" t="e">
        <f t="shared" si="16"/>
        <v>#VALUE!</v>
      </c>
      <c r="BC49" s="2620" t="e">
        <f t="shared" si="17"/>
        <v>#VALUE!</v>
      </c>
    </row>
    <row r="50" spans="1:55" s="2459" customFormat="1" ht="19.5" customHeight="1">
      <c r="A50" s="1706">
        <f t="shared" si="0"/>
        <v>0</v>
      </c>
      <c r="B50" s="6301" t="str">
        <f t="shared" si="1"/>
        <v/>
      </c>
      <c r="C50" s="6302"/>
      <c r="D50" s="6302"/>
      <c r="E50" s="6302"/>
      <c r="F50" s="6302"/>
      <c r="G50" s="6302"/>
      <c r="H50" s="6302"/>
      <c r="I50" s="6303"/>
      <c r="J50" s="6304" t="str">
        <f t="shared" si="2"/>
        <v/>
      </c>
      <c r="K50" s="6305"/>
      <c r="L50" s="6305"/>
      <c r="M50" s="6304" t="str">
        <f t="shared" si="3"/>
        <v/>
      </c>
      <c r="N50" s="6305"/>
      <c r="O50" s="6305"/>
      <c r="P50" s="6306"/>
      <c r="Q50" s="4641" t="str">
        <f t="shared" si="4"/>
        <v/>
      </c>
      <c r="R50" s="6307"/>
      <c r="S50" s="6307"/>
      <c r="T50" s="6308"/>
      <c r="U50" s="4641" t="str">
        <f t="shared" si="5"/>
        <v/>
      </c>
      <c r="V50" s="6307"/>
      <c r="W50" s="6307"/>
      <c r="X50" s="6308"/>
      <c r="Y50" s="6300" t="str">
        <f t="shared" si="18"/>
        <v/>
      </c>
      <c r="Z50" s="4756"/>
      <c r="AA50" s="6300" t="str">
        <f t="shared" si="19"/>
        <v/>
      </c>
      <c r="AB50" s="4756"/>
      <c r="AC50" s="6309" t="str">
        <f t="shared" si="7"/>
        <v/>
      </c>
      <c r="AD50" s="6310"/>
      <c r="AE50" s="6310"/>
      <c r="AF50" s="6310"/>
      <c r="AG50" s="2631">
        <f t="shared" si="8"/>
        <v>0</v>
      </c>
      <c r="AH50" s="1644"/>
      <c r="AI50" s="1644" t="e">
        <f t="shared" si="6"/>
        <v>#VALUE!</v>
      </c>
      <c r="AJ50" s="2467"/>
      <c r="AK50" s="2471"/>
      <c r="AL50" s="2471"/>
      <c r="AM50" s="2469"/>
      <c r="AN50" s="2469"/>
      <c r="AO50" s="2470"/>
      <c r="AP50" s="2469"/>
      <c r="AQ50" s="2468"/>
      <c r="AS50" s="2620" t="e">
        <f t="shared" si="9"/>
        <v>#VALUE!</v>
      </c>
      <c r="AT50" s="2620" t="e">
        <f t="shared" si="10"/>
        <v>#VALUE!</v>
      </c>
      <c r="AU50" s="2620" t="e">
        <f t="shared" si="11"/>
        <v>#VALUE!</v>
      </c>
      <c r="AV50" s="2620"/>
      <c r="AW50" s="2620" t="e">
        <f t="shared" si="12"/>
        <v>#VALUE!</v>
      </c>
      <c r="AX50" s="2620" t="e">
        <f t="shared" si="13"/>
        <v>#VALUE!</v>
      </c>
      <c r="AY50" s="2620" t="e">
        <f t="shared" si="14"/>
        <v>#VALUE!</v>
      </c>
      <c r="AZ50" s="2620"/>
      <c r="BA50" s="2620" t="e">
        <f t="shared" si="15"/>
        <v>#VALUE!</v>
      </c>
      <c r="BB50" s="2620" t="e">
        <f t="shared" si="16"/>
        <v>#VALUE!</v>
      </c>
      <c r="BC50" s="2620" t="e">
        <f t="shared" si="17"/>
        <v>#VALUE!</v>
      </c>
    </row>
    <row r="51" spans="1:55" s="2459" customFormat="1" ht="19.5" customHeight="1">
      <c r="A51" s="1706">
        <f t="shared" si="0"/>
        <v>0</v>
      </c>
      <c r="B51" s="6301" t="str">
        <f t="shared" si="1"/>
        <v/>
      </c>
      <c r="C51" s="6302"/>
      <c r="D51" s="6302"/>
      <c r="E51" s="6302"/>
      <c r="F51" s="6302"/>
      <c r="G51" s="6302"/>
      <c r="H51" s="6302"/>
      <c r="I51" s="6303"/>
      <c r="J51" s="6304" t="str">
        <f t="shared" si="2"/>
        <v/>
      </c>
      <c r="K51" s="6305"/>
      <c r="L51" s="6305"/>
      <c r="M51" s="6304" t="str">
        <f t="shared" si="3"/>
        <v/>
      </c>
      <c r="N51" s="6305"/>
      <c r="O51" s="6305"/>
      <c r="P51" s="6306"/>
      <c r="Q51" s="4641" t="str">
        <f t="shared" si="4"/>
        <v/>
      </c>
      <c r="R51" s="6307"/>
      <c r="S51" s="6307"/>
      <c r="T51" s="6308"/>
      <c r="U51" s="4641" t="str">
        <f t="shared" si="5"/>
        <v/>
      </c>
      <c r="V51" s="6307"/>
      <c r="W51" s="6307"/>
      <c r="X51" s="6308"/>
      <c r="Y51" s="6300" t="str">
        <f t="shared" si="18"/>
        <v/>
      </c>
      <c r="Z51" s="4756"/>
      <c r="AA51" s="6300" t="str">
        <f t="shared" si="19"/>
        <v/>
      </c>
      <c r="AB51" s="4756"/>
      <c r="AC51" s="6309" t="str">
        <f t="shared" si="7"/>
        <v/>
      </c>
      <c r="AD51" s="6310"/>
      <c r="AE51" s="6310"/>
      <c r="AF51" s="6310"/>
      <c r="AG51" s="2631">
        <f t="shared" si="8"/>
        <v>0</v>
      </c>
      <c r="AH51" s="1644"/>
      <c r="AI51" s="1644" t="e">
        <f t="shared" si="6"/>
        <v>#VALUE!</v>
      </c>
      <c r="AJ51" s="2467"/>
      <c r="AK51" s="2471"/>
      <c r="AL51" s="2471"/>
      <c r="AM51" s="2469"/>
      <c r="AN51" s="2469"/>
      <c r="AO51" s="2470"/>
      <c r="AP51" s="2469"/>
      <c r="AQ51" s="2468"/>
      <c r="AS51" s="2620" t="e">
        <f t="shared" si="9"/>
        <v>#VALUE!</v>
      </c>
      <c r="AT51" s="2620" t="e">
        <f t="shared" si="10"/>
        <v>#VALUE!</v>
      </c>
      <c r="AU51" s="2620" t="e">
        <f t="shared" si="11"/>
        <v>#VALUE!</v>
      </c>
      <c r="AV51" s="2620"/>
      <c r="AW51" s="2620" t="e">
        <f t="shared" si="12"/>
        <v>#VALUE!</v>
      </c>
      <c r="AX51" s="2620" t="e">
        <f t="shared" si="13"/>
        <v>#VALUE!</v>
      </c>
      <c r="AY51" s="2620" t="e">
        <f t="shared" si="14"/>
        <v>#VALUE!</v>
      </c>
      <c r="AZ51" s="2620"/>
      <c r="BA51" s="2620" t="e">
        <f t="shared" si="15"/>
        <v>#VALUE!</v>
      </c>
      <c r="BB51" s="2620" t="e">
        <f t="shared" si="16"/>
        <v>#VALUE!</v>
      </c>
      <c r="BC51" s="2620" t="e">
        <f t="shared" si="17"/>
        <v>#VALUE!</v>
      </c>
    </row>
    <row r="52" spans="1:55" s="2459" customFormat="1" ht="19.5" customHeight="1">
      <c r="A52" s="1706">
        <f t="shared" si="0"/>
        <v>0</v>
      </c>
      <c r="B52" s="6301" t="str">
        <f t="shared" si="1"/>
        <v/>
      </c>
      <c r="C52" s="6302"/>
      <c r="D52" s="6302"/>
      <c r="E52" s="6302"/>
      <c r="F52" s="6302"/>
      <c r="G52" s="6302"/>
      <c r="H52" s="6302"/>
      <c r="I52" s="6303"/>
      <c r="J52" s="6304" t="str">
        <f t="shared" si="2"/>
        <v/>
      </c>
      <c r="K52" s="6305"/>
      <c r="L52" s="6305"/>
      <c r="M52" s="6304" t="str">
        <f t="shared" si="3"/>
        <v/>
      </c>
      <c r="N52" s="6305"/>
      <c r="O52" s="6305"/>
      <c r="P52" s="6306"/>
      <c r="Q52" s="4641" t="str">
        <f t="shared" si="4"/>
        <v/>
      </c>
      <c r="R52" s="6307"/>
      <c r="S52" s="6307"/>
      <c r="T52" s="6308"/>
      <c r="U52" s="4641" t="str">
        <f t="shared" si="5"/>
        <v/>
      </c>
      <c r="V52" s="6307"/>
      <c r="W52" s="6307"/>
      <c r="X52" s="6308"/>
      <c r="Y52" s="6300" t="str">
        <f t="shared" si="18"/>
        <v/>
      </c>
      <c r="Z52" s="4756"/>
      <c r="AA52" s="6300" t="str">
        <f t="shared" si="19"/>
        <v/>
      </c>
      <c r="AB52" s="4756"/>
      <c r="AC52" s="6309" t="str">
        <f t="shared" si="7"/>
        <v/>
      </c>
      <c r="AD52" s="6310"/>
      <c r="AE52" s="6310"/>
      <c r="AF52" s="6310"/>
      <c r="AG52" s="2631">
        <f t="shared" si="8"/>
        <v>0</v>
      </c>
      <c r="AH52" s="1644"/>
      <c r="AI52" s="1644" t="e">
        <f t="shared" si="6"/>
        <v>#VALUE!</v>
      </c>
      <c r="AJ52" s="2467"/>
      <c r="AK52" s="2471"/>
      <c r="AL52" s="2471"/>
      <c r="AM52" s="2469"/>
      <c r="AN52" s="2469"/>
      <c r="AO52" s="2470"/>
      <c r="AP52" s="2469"/>
      <c r="AQ52" s="2468"/>
      <c r="AS52" s="2620" t="e">
        <f t="shared" si="9"/>
        <v>#VALUE!</v>
      </c>
      <c r="AT52" s="2620" t="e">
        <f t="shared" si="10"/>
        <v>#VALUE!</v>
      </c>
      <c r="AU52" s="2620" t="e">
        <f t="shared" si="11"/>
        <v>#VALUE!</v>
      </c>
      <c r="AV52" s="2620"/>
      <c r="AW52" s="2620" t="e">
        <f t="shared" si="12"/>
        <v>#VALUE!</v>
      </c>
      <c r="AX52" s="2620" t="e">
        <f t="shared" si="13"/>
        <v>#VALUE!</v>
      </c>
      <c r="AY52" s="2620" t="e">
        <f t="shared" si="14"/>
        <v>#VALUE!</v>
      </c>
      <c r="AZ52" s="2620"/>
      <c r="BA52" s="2620" t="e">
        <f t="shared" si="15"/>
        <v>#VALUE!</v>
      </c>
      <c r="BB52" s="2620" t="e">
        <f t="shared" si="16"/>
        <v>#VALUE!</v>
      </c>
      <c r="BC52" s="2620" t="e">
        <f t="shared" si="17"/>
        <v>#VALUE!</v>
      </c>
    </row>
    <row r="53" spans="1:55" s="2459" customFormat="1" ht="19.5" customHeight="1">
      <c r="A53" s="1706">
        <f t="shared" si="0"/>
        <v>0</v>
      </c>
      <c r="B53" s="6301" t="str">
        <f t="shared" si="1"/>
        <v/>
      </c>
      <c r="C53" s="6302"/>
      <c r="D53" s="6302"/>
      <c r="E53" s="6302"/>
      <c r="F53" s="6302"/>
      <c r="G53" s="6302"/>
      <c r="H53" s="6302"/>
      <c r="I53" s="6303"/>
      <c r="J53" s="6304" t="str">
        <f t="shared" si="2"/>
        <v/>
      </c>
      <c r="K53" s="6305"/>
      <c r="L53" s="6305"/>
      <c r="M53" s="6304" t="str">
        <f t="shared" si="3"/>
        <v/>
      </c>
      <c r="N53" s="6305"/>
      <c r="O53" s="6305"/>
      <c r="P53" s="6306"/>
      <c r="Q53" s="4641" t="str">
        <f t="shared" si="4"/>
        <v/>
      </c>
      <c r="R53" s="6307"/>
      <c r="S53" s="6307"/>
      <c r="T53" s="6308"/>
      <c r="U53" s="4641" t="str">
        <f t="shared" si="5"/>
        <v/>
      </c>
      <c r="V53" s="6307"/>
      <c r="W53" s="6307"/>
      <c r="X53" s="6308"/>
      <c r="Y53" s="6300" t="str">
        <f t="shared" si="18"/>
        <v/>
      </c>
      <c r="Z53" s="4756"/>
      <c r="AA53" s="6300" t="str">
        <f t="shared" si="19"/>
        <v/>
      </c>
      <c r="AB53" s="4756"/>
      <c r="AC53" s="6309" t="str">
        <f t="shared" si="7"/>
        <v/>
      </c>
      <c r="AD53" s="6310"/>
      <c r="AE53" s="6310"/>
      <c r="AF53" s="6310"/>
      <c r="AG53" s="2631">
        <f t="shared" si="8"/>
        <v>0</v>
      </c>
      <c r="AH53" s="1644"/>
      <c r="AI53" s="1644" t="e">
        <f t="shared" si="6"/>
        <v>#VALUE!</v>
      </c>
      <c r="AJ53" s="2467"/>
      <c r="AK53" s="2471"/>
      <c r="AL53" s="2471"/>
      <c r="AM53" s="2469"/>
      <c r="AN53" s="2469"/>
      <c r="AO53" s="2470"/>
      <c r="AP53" s="2469"/>
      <c r="AQ53" s="2468"/>
      <c r="AS53" s="2620" t="e">
        <f t="shared" si="9"/>
        <v>#VALUE!</v>
      </c>
      <c r="AT53" s="2620" t="e">
        <f t="shared" si="10"/>
        <v>#VALUE!</v>
      </c>
      <c r="AU53" s="2620" t="e">
        <f t="shared" si="11"/>
        <v>#VALUE!</v>
      </c>
      <c r="AV53" s="2620"/>
      <c r="AW53" s="2620" t="e">
        <f t="shared" si="12"/>
        <v>#VALUE!</v>
      </c>
      <c r="AX53" s="2620" t="e">
        <f t="shared" si="13"/>
        <v>#VALUE!</v>
      </c>
      <c r="AY53" s="2620" t="e">
        <f t="shared" si="14"/>
        <v>#VALUE!</v>
      </c>
      <c r="AZ53" s="2620"/>
      <c r="BA53" s="2620" t="e">
        <f t="shared" si="15"/>
        <v>#VALUE!</v>
      </c>
      <c r="BB53" s="2620" t="e">
        <f t="shared" si="16"/>
        <v>#VALUE!</v>
      </c>
      <c r="BC53" s="2620" t="e">
        <f t="shared" si="17"/>
        <v>#VALUE!</v>
      </c>
    </row>
    <row r="54" spans="1:55" s="2459" customFormat="1" ht="19.5" customHeight="1">
      <c r="A54" s="1706">
        <f t="shared" si="0"/>
        <v>0</v>
      </c>
      <c r="B54" s="6301" t="str">
        <f t="shared" si="1"/>
        <v/>
      </c>
      <c r="C54" s="6302"/>
      <c r="D54" s="6302"/>
      <c r="E54" s="6302"/>
      <c r="F54" s="6302"/>
      <c r="G54" s="6302"/>
      <c r="H54" s="6302"/>
      <c r="I54" s="6303"/>
      <c r="J54" s="6304" t="str">
        <f t="shared" si="2"/>
        <v/>
      </c>
      <c r="K54" s="6305"/>
      <c r="L54" s="6305"/>
      <c r="M54" s="6304" t="str">
        <f t="shared" si="3"/>
        <v/>
      </c>
      <c r="N54" s="6305"/>
      <c r="O54" s="6305"/>
      <c r="P54" s="6306"/>
      <c r="Q54" s="4641" t="str">
        <f t="shared" si="4"/>
        <v/>
      </c>
      <c r="R54" s="6307"/>
      <c r="S54" s="6307"/>
      <c r="T54" s="6308"/>
      <c r="U54" s="4641" t="str">
        <f t="shared" si="5"/>
        <v/>
      </c>
      <c r="V54" s="6307"/>
      <c r="W54" s="6307"/>
      <c r="X54" s="6308"/>
      <c r="Y54" s="6300" t="str">
        <f t="shared" si="18"/>
        <v/>
      </c>
      <c r="Z54" s="4756"/>
      <c r="AA54" s="6300" t="str">
        <f t="shared" si="19"/>
        <v/>
      </c>
      <c r="AB54" s="4756"/>
      <c r="AC54" s="6309" t="str">
        <f t="shared" si="7"/>
        <v/>
      </c>
      <c r="AD54" s="6310"/>
      <c r="AE54" s="6310"/>
      <c r="AF54" s="6310"/>
      <c r="AG54" s="2631">
        <f t="shared" si="8"/>
        <v>0</v>
      </c>
      <c r="AH54" s="1644"/>
      <c r="AI54" s="1644" t="e">
        <f t="shared" si="6"/>
        <v>#VALUE!</v>
      </c>
      <c r="AJ54" s="2467"/>
      <c r="AK54" s="2471"/>
      <c r="AL54" s="2471"/>
      <c r="AM54" s="2469"/>
      <c r="AN54" s="2469"/>
      <c r="AO54" s="2470"/>
      <c r="AP54" s="2469"/>
      <c r="AQ54" s="2468"/>
      <c r="AS54" s="2620" t="e">
        <f t="shared" si="9"/>
        <v>#VALUE!</v>
      </c>
      <c r="AT54" s="2620" t="e">
        <f t="shared" si="10"/>
        <v>#VALUE!</v>
      </c>
      <c r="AU54" s="2620" t="e">
        <f t="shared" si="11"/>
        <v>#VALUE!</v>
      </c>
      <c r="AV54" s="2620"/>
      <c r="AW54" s="2620" t="e">
        <f t="shared" si="12"/>
        <v>#VALUE!</v>
      </c>
      <c r="AX54" s="2620" t="e">
        <f t="shared" si="13"/>
        <v>#VALUE!</v>
      </c>
      <c r="AY54" s="2620" t="e">
        <f t="shared" si="14"/>
        <v>#VALUE!</v>
      </c>
      <c r="AZ54" s="2620"/>
      <c r="BA54" s="2620" t="e">
        <f t="shared" si="15"/>
        <v>#VALUE!</v>
      </c>
      <c r="BB54" s="2620" t="e">
        <f t="shared" si="16"/>
        <v>#VALUE!</v>
      </c>
      <c r="BC54" s="2620" t="e">
        <f t="shared" si="17"/>
        <v>#VALUE!</v>
      </c>
    </row>
    <row r="55" spans="1:55" ht="11.25" customHeight="1">
      <c r="A55" s="1706">
        <f>SUM(A35:A54)</f>
        <v>0</v>
      </c>
      <c r="B55" s="6369">
        <v>2</v>
      </c>
      <c r="C55" s="6347" t="s">
        <v>1448</v>
      </c>
      <c r="D55" s="6348"/>
      <c r="E55" s="6348"/>
      <c r="F55" s="6348"/>
      <c r="G55" s="6348"/>
      <c r="H55" s="6348"/>
      <c r="I55" s="6348"/>
      <c r="J55" s="6348"/>
      <c r="K55" s="6348"/>
      <c r="L55" s="6348"/>
      <c r="M55" s="6348"/>
      <c r="N55" s="6348"/>
      <c r="O55" s="6348"/>
      <c r="P55" s="6348"/>
      <c r="Q55" s="6351" t="str">
        <f>IF(A55=0,"",ROUND(SUM(Q35:Q54),0))</f>
        <v/>
      </c>
      <c r="R55" s="6352"/>
      <c r="S55" s="6352"/>
      <c r="T55" s="6353"/>
      <c r="U55" s="6351" t="str">
        <f>IF(A55=0,"",ROUND(SUM(U35:U54),0))</f>
        <v/>
      </c>
      <c r="V55" s="6361"/>
      <c r="W55" s="6361"/>
      <c r="X55" s="6364"/>
      <c r="Y55" s="6371"/>
      <c r="Z55" s="6372"/>
      <c r="AA55" s="6351" t="str">
        <f>IF(A55=0,"",ROUND(SUM(AA35:AA54),0))</f>
        <v/>
      </c>
      <c r="AB55" s="6353"/>
      <c r="AC55" s="6351" t="str">
        <f>IF(A55=0,"",ROUND(SUM(AC35:AC54),0))</f>
        <v/>
      </c>
      <c r="AD55" s="6361"/>
      <c r="AE55" s="6361"/>
      <c r="AF55" s="6361"/>
      <c r="AG55" s="1528"/>
    </row>
    <row r="56" spans="1:55" ht="11.25" customHeight="1">
      <c r="A56" s="1706"/>
      <c r="B56" s="6370"/>
      <c r="C56" s="6349"/>
      <c r="D56" s="6349"/>
      <c r="E56" s="6349"/>
      <c r="F56" s="6349"/>
      <c r="G56" s="6349"/>
      <c r="H56" s="6349"/>
      <c r="I56" s="6349"/>
      <c r="J56" s="6349"/>
      <c r="K56" s="6349"/>
      <c r="L56" s="6349"/>
      <c r="M56" s="6349"/>
      <c r="N56" s="6349"/>
      <c r="O56" s="6349"/>
      <c r="P56" s="6349"/>
      <c r="Q56" s="6354"/>
      <c r="R56" s="6355"/>
      <c r="S56" s="6355"/>
      <c r="T56" s="6356"/>
      <c r="U56" s="6362"/>
      <c r="V56" s="6363"/>
      <c r="W56" s="6363"/>
      <c r="X56" s="6365"/>
      <c r="Y56" s="6373"/>
      <c r="Z56" s="6374"/>
      <c r="AA56" s="6354"/>
      <c r="AB56" s="6356"/>
      <c r="AC56" s="6362"/>
      <c r="AD56" s="6363"/>
      <c r="AE56" s="6363"/>
      <c r="AF56" s="6363"/>
      <c r="AG56" s="1528"/>
    </row>
    <row r="57" spans="1:55" ht="11.25" customHeight="1">
      <c r="A57" s="1706"/>
      <c r="B57" s="6370"/>
      <c r="C57" s="6349"/>
      <c r="D57" s="6349"/>
      <c r="E57" s="6349"/>
      <c r="F57" s="6349"/>
      <c r="G57" s="6349"/>
      <c r="H57" s="6349"/>
      <c r="I57" s="6349"/>
      <c r="J57" s="6349"/>
      <c r="K57" s="6349"/>
      <c r="L57" s="6349"/>
      <c r="M57" s="6349"/>
      <c r="N57" s="6349"/>
      <c r="O57" s="6349"/>
      <c r="P57" s="6349"/>
      <c r="Q57" s="6354"/>
      <c r="R57" s="6355"/>
      <c r="S57" s="6355"/>
      <c r="T57" s="6356"/>
      <c r="U57" s="6362"/>
      <c r="V57" s="6363"/>
      <c r="W57" s="6363"/>
      <c r="X57" s="6365"/>
      <c r="Y57" s="6373"/>
      <c r="Z57" s="6374"/>
      <c r="AA57" s="6354"/>
      <c r="AB57" s="6356"/>
      <c r="AC57" s="6362"/>
      <c r="AD57" s="6363"/>
      <c r="AE57" s="6363"/>
      <c r="AF57" s="6363"/>
      <c r="AG57" s="1528"/>
    </row>
    <row r="58" spans="1:55" ht="11.25" customHeight="1">
      <c r="A58" s="1706"/>
      <c r="B58" s="6370"/>
      <c r="C58" s="6349"/>
      <c r="D58" s="6349"/>
      <c r="E58" s="6349"/>
      <c r="F58" s="6349"/>
      <c r="G58" s="6349"/>
      <c r="H58" s="6349"/>
      <c r="I58" s="6349"/>
      <c r="J58" s="6349"/>
      <c r="K58" s="6349"/>
      <c r="L58" s="6349"/>
      <c r="M58" s="6349"/>
      <c r="N58" s="6349"/>
      <c r="O58" s="6349"/>
      <c r="P58" s="6349"/>
      <c r="Q58" s="6354"/>
      <c r="R58" s="6355"/>
      <c r="S58" s="6355"/>
      <c r="T58" s="6356"/>
      <c r="U58" s="6362"/>
      <c r="V58" s="6363"/>
      <c r="W58" s="6363"/>
      <c r="X58" s="6365"/>
      <c r="Y58" s="6373"/>
      <c r="Z58" s="6374"/>
      <c r="AA58" s="6354"/>
      <c r="AB58" s="6356"/>
      <c r="AC58" s="6362"/>
      <c r="AD58" s="6363"/>
      <c r="AE58" s="6363"/>
      <c r="AF58" s="6363"/>
      <c r="AG58" s="1528"/>
    </row>
    <row r="59" spans="1:55" ht="9" customHeight="1" thickBot="1">
      <c r="A59" s="1706"/>
      <c r="B59" s="6370"/>
      <c r="C59" s="6350"/>
      <c r="D59" s="6350"/>
      <c r="E59" s="6350"/>
      <c r="F59" s="6350"/>
      <c r="G59" s="6350"/>
      <c r="H59" s="6350"/>
      <c r="I59" s="6350"/>
      <c r="J59" s="6350"/>
      <c r="K59" s="6350"/>
      <c r="L59" s="6350"/>
      <c r="M59" s="6350"/>
      <c r="N59" s="6350"/>
      <c r="O59" s="6350"/>
      <c r="P59" s="6350"/>
      <c r="Q59" s="6354"/>
      <c r="R59" s="6355"/>
      <c r="S59" s="6355"/>
      <c r="T59" s="6356"/>
      <c r="U59" s="6366"/>
      <c r="V59" s="6367"/>
      <c r="W59" s="6367"/>
      <c r="X59" s="6368"/>
      <c r="Y59" s="6375"/>
      <c r="Z59" s="6376"/>
      <c r="AA59" s="6377"/>
      <c r="AB59" s="6378"/>
      <c r="AC59" s="6362"/>
      <c r="AD59" s="6363"/>
      <c r="AE59" s="6363"/>
      <c r="AF59" s="6363"/>
      <c r="AG59" s="1528"/>
    </row>
    <row r="60" spans="1:55" ht="25.5" customHeight="1" thickBot="1">
      <c r="A60" s="1706"/>
      <c r="B60" s="6316" t="s">
        <v>1457</v>
      </c>
      <c r="C60" s="6317"/>
      <c r="D60" s="6317"/>
      <c r="E60" s="6317"/>
      <c r="F60" s="6317"/>
      <c r="G60" s="6317"/>
      <c r="H60" s="6317"/>
      <c r="I60" s="6317"/>
      <c r="J60" s="6317"/>
      <c r="K60" s="6317"/>
      <c r="L60" s="6317"/>
      <c r="M60" s="6317"/>
      <c r="N60" s="6317"/>
      <c r="O60" s="6317"/>
      <c r="P60" s="6317"/>
      <c r="Q60" s="6317"/>
      <c r="R60" s="6317"/>
      <c r="S60" s="6317"/>
      <c r="T60" s="6317"/>
      <c r="U60" s="6318"/>
      <c r="V60" s="6318"/>
      <c r="W60" s="6318"/>
      <c r="X60" s="6318"/>
      <c r="Y60" s="6317"/>
      <c r="Z60" s="6317"/>
      <c r="AA60" s="6317"/>
      <c r="AB60" s="6317"/>
      <c r="AC60" s="6317"/>
      <c r="AD60" s="6317"/>
      <c r="AE60" s="6317"/>
      <c r="AF60" s="6317"/>
      <c r="AG60" s="1528"/>
      <c r="AJ60" s="1473"/>
    </row>
    <row r="61" spans="1:55" ht="16.5" thickTop="1">
      <c r="A61" s="1706"/>
      <c r="B61" s="1657" t="s">
        <v>779</v>
      </c>
      <c r="C61" s="35"/>
      <c r="D61" s="35"/>
      <c r="E61" s="35"/>
      <c r="F61" s="35"/>
      <c r="G61" s="35"/>
      <c r="H61" s="35"/>
      <c r="I61" s="35"/>
      <c r="J61" s="35"/>
      <c r="K61" s="35"/>
      <c r="L61" s="35"/>
      <c r="M61" s="35"/>
      <c r="N61" s="35"/>
      <c r="O61" s="35"/>
      <c r="P61" s="35"/>
      <c r="Q61" s="35"/>
      <c r="R61" s="35"/>
      <c r="S61" s="35"/>
      <c r="T61" s="35"/>
      <c r="U61" s="1432" t="s">
        <v>1107</v>
      </c>
      <c r="V61" s="35"/>
      <c r="W61" s="35"/>
      <c r="X61" s="35"/>
      <c r="Y61" s="35"/>
      <c r="Z61" s="35"/>
      <c r="AA61" s="35"/>
      <c r="AB61" s="35"/>
      <c r="AC61" s="35"/>
      <c r="AD61" s="1656" t="s">
        <v>1154</v>
      </c>
      <c r="AE61" s="35"/>
      <c r="AF61" s="1656" t="str">
        <f>"("&amp;TaxYear&amp;")"</f>
        <v>(2016)</v>
      </c>
      <c r="AG61" s="1528"/>
    </row>
    <row r="62" spans="1:55" ht="15.75">
      <c r="A62" s="1706"/>
      <c r="B62" s="48" t="str">
        <f>"Form 8949 ("&amp;TaxYear&amp;")"</f>
        <v>Form 8949 (2016)</v>
      </c>
      <c r="C62" s="63"/>
      <c r="D62" s="63"/>
      <c r="E62" s="63"/>
      <c r="F62" s="63"/>
      <c r="G62" s="63"/>
      <c r="H62" s="63"/>
      <c r="I62" s="63"/>
      <c r="J62" s="63"/>
      <c r="K62" s="63"/>
      <c r="L62" s="63"/>
      <c r="M62" s="63"/>
      <c r="N62" s="63"/>
      <c r="O62" s="63"/>
      <c r="P62" s="63"/>
      <c r="Q62" s="63"/>
      <c r="R62" s="63"/>
      <c r="S62" s="63"/>
      <c r="T62" s="63"/>
      <c r="U62" s="63"/>
      <c r="V62" s="48" t="s">
        <v>1109</v>
      </c>
      <c r="W62" s="63"/>
      <c r="X62" s="63"/>
      <c r="Y62" s="63"/>
      <c r="Z62" s="63"/>
      <c r="AA62" s="63"/>
      <c r="AB62" s="63"/>
      <c r="AC62" s="63"/>
      <c r="AD62" s="63"/>
      <c r="AE62" s="63"/>
      <c r="AF62" s="1648" t="s">
        <v>270</v>
      </c>
      <c r="AG62" s="1528"/>
    </row>
    <row r="63" spans="1:55">
      <c r="A63" s="1706"/>
      <c r="B63" s="56" t="s">
        <v>98</v>
      </c>
      <c r="C63" s="35"/>
      <c r="D63" s="35"/>
      <c r="E63" s="35"/>
      <c r="F63" s="35"/>
      <c r="G63" s="35"/>
      <c r="H63" s="35"/>
      <c r="I63" s="35"/>
      <c r="J63" s="35"/>
      <c r="K63" s="35"/>
      <c r="L63" s="35"/>
      <c r="M63" s="35"/>
      <c r="N63" s="35"/>
      <c r="O63" s="35"/>
      <c r="P63" s="35"/>
      <c r="Q63" s="35"/>
      <c r="R63" s="35"/>
      <c r="S63" s="35"/>
      <c r="T63" s="35"/>
      <c r="U63" s="35"/>
      <c r="V63" s="2466" t="s">
        <v>1458</v>
      </c>
      <c r="W63" s="35"/>
      <c r="X63" s="35"/>
      <c r="Y63" s="35"/>
      <c r="Z63" s="50"/>
      <c r="AA63" s="35"/>
      <c r="AB63" s="35"/>
      <c r="AC63" s="35"/>
      <c r="AD63" s="35"/>
      <c r="AE63" s="35"/>
      <c r="AF63" s="35"/>
      <c r="AG63" s="1528"/>
    </row>
    <row r="64" spans="1:55" ht="16.5" thickBot="1">
      <c r="A64" s="1706"/>
      <c r="B64" s="6342" t="str">
        <f>Names</f>
        <v/>
      </c>
      <c r="C64" s="6343"/>
      <c r="D64" s="6343"/>
      <c r="E64" s="6343"/>
      <c r="F64" s="6343"/>
      <c r="G64" s="6343"/>
      <c r="H64" s="6343"/>
      <c r="I64" s="6343"/>
      <c r="J64" s="6343"/>
      <c r="K64" s="6343"/>
      <c r="L64" s="6343"/>
      <c r="M64" s="6343"/>
      <c r="N64" s="6343"/>
      <c r="O64" s="6343"/>
      <c r="P64" s="6343"/>
      <c r="Q64" s="6343"/>
      <c r="R64" s="6343"/>
      <c r="S64" s="6343"/>
      <c r="T64" s="6343"/>
      <c r="U64" s="6344"/>
      <c r="V64" s="6345">
        <f>SS_Yours</f>
        <v>0</v>
      </c>
      <c r="W64" s="6346"/>
      <c r="X64" s="6346"/>
      <c r="Y64" s="6346"/>
      <c r="Z64" s="6346"/>
      <c r="AA64" s="6346"/>
      <c r="AB64" s="6346"/>
      <c r="AC64" s="6346"/>
      <c r="AD64" s="6346"/>
      <c r="AE64" s="6346"/>
      <c r="AF64" s="6346"/>
      <c r="AG64" s="1528"/>
    </row>
    <row r="65" spans="1:55" ht="12.75" customHeight="1">
      <c r="A65" s="1706"/>
      <c r="B65" s="6415" t="s">
        <v>2055</v>
      </c>
      <c r="C65" s="6416"/>
      <c r="D65" s="6416"/>
      <c r="E65" s="6416"/>
      <c r="F65" s="6416"/>
      <c r="G65" s="6416"/>
      <c r="H65" s="6416"/>
      <c r="I65" s="6416"/>
      <c r="J65" s="6416"/>
      <c r="K65" s="6416"/>
      <c r="L65" s="6416"/>
      <c r="M65" s="6416"/>
      <c r="N65" s="6416"/>
      <c r="O65" s="6416"/>
      <c r="P65" s="6416"/>
      <c r="Q65" s="6416"/>
      <c r="R65" s="6416"/>
      <c r="S65" s="6416"/>
      <c r="T65" s="6416"/>
      <c r="U65" s="6416"/>
      <c r="V65" s="6416"/>
      <c r="W65" s="6416"/>
      <c r="X65" s="6416"/>
      <c r="Y65" s="6416"/>
      <c r="Z65" s="6416"/>
      <c r="AA65" s="6416"/>
      <c r="AB65" s="6416"/>
      <c r="AC65" s="6416"/>
      <c r="AD65" s="6416"/>
      <c r="AE65" s="6416"/>
      <c r="AF65" s="6416"/>
      <c r="AG65" s="1528"/>
    </row>
    <row r="66" spans="1:55" ht="12.75" customHeight="1">
      <c r="A66" s="1706"/>
      <c r="B66" s="6417"/>
      <c r="C66" s="6417"/>
      <c r="D66" s="6417"/>
      <c r="E66" s="6417"/>
      <c r="F66" s="6417"/>
      <c r="G66" s="6417"/>
      <c r="H66" s="6417"/>
      <c r="I66" s="6417"/>
      <c r="J66" s="6417"/>
      <c r="K66" s="6417"/>
      <c r="L66" s="6417"/>
      <c r="M66" s="6417"/>
      <c r="N66" s="6417"/>
      <c r="O66" s="6417"/>
      <c r="P66" s="6417"/>
      <c r="Q66" s="6417"/>
      <c r="R66" s="6417"/>
      <c r="S66" s="6417"/>
      <c r="T66" s="6417"/>
      <c r="U66" s="6417"/>
      <c r="V66" s="6417"/>
      <c r="W66" s="6417"/>
      <c r="X66" s="6417"/>
      <c r="Y66" s="6417"/>
      <c r="Z66" s="6417"/>
      <c r="AA66" s="6417"/>
      <c r="AB66" s="6417"/>
      <c r="AC66" s="6417"/>
      <c r="AD66" s="6417"/>
      <c r="AE66" s="6417"/>
      <c r="AF66" s="6417"/>
      <c r="AG66" s="1528"/>
    </row>
    <row r="67" spans="1:55" ht="12.75" customHeight="1">
      <c r="A67" s="1706"/>
      <c r="B67" s="6418"/>
      <c r="C67" s="6418"/>
      <c r="D67" s="6418"/>
      <c r="E67" s="6418"/>
      <c r="F67" s="6418"/>
      <c r="G67" s="6418"/>
      <c r="H67" s="6418"/>
      <c r="I67" s="6418"/>
      <c r="J67" s="6418"/>
      <c r="K67" s="6418"/>
      <c r="L67" s="6418"/>
      <c r="M67" s="6418"/>
      <c r="N67" s="6418"/>
      <c r="O67" s="6418"/>
      <c r="P67" s="6418"/>
      <c r="Q67" s="6418"/>
      <c r="R67" s="6418"/>
      <c r="S67" s="6418"/>
      <c r="T67" s="6418"/>
      <c r="U67" s="6418"/>
      <c r="V67" s="6418"/>
      <c r="W67" s="6418"/>
      <c r="X67" s="6418"/>
      <c r="Y67" s="6418"/>
      <c r="Z67" s="6418"/>
      <c r="AA67" s="6418"/>
      <c r="AB67" s="6418"/>
      <c r="AC67" s="6418"/>
      <c r="AD67" s="6418"/>
      <c r="AE67" s="6418"/>
      <c r="AF67" s="6418"/>
      <c r="AG67" s="1528"/>
    </row>
    <row r="68" spans="1:55" ht="3.75" customHeight="1">
      <c r="A68" s="1706"/>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1528"/>
    </row>
    <row r="69" spans="1:55" ht="15">
      <c r="A69" s="1706"/>
      <c r="B69" s="6341" t="s">
        <v>194</v>
      </c>
      <c r="C69" s="4675"/>
      <c r="D69" s="35"/>
      <c r="E69" s="1642" t="s">
        <v>1437</v>
      </c>
      <c r="F69" s="35"/>
      <c r="G69" s="35"/>
      <c r="H69" s="35"/>
      <c r="I69" s="35"/>
      <c r="J69" s="35"/>
      <c r="K69" s="35"/>
      <c r="L69" s="35"/>
      <c r="M69" s="35"/>
      <c r="N69" s="35"/>
      <c r="O69" s="35"/>
      <c r="P69" s="1642"/>
      <c r="Q69" s="35"/>
      <c r="R69" s="35"/>
      <c r="S69" s="35"/>
      <c r="T69" s="580" t="s">
        <v>2056</v>
      </c>
      <c r="U69" s="35"/>
      <c r="V69" s="35"/>
      <c r="W69" s="35"/>
      <c r="X69" s="35"/>
      <c r="Y69" s="35" t="s">
        <v>1438</v>
      </c>
      <c r="Z69" s="35"/>
      <c r="AA69" s="35"/>
      <c r="AB69" s="35"/>
      <c r="AC69" s="35"/>
      <c r="AD69" s="35"/>
      <c r="AE69" s="35"/>
      <c r="AF69" s="35"/>
      <c r="AG69" s="2631" t="b">
        <f>IF(SUM(AG88:AG115)&gt;0,TRUE,FALSE)</f>
        <v>0</v>
      </c>
    </row>
    <row r="70" spans="1:55" ht="11.25" customHeight="1">
      <c r="A70" s="1706"/>
      <c r="B70" s="44"/>
      <c r="C70" s="44"/>
      <c r="D70" s="44"/>
      <c r="E70" s="178" t="s">
        <v>1433</v>
      </c>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1528"/>
    </row>
    <row r="71" spans="1:55" ht="11.25" customHeight="1">
      <c r="A71" s="1706"/>
      <c r="B71" s="35"/>
      <c r="C71" s="35"/>
      <c r="D71" s="35"/>
      <c r="E71" s="2809" t="s">
        <v>2515</v>
      </c>
      <c r="F71" s="35"/>
      <c r="G71" s="35"/>
      <c r="H71" s="35"/>
      <c r="I71" s="35"/>
      <c r="J71" s="35"/>
      <c r="K71" s="35"/>
      <c r="L71" s="35"/>
      <c r="M71" s="35"/>
      <c r="N71" s="35"/>
      <c r="O71" s="35"/>
      <c r="P71" s="35"/>
      <c r="Q71" s="35"/>
      <c r="R71" s="35"/>
      <c r="S71" s="35"/>
      <c r="T71" s="580"/>
      <c r="U71" s="35"/>
      <c r="V71" s="35"/>
      <c r="W71" s="35"/>
      <c r="X71" s="1464"/>
      <c r="Y71" s="35"/>
      <c r="Z71" s="35"/>
      <c r="AA71" s="35"/>
      <c r="AB71" s="35"/>
      <c r="AC71" s="35"/>
      <c r="AD71" s="35"/>
      <c r="AE71" s="35"/>
      <c r="AF71" s="35"/>
      <c r="AG71" s="1706"/>
      <c r="AH71" s="2804"/>
      <c r="AI71" s="2804"/>
    </row>
    <row r="72" spans="1:55" ht="11.25" customHeight="1">
      <c r="A72" s="1706"/>
      <c r="B72" s="35"/>
      <c r="C72" s="35"/>
      <c r="D72" s="35"/>
      <c r="E72" s="2805" t="s">
        <v>1719</v>
      </c>
      <c r="F72" s="35"/>
      <c r="G72" s="35"/>
      <c r="H72" s="35"/>
      <c r="I72" s="35"/>
      <c r="J72" s="35"/>
      <c r="K72" s="35"/>
      <c r="L72" s="35"/>
      <c r="M72" s="35"/>
      <c r="N72" s="35"/>
      <c r="O72" s="35"/>
      <c r="P72" s="35"/>
      <c r="Q72" s="35"/>
      <c r="R72" s="35"/>
      <c r="S72" s="35"/>
      <c r="T72" s="580"/>
      <c r="U72" s="35"/>
      <c r="V72" s="35"/>
      <c r="W72" s="35"/>
      <c r="X72" s="1464"/>
      <c r="Y72" s="35"/>
      <c r="Z72" s="35"/>
      <c r="AA72" s="35"/>
      <c r="AB72" s="35"/>
      <c r="AC72" s="35"/>
      <c r="AD72" s="35"/>
      <c r="AE72" s="35"/>
      <c r="AF72" s="35"/>
      <c r="AG72" s="1706"/>
      <c r="AH72" s="2804"/>
      <c r="AI72" s="2804"/>
    </row>
    <row r="73" spans="1:55" ht="11.25" customHeight="1">
      <c r="A73" s="1706"/>
      <c r="B73" s="63"/>
      <c r="C73" s="63"/>
      <c r="D73" s="63"/>
      <c r="E73" s="2464" t="s">
        <v>1720</v>
      </c>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1706"/>
      <c r="AH73" s="2804"/>
      <c r="AI73" s="2804"/>
    </row>
    <row r="74" spans="1:55">
      <c r="A74" s="1706"/>
      <c r="B74" s="364" t="s">
        <v>1721</v>
      </c>
      <c r="C74" s="360"/>
      <c r="D74" s="360"/>
      <c r="E74" s="360"/>
      <c r="F74" s="360"/>
      <c r="G74" s="360"/>
      <c r="H74" s="360"/>
      <c r="I74" s="360"/>
      <c r="J74" s="360"/>
      <c r="K74" s="364" t="s">
        <v>1442</v>
      </c>
      <c r="L74" s="360"/>
      <c r="M74" s="360"/>
      <c r="N74" s="360"/>
      <c r="O74" s="360"/>
      <c r="P74" s="360" t="s">
        <v>1445</v>
      </c>
      <c r="Q74" s="360"/>
      <c r="R74" s="360"/>
      <c r="S74" s="360"/>
      <c r="T74" s="360"/>
      <c r="U74" s="360"/>
      <c r="V74" s="360"/>
      <c r="W74" s="360"/>
      <c r="X74" s="360"/>
      <c r="Y74" s="360"/>
      <c r="Z74" s="360"/>
      <c r="AA74" s="360"/>
      <c r="AB74" s="360"/>
      <c r="AC74" s="360"/>
      <c r="AD74" s="360"/>
      <c r="AE74" s="360"/>
      <c r="AF74" s="360"/>
      <c r="AG74" s="1528"/>
    </row>
    <row r="75" spans="1:55">
      <c r="A75" s="1706"/>
      <c r="B75" s="1464" t="s">
        <v>1446</v>
      </c>
      <c r="C75" s="360"/>
      <c r="D75" s="360"/>
      <c r="E75" s="360"/>
      <c r="F75" s="360"/>
      <c r="G75" s="360"/>
      <c r="H75" s="360"/>
      <c r="I75" s="360"/>
      <c r="J75" s="360"/>
      <c r="K75" s="360"/>
      <c r="L75" s="360"/>
      <c r="M75" s="360"/>
      <c r="N75" s="360"/>
      <c r="O75" s="360"/>
      <c r="P75" s="360"/>
      <c r="Q75" s="360"/>
      <c r="R75" s="360"/>
      <c r="S75" s="360"/>
      <c r="T75" s="360"/>
      <c r="U75" s="360"/>
      <c r="V75" s="360"/>
      <c r="W75" s="360"/>
      <c r="X75" s="360"/>
      <c r="Y75" s="360"/>
      <c r="Z75" s="360"/>
      <c r="AA75" s="360"/>
      <c r="AB75" s="360"/>
      <c r="AC75" s="360"/>
      <c r="AD75" s="360"/>
      <c r="AE75" s="360"/>
      <c r="AF75" s="360"/>
      <c r="AG75" s="1528"/>
      <c r="BA75" s="6419" t="s">
        <v>1573</v>
      </c>
      <c r="BB75" s="5423"/>
      <c r="BC75" s="6420"/>
    </row>
    <row r="76" spans="1:55">
      <c r="A76" s="1706"/>
      <c r="B76" s="1464" t="s">
        <v>1447</v>
      </c>
      <c r="C76" s="360"/>
      <c r="D76" s="360"/>
      <c r="E76" s="360"/>
      <c r="F76" s="360"/>
      <c r="G76" s="360"/>
      <c r="H76" s="360"/>
      <c r="I76" s="360"/>
      <c r="J76" s="360"/>
      <c r="K76" s="360"/>
      <c r="L76" s="360"/>
      <c r="M76" s="360"/>
      <c r="N76" s="360"/>
      <c r="O76" s="360"/>
      <c r="P76" s="360"/>
      <c r="Q76" s="360"/>
      <c r="R76" s="360"/>
      <c r="S76" s="360"/>
      <c r="T76" s="360"/>
      <c r="U76" s="360"/>
      <c r="V76" s="360"/>
      <c r="W76" s="360"/>
      <c r="X76" s="360"/>
      <c r="Y76" s="360"/>
      <c r="Z76" s="360"/>
      <c r="AA76" s="360"/>
      <c r="AB76" s="360"/>
      <c r="AC76" s="360"/>
      <c r="AD76" s="360"/>
      <c r="AE76" s="360"/>
      <c r="AF76" s="360"/>
      <c r="AG76" s="1528"/>
      <c r="BA76" s="6421" t="s">
        <v>1572</v>
      </c>
      <c r="BB76" s="6421" t="s">
        <v>1562</v>
      </c>
      <c r="BC76" s="6421" t="s">
        <v>1563</v>
      </c>
    </row>
    <row r="77" spans="1:55" ht="4.5" customHeight="1" thickBot="1">
      <c r="A77" s="1706"/>
      <c r="B77" s="360"/>
      <c r="C77" s="360"/>
      <c r="D77" s="360"/>
      <c r="E77" s="360"/>
      <c r="F77" s="360"/>
      <c r="G77" s="360"/>
      <c r="H77" s="360"/>
      <c r="I77" s="360"/>
      <c r="J77" s="360"/>
      <c r="K77" s="360"/>
      <c r="L77" s="360"/>
      <c r="M77" s="360"/>
      <c r="N77" s="360"/>
      <c r="O77" s="360"/>
      <c r="P77" s="360"/>
      <c r="Q77" s="360"/>
      <c r="R77" s="360"/>
      <c r="S77" s="360"/>
      <c r="T77" s="360"/>
      <c r="U77" s="360"/>
      <c r="V77" s="360"/>
      <c r="W77" s="360"/>
      <c r="X77" s="360"/>
      <c r="Y77" s="360"/>
      <c r="Z77" s="360"/>
      <c r="AA77" s="360"/>
      <c r="AB77" s="360"/>
      <c r="AC77" s="360"/>
      <c r="AD77" s="360"/>
      <c r="AE77" s="360"/>
      <c r="AF77" s="360"/>
      <c r="AG77" s="1528"/>
      <c r="BA77" s="6422"/>
      <c r="BB77" s="6422"/>
      <c r="BC77" s="6422"/>
    </row>
    <row r="78" spans="1:55" ht="12" customHeight="1" thickBot="1">
      <c r="A78" s="1706"/>
      <c r="B78" s="2574">
        <f>IF(C78&lt;&gt;"",1,0)</f>
        <v>0</v>
      </c>
      <c r="C78" s="2573"/>
      <c r="D78" s="688" t="s">
        <v>3216</v>
      </c>
      <c r="E78" s="360"/>
      <c r="F78" s="360"/>
      <c r="G78" s="360"/>
      <c r="H78" s="360"/>
      <c r="I78" s="360"/>
      <c r="J78" s="360"/>
      <c r="K78" s="360"/>
      <c r="L78" s="360"/>
      <c r="M78" s="360"/>
      <c r="N78" s="360"/>
      <c r="O78" s="360"/>
      <c r="P78" s="360"/>
      <c r="Q78" s="360"/>
      <c r="R78" s="360"/>
      <c r="S78" s="360"/>
      <c r="T78" s="360"/>
      <c r="U78" s="360"/>
      <c r="V78" s="360"/>
      <c r="W78" s="360"/>
      <c r="X78" s="360"/>
      <c r="Y78" s="360"/>
      <c r="Z78" s="360"/>
      <c r="AA78" s="360"/>
      <c r="AB78" s="360"/>
      <c r="AC78" s="360"/>
      <c r="AD78" s="360"/>
      <c r="AE78" s="360"/>
      <c r="AF78" s="360"/>
      <c r="AG78" s="1528"/>
      <c r="AJ78" s="6423"/>
      <c r="AK78" s="6424"/>
      <c r="AL78" s="6424"/>
      <c r="AM78" s="6424"/>
      <c r="AN78" s="6424"/>
      <c r="AO78" s="6424"/>
      <c r="AP78" s="6424"/>
      <c r="AQ78" s="6424"/>
      <c r="BA78" s="6422"/>
      <c r="BB78" s="6422"/>
      <c r="BC78" s="6422"/>
    </row>
    <row r="79" spans="1:55" ht="4.5" customHeight="1" thickBot="1">
      <c r="A79" s="1706"/>
      <c r="B79" s="2465"/>
      <c r="C79" s="360"/>
      <c r="D79" s="360"/>
      <c r="E79" s="360"/>
      <c r="F79" s="360"/>
      <c r="G79" s="360"/>
      <c r="H79" s="360"/>
      <c r="I79" s="360"/>
      <c r="J79" s="360"/>
      <c r="K79" s="360"/>
      <c r="L79" s="360"/>
      <c r="M79" s="360"/>
      <c r="N79" s="360"/>
      <c r="O79" s="360"/>
      <c r="P79" s="360"/>
      <c r="Q79" s="360"/>
      <c r="R79" s="360"/>
      <c r="S79" s="360"/>
      <c r="T79" s="360"/>
      <c r="U79" s="360"/>
      <c r="V79" s="360"/>
      <c r="W79" s="360"/>
      <c r="X79" s="360"/>
      <c r="Y79" s="360"/>
      <c r="Z79" s="360"/>
      <c r="AA79" s="360"/>
      <c r="AB79" s="360"/>
      <c r="AC79" s="360"/>
      <c r="AD79" s="360"/>
      <c r="AE79" s="360"/>
      <c r="AF79" s="360"/>
      <c r="AG79" s="1528"/>
      <c r="BA79" s="6422"/>
      <c r="BB79" s="6422"/>
      <c r="BC79" s="6422"/>
    </row>
    <row r="80" spans="1:55" ht="11.25" customHeight="1" thickBot="1">
      <c r="A80" s="1706"/>
      <c r="B80" s="2574">
        <f>IF(C80&lt;&gt;"",1,0)</f>
        <v>0</v>
      </c>
      <c r="C80" s="2573"/>
      <c r="D80" s="688" t="s">
        <v>3217</v>
      </c>
      <c r="E80" s="360"/>
      <c r="F80" s="360"/>
      <c r="G80" s="360"/>
      <c r="H80" s="360"/>
      <c r="I80" s="360"/>
      <c r="J80" s="360"/>
      <c r="K80" s="360"/>
      <c r="L80" s="360"/>
      <c r="M80" s="360"/>
      <c r="N80" s="360"/>
      <c r="O80" s="360"/>
      <c r="P80" s="360"/>
      <c r="Q80" s="360"/>
      <c r="R80" s="360"/>
      <c r="S80" s="360"/>
      <c r="T80" s="360"/>
      <c r="U80" s="360"/>
      <c r="V80" s="360"/>
      <c r="W80" s="360"/>
      <c r="X80" s="360"/>
      <c r="Y80" s="360"/>
      <c r="Z80" s="360"/>
      <c r="AA80" s="360"/>
      <c r="AB80" s="360"/>
      <c r="AC80" s="360"/>
      <c r="AD80" s="360"/>
      <c r="AE80" s="360"/>
      <c r="AF80" s="360"/>
      <c r="AG80" s="1528"/>
      <c r="AJ80" s="6423"/>
      <c r="AK80" s="6424"/>
      <c r="AL80" s="6424"/>
      <c r="AM80" s="6424"/>
      <c r="AN80" s="6424"/>
      <c r="AO80" s="6424"/>
      <c r="AP80" s="6424"/>
      <c r="AQ80" s="6424"/>
      <c r="BA80" s="6422"/>
      <c r="BB80" s="6422"/>
      <c r="BC80" s="6422"/>
    </row>
    <row r="81" spans="1:55" ht="4.5" customHeight="1" thickBot="1">
      <c r="A81" s="1706"/>
      <c r="B81" s="2465"/>
      <c r="C81" s="360"/>
      <c r="D81" s="360"/>
      <c r="E81" s="360"/>
      <c r="F81" s="360"/>
      <c r="G81" s="360"/>
      <c r="H81" s="360"/>
      <c r="I81" s="360"/>
      <c r="J81" s="360"/>
      <c r="K81" s="360"/>
      <c r="L81" s="360"/>
      <c r="M81" s="360"/>
      <c r="N81" s="360"/>
      <c r="O81" s="360"/>
      <c r="P81" s="360"/>
      <c r="Q81" s="360"/>
      <c r="R81" s="360"/>
      <c r="S81" s="360"/>
      <c r="T81" s="360"/>
      <c r="U81" s="360"/>
      <c r="V81" s="360"/>
      <c r="W81" s="360"/>
      <c r="X81" s="360"/>
      <c r="Y81" s="360"/>
      <c r="Z81" s="360"/>
      <c r="AA81" s="360"/>
      <c r="AB81" s="360"/>
      <c r="AC81" s="360"/>
      <c r="AD81" s="360"/>
      <c r="AE81" s="360"/>
      <c r="AF81" s="360"/>
      <c r="AG81" s="1528"/>
      <c r="BA81" s="6422"/>
      <c r="BB81" s="6422"/>
      <c r="BC81" s="6422"/>
    </row>
    <row r="82" spans="1:55" ht="12" customHeight="1" thickBot="1">
      <c r="A82" s="1706">
        <f>SUM(B78:B82)</f>
        <v>0</v>
      </c>
      <c r="B82" s="2574">
        <f>IF(C82&lt;&gt;"",1,0)</f>
        <v>0</v>
      </c>
      <c r="C82" s="2573"/>
      <c r="D82" s="688" t="s">
        <v>3218</v>
      </c>
      <c r="E82" s="360"/>
      <c r="F82" s="360"/>
      <c r="G82" s="360"/>
      <c r="H82" s="360"/>
      <c r="I82" s="360"/>
      <c r="J82" s="360"/>
      <c r="K82" s="360"/>
      <c r="L82" s="360"/>
      <c r="M82" s="360"/>
      <c r="N82" s="360"/>
      <c r="O82" s="360"/>
      <c r="P82" s="360"/>
      <c r="Q82" s="360"/>
      <c r="R82" s="6407" t="str">
        <f>IF(SpaceUsed_8949B_LT,"ERROR: DO NOT use the space bar to uncheck a box. Use the 'Delete' key.",IF(A82&gt;1,"Check only ONE box.",IF($A$31&gt;0,"",IF(A82&lt;1,"Check ONE box.",""))))</f>
        <v>Check ONE box.</v>
      </c>
      <c r="S82" s="6408"/>
      <c r="T82" s="6408"/>
      <c r="U82" s="6408"/>
      <c r="V82" s="6408"/>
      <c r="W82" s="6408"/>
      <c r="X82" s="6408"/>
      <c r="Y82" s="6408"/>
      <c r="Z82" s="6408"/>
      <c r="AA82" s="6408"/>
      <c r="AB82" s="6408"/>
      <c r="AC82" s="6408"/>
      <c r="AD82" s="6408"/>
      <c r="AE82" s="6408"/>
      <c r="AF82" s="360"/>
      <c r="AG82" s="1528"/>
      <c r="AH82" s="2901" t="b">
        <f>IF(OR(F8949BLBOXA=CHAR(32),F8949BLBOXB=CHAR(32),F8949BLBOXC=CHAR(32)),TRUE,FALSE)</f>
        <v>0</v>
      </c>
      <c r="AJ82" s="6423" t="s">
        <v>1400</v>
      </c>
      <c r="AK82" s="6424"/>
      <c r="AL82" s="6424"/>
      <c r="AM82" s="6424"/>
      <c r="AN82" s="6424"/>
      <c r="AO82" s="6424"/>
      <c r="AP82" s="6424"/>
      <c r="AQ82" s="6424"/>
      <c r="BA82" s="6422"/>
      <c r="BB82" s="6422"/>
      <c r="BC82" s="6422"/>
    </row>
    <row r="83" spans="1:55" ht="3.75" customHeight="1">
      <c r="A83" s="1706"/>
      <c r="B83" s="361"/>
      <c r="C83" s="1647"/>
      <c r="D83" s="361"/>
      <c r="E83" s="361"/>
      <c r="F83" s="361"/>
      <c r="G83" s="361"/>
      <c r="H83" s="361"/>
      <c r="I83" s="361"/>
      <c r="J83" s="361"/>
      <c r="K83" s="361"/>
      <c r="L83" s="361"/>
      <c r="M83" s="361"/>
      <c r="N83" s="1647"/>
      <c r="O83" s="361"/>
      <c r="P83" s="361"/>
      <c r="Q83" s="361"/>
      <c r="R83" s="361"/>
      <c r="S83" s="361"/>
      <c r="T83" s="361"/>
      <c r="U83" s="361"/>
      <c r="V83" s="361"/>
      <c r="W83" s="361"/>
      <c r="X83" s="361"/>
      <c r="Y83" s="1647"/>
      <c r="Z83" s="361"/>
      <c r="AA83" s="361"/>
      <c r="AB83" s="361"/>
      <c r="AC83" s="361"/>
      <c r="AD83" s="361"/>
      <c r="AE83" s="361"/>
      <c r="AF83" s="361"/>
      <c r="AG83" s="1528"/>
      <c r="BA83" s="6422"/>
      <c r="BB83" s="6422"/>
      <c r="BC83" s="6422"/>
    </row>
    <row r="84" spans="1:55" ht="21" customHeight="1">
      <c r="A84" s="1706"/>
      <c r="B84" s="6319">
        <v>1</v>
      </c>
      <c r="C84" s="6322" t="s">
        <v>1106</v>
      </c>
      <c r="D84" s="6323"/>
      <c r="E84" s="6323"/>
      <c r="F84" s="6323"/>
      <c r="G84" s="6323"/>
      <c r="H84" s="6323"/>
      <c r="I84" s="6324"/>
      <c r="J84" s="6331" t="s">
        <v>1449</v>
      </c>
      <c r="K84" s="6332"/>
      <c r="L84" s="6333"/>
      <c r="M84" s="6331" t="s">
        <v>1450</v>
      </c>
      <c r="N84" s="6332"/>
      <c r="O84" s="6332"/>
      <c r="P84" s="6333"/>
      <c r="Q84" s="6331" t="s">
        <v>1451</v>
      </c>
      <c r="R84" s="6332"/>
      <c r="S84" s="6332"/>
      <c r="T84" s="6333"/>
      <c r="U84" s="6357" t="s">
        <v>1456</v>
      </c>
      <c r="V84" s="5273"/>
      <c r="W84" s="5273"/>
      <c r="X84" s="6312"/>
      <c r="Y84" s="6379" t="s">
        <v>1452</v>
      </c>
      <c r="Z84" s="6380"/>
      <c r="AA84" s="6380"/>
      <c r="AB84" s="6381"/>
      <c r="AC84" s="6357" t="s">
        <v>1455</v>
      </c>
      <c r="AD84" s="5273"/>
      <c r="AE84" s="5273"/>
      <c r="AF84" s="5273"/>
      <c r="AG84" s="1528"/>
      <c r="AJ84" s="6409" t="s">
        <v>1399</v>
      </c>
      <c r="AK84" s="6409" t="s">
        <v>1459</v>
      </c>
      <c r="AL84" s="6409" t="s">
        <v>1460</v>
      </c>
      <c r="AM84" s="6409" t="s">
        <v>1461</v>
      </c>
      <c r="AN84" s="6411" t="s">
        <v>1462</v>
      </c>
      <c r="AO84" s="6379" t="s">
        <v>1452</v>
      </c>
      <c r="AP84" s="5285"/>
      <c r="AQ84" s="6409" t="s">
        <v>1464</v>
      </c>
      <c r="BA84" s="6422"/>
      <c r="BB84" s="6422"/>
      <c r="BC84" s="6422"/>
    </row>
    <row r="85" spans="1:55" ht="21" customHeight="1">
      <c r="A85" s="1706"/>
      <c r="B85" s="4708"/>
      <c r="C85" s="6325"/>
      <c r="D85" s="6326"/>
      <c r="E85" s="6326"/>
      <c r="F85" s="6326"/>
      <c r="G85" s="6326"/>
      <c r="H85" s="6326"/>
      <c r="I85" s="6327"/>
      <c r="J85" s="6334"/>
      <c r="K85" s="6335"/>
      <c r="L85" s="6336"/>
      <c r="M85" s="6334"/>
      <c r="N85" s="6335"/>
      <c r="O85" s="6335"/>
      <c r="P85" s="6336"/>
      <c r="Q85" s="6334"/>
      <c r="R85" s="6335"/>
      <c r="S85" s="6335"/>
      <c r="T85" s="6336"/>
      <c r="U85" s="6358"/>
      <c r="V85" s="6359"/>
      <c r="W85" s="6359"/>
      <c r="X85" s="6360"/>
      <c r="Y85" s="6382"/>
      <c r="Z85" s="6383"/>
      <c r="AA85" s="6383"/>
      <c r="AB85" s="6384"/>
      <c r="AC85" s="6358"/>
      <c r="AD85" s="6359"/>
      <c r="AE85" s="6359"/>
      <c r="AF85" s="6359"/>
      <c r="AG85" s="1528"/>
      <c r="AJ85" s="6409"/>
      <c r="AK85" s="6409"/>
      <c r="AL85" s="6409"/>
      <c r="AM85" s="6409"/>
      <c r="AN85" s="6411"/>
      <c r="AO85" s="5430"/>
      <c r="AP85" s="5291"/>
      <c r="AQ85" s="6409"/>
      <c r="BA85" s="6422"/>
      <c r="BB85" s="6422"/>
      <c r="BC85" s="6422"/>
    </row>
    <row r="86" spans="1:55" ht="18" customHeight="1">
      <c r="A86" s="1706"/>
      <c r="B86" s="6320"/>
      <c r="C86" s="6328"/>
      <c r="D86" s="6328"/>
      <c r="E86" s="6328"/>
      <c r="F86" s="6328"/>
      <c r="G86" s="6328"/>
      <c r="H86" s="6328"/>
      <c r="I86" s="6327"/>
      <c r="J86" s="6337"/>
      <c r="K86" s="6335"/>
      <c r="L86" s="6336"/>
      <c r="M86" s="6337"/>
      <c r="N86" s="6335"/>
      <c r="O86" s="6335"/>
      <c r="P86" s="6336"/>
      <c r="Q86" s="6337"/>
      <c r="R86" s="6335"/>
      <c r="S86" s="6335"/>
      <c r="T86" s="6336"/>
      <c r="U86" s="5274"/>
      <c r="V86" s="6359"/>
      <c r="W86" s="6359"/>
      <c r="X86" s="6360"/>
      <c r="Y86" s="6311" t="s">
        <v>1453</v>
      </c>
      <c r="Z86" s="6312"/>
      <c r="AA86" s="6314" t="s">
        <v>1454</v>
      </c>
      <c r="AB86" s="6315"/>
      <c r="AC86" s="5274"/>
      <c r="AD86" s="6359"/>
      <c r="AE86" s="6359"/>
      <c r="AF86" s="6359"/>
      <c r="AG86" s="1528"/>
      <c r="AJ86" s="6410"/>
      <c r="AK86" s="6410"/>
      <c r="AL86" s="6410"/>
      <c r="AM86" s="6410"/>
      <c r="AN86" s="6412"/>
      <c r="AO86" s="6414" t="s">
        <v>1463</v>
      </c>
      <c r="AP86" s="6413" t="s">
        <v>1454</v>
      </c>
      <c r="AQ86" s="6410"/>
      <c r="BA86" s="6422"/>
      <c r="BB86" s="6422"/>
      <c r="BC86" s="6422"/>
    </row>
    <row r="87" spans="1:55" ht="18" customHeight="1">
      <c r="A87" s="1706"/>
      <c r="B87" s="6321"/>
      <c r="C87" s="6329"/>
      <c r="D87" s="6329"/>
      <c r="E87" s="6329"/>
      <c r="F87" s="6329"/>
      <c r="G87" s="6329"/>
      <c r="H87" s="6329"/>
      <c r="I87" s="6330"/>
      <c r="J87" s="6338"/>
      <c r="K87" s="6339"/>
      <c r="L87" s="6340"/>
      <c r="M87" s="6338"/>
      <c r="N87" s="6339"/>
      <c r="O87" s="6339"/>
      <c r="P87" s="6340"/>
      <c r="Q87" s="6338"/>
      <c r="R87" s="6339"/>
      <c r="S87" s="6339"/>
      <c r="T87" s="6340"/>
      <c r="U87" s="5276"/>
      <c r="V87" s="5277"/>
      <c r="W87" s="5277"/>
      <c r="X87" s="6313"/>
      <c r="Y87" s="5276"/>
      <c r="Z87" s="6313"/>
      <c r="AA87" s="5411"/>
      <c r="AB87" s="5342"/>
      <c r="AC87" s="5276"/>
      <c r="AD87" s="5277"/>
      <c r="AE87" s="5277"/>
      <c r="AF87" s="5277"/>
      <c r="AG87" s="1528"/>
      <c r="AJ87" s="6410"/>
      <c r="AK87" s="6410"/>
      <c r="AL87" s="6410"/>
      <c r="AM87" s="6410"/>
      <c r="AN87" s="6412"/>
      <c r="AO87" s="5244"/>
      <c r="AP87" s="5244"/>
      <c r="AQ87" s="6410"/>
      <c r="BA87" s="6422"/>
      <c r="BB87" s="6422"/>
      <c r="BC87" s="6422"/>
    </row>
    <row r="88" spans="1:55" s="2459" customFormat="1" ht="19.5" customHeight="1">
      <c r="A88" s="1706">
        <f>IF(OR(U88&lt;&gt;"",Y88&lt;&gt;""),1,0)</f>
        <v>0</v>
      </c>
      <c r="B88" s="6301" t="str">
        <f t="shared" ref="B88:B115" si="20">IF(AJ88="","",AJ88)</f>
        <v/>
      </c>
      <c r="C88" s="6302"/>
      <c r="D88" s="6302"/>
      <c r="E88" s="6302"/>
      <c r="F88" s="6302"/>
      <c r="G88" s="6302"/>
      <c r="H88" s="6302"/>
      <c r="I88" s="6303"/>
      <c r="J88" s="6304" t="str">
        <f t="shared" ref="J88:J115" si="21">IF(AK88="","",AK88)</f>
        <v/>
      </c>
      <c r="K88" s="6305"/>
      <c r="L88" s="6305"/>
      <c r="M88" s="6304" t="str">
        <f t="shared" ref="M88:M115" si="22">IF(AL88="","",AL88)</f>
        <v/>
      </c>
      <c r="N88" s="6305"/>
      <c r="O88" s="6305"/>
      <c r="P88" s="6306"/>
      <c r="Q88" s="4641" t="str">
        <f t="shared" ref="Q88:Q115" si="23">IF(AM88="","",AM88)</f>
        <v/>
      </c>
      <c r="R88" s="6307"/>
      <c r="S88" s="6307"/>
      <c r="T88" s="6308"/>
      <c r="U88" s="4641" t="str">
        <f t="shared" ref="U88:U115" si="24">IF(AN88="","",AN88)</f>
        <v/>
      </c>
      <c r="V88" s="6307"/>
      <c r="W88" s="6307"/>
      <c r="X88" s="6308"/>
      <c r="Y88" s="6300" t="str">
        <f>IF(AO88&lt;&gt;"",AO88,"")</f>
        <v/>
      </c>
      <c r="Z88" s="4756"/>
      <c r="AA88" s="6300" t="str">
        <f>IF(AP88="","",AP88)</f>
        <v/>
      </c>
      <c r="AB88" s="4756"/>
      <c r="AC88" s="6309" t="str">
        <f>IF(AQ88&lt;&gt;"",AQ88,IF(AND(Q88&lt;&gt;"",U88&lt;&gt;""),SUM(Q88,-U88,AA88),""))</f>
        <v/>
      </c>
      <c r="AD88" s="6310"/>
      <c r="AE88" s="6310"/>
      <c r="AF88" s="6310"/>
      <c r="AG88" s="2631">
        <f>IF(OR(J88="",M88=""),0,IF(OR(BA88,BB88,BC88),1,0))</f>
        <v>0</v>
      </c>
      <c r="AH88" s="1644"/>
      <c r="AI88" s="1644" t="e">
        <f>M88-J88</f>
        <v>#VALUE!</v>
      </c>
      <c r="AJ88" s="2467"/>
      <c r="AK88" s="2471"/>
      <c r="AL88" s="2471"/>
      <c r="AM88" s="2469"/>
      <c r="AN88" s="2469"/>
      <c r="AO88" s="2470"/>
      <c r="AP88" s="2469"/>
      <c r="AQ88" s="2468"/>
      <c r="AR88" s="2620"/>
      <c r="AS88" s="2620" t="e">
        <f>YEAR(J88)</f>
        <v>#VALUE!</v>
      </c>
      <c r="AT88" s="2620" t="e">
        <f>MONTH(J88)</f>
        <v>#VALUE!</v>
      </c>
      <c r="AU88" s="2620" t="e">
        <f>DAY(J88)</f>
        <v>#VALUE!</v>
      </c>
      <c r="AV88" s="2620"/>
      <c r="AW88" s="2620" t="e">
        <f>YEAR(M88)</f>
        <v>#VALUE!</v>
      </c>
      <c r="AX88" s="2620" t="e">
        <f>MONTH(M88)</f>
        <v>#VALUE!</v>
      </c>
      <c r="AY88" s="2620" t="e">
        <f>DAY(M88)</f>
        <v>#VALUE!</v>
      </c>
      <c r="AZ88" s="2620"/>
      <c r="BA88" s="2620" t="e">
        <f>IF(AW88=AS88,TRUE,FALSE)</f>
        <v>#VALUE!</v>
      </c>
      <c r="BB88" s="2620" t="e">
        <f>IF(AND(AW88=AS88+1,AX88&lt;AT88),TRUE,FALSE)</f>
        <v>#VALUE!</v>
      </c>
      <c r="BC88" s="2620" t="e">
        <f>IF(AND(AW88=AS88+1,AX88=AT88,AY88&lt;=AU88),TRUE,FALSE)</f>
        <v>#VALUE!</v>
      </c>
    </row>
    <row r="89" spans="1:55" s="2459" customFormat="1" ht="19.5" customHeight="1">
      <c r="A89" s="1706">
        <f t="shared" ref="A89:A115" si="25">IF(OR(U89&lt;&gt;"",Y89&lt;&gt;""),1,0)</f>
        <v>0</v>
      </c>
      <c r="B89" s="6301" t="str">
        <f t="shared" si="20"/>
        <v/>
      </c>
      <c r="C89" s="6302"/>
      <c r="D89" s="6302"/>
      <c r="E89" s="6302"/>
      <c r="F89" s="6302"/>
      <c r="G89" s="6302"/>
      <c r="H89" s="6302"/>
      <c r="I89" s="6303"/>
      <c r="J89" s="6304" t="str">
        <f t="shared" si="21"/>
        <v/>
      </c>
      <c r="K89" s="6305"/>
      <c r="L89" s="6305"/>
      <c r="M89" s="6304" t="str">
        <f t="shared" si="22"/>
        <v/>
      </c>
      <c r="N89" s="6305"/>
      <c r="O89" s="6305"/>
      <c r="P89" s="6306"/>
      <c r="Q89" s="4641" t="str">
        <f t="shared" si="23"/>
        <v/>
      </c>
      <c r="R89" s="6307"/>
      <c r="S89" s="6307"/>
      <c r="T89" s="6308"/>
      <c r="U89" s="4641" t="str">
        <f t="shared" si="24"/>
        <v/>
      </c>
      <c r="V89" s="6307"/>
      <c r="W89" s="6307"/>
      <c r="X89" s="6308"/>
      <c r="Y89" s="6300" t="str">
        <f t="shared" ref="Y89:Y115" si="26">IF(AO89&lt;&gt;"",AO89,"")</f>
        <v/>
      </c>
      <c r="Z89" s="4756"/>
      <c r="AA89" s="6300" t="str">
        <f t="shared" ref="AA89:AA115" si="27">IF(AP89="","",AP89)</f>
        <v/>
      </c>
      <c r="AB89" s="4756"/>
      <c r="AC89" s="6309" t="str">
        <f t="shared" ref="AC89:AC115" si="28">IF(AQ89&lt;&gt;"",AQ89,IF(AND(Q89&lt;&gt;"",U89&lt;&gt;""),SUM(Q89,-U89,AA89),""))</f>
        <v/>
      </c>
      <c r="AD89" s="6310"/>
      <c r="AE89" s="6310"/>
      <c r="AF89" s="6310"/>
      <c r="AG89" s="2631">
        <f t="shared" ref="AG89:AG115" si="29">IF(OR(J89="",M89=""),0,IF(OR(BA89,BB89,BC89),1,0))</f>
        <v>0</v>
      </c>
      <c r="AH89" s="1644"/>
      <c r="AI89" s="1644" t="e">
        <f t="shared" ref="AI89:AI115" si="30">M89-J89</f>
        <v>#VALUE!</v>
      </c>
      <c r="AJ89" s="2467"/>
      <c r="AK89" s="2471"/>
      <c r="AL89" s="2471"/>
      <c r="AM89" s="2469"/>
      <c r="AN89" s="2469"/>
      <c r="AO89" s="2470"/>
      <c r="AP89" s="2469"/>
      <c r="AQ89" s="2468"/>
      <c r="AR89" s="2620"/>
      <c r="AS89" s="2620" t="e">
        <f t="shared" ref="AS89:AS115" si="31">YEAR(J89)</f>
        <v>#VALUE!</v>
      </c>
      <c r="AT89" s="2620" t="e">
        <f t="shared" ref="AT89:AT115" si="32">MONTH(J89)</f>
        <v>#VALUE!</v>
      </c>
      <c r="AU89" s="2620" t="e">
        <f t="shared" ref="AU89:AU115" si="33">DAY(J89)</f>
        <v>#VALUE!</v>
      </c>
      <c r="AV89" s="2620"/>
      <c r="AW89" s="2620" t="e">
        <f t="shared" ref="AW89:AW115" si="34">YEAR(M89)</f>
        <v>#VALUE!</v>
      </c>
      <c r="AX89" s="2620" t="e">
        <f t="shared" ref="AX89:AX115" si="35">MONTH(M89)</f>
        <v>#VALUE!</v>
      </c>
      <c r="AY89" s="2620" t="e">
        <f t="shared" ref="AY89:AY115" si="36">DAY(M89)</f>
        <v>#VALUE!</v>
      </c>
      <c r="AZ89" s="2620"/>
      <c r="BA89" s="2620" t="e">
        <f t="shared" ref="BA89:BA115" si="37">IF(AW89=AS89,TRUE,FALSE)</f>
        <v>#VALUE!</v>
      </c>
      <c r="BB89" s="2620" t="e">
        <f t="shared" ref="BB89:BB115" si="38">IF(AND(AW89=AS89+1,AX89&lt;AT89),TRUE,FALSE)</f>
        <v>#VALUE!</v>
      </c>
      <c r="BC89" s="2620" t="e">
        <f t="shared" ref="BC89:BC115" si="39">IF(AND(AW89=AS89+1,AX89=AT89,AY89&lt;=AU89),TRUE,FALSE)</f>
        <v>#VALUE!</v>
      </c>
    </row>
    <row r="90" spans="1:55" s="2459" customFormat="1" ht="19.5" customHeight="1">
      <c r="A90" s="1706">
        <f t="shared" si="25"/>
        <v>0</v>
      </c>
      <c r="B90" s="6301" t="str">
        <f t="shared" si="20"/>
        <v/>
      </c>
      <c r="C90" s="6302"/>
      <c r="D90" s="6302"/>
      <c r="E90" s="6302"/>
      <c r="F90" s="6302"/>
      <c r="G90" s="6302"/>
      <c r="H90" s="6302"/>
      <c r="I90" s="6303"/>
      <c r="J90" s="6304" t="str">
        <f t="shared" si="21"/>
        <v/>
      </c>
      <c r="K90" s="6305"/>
      <c r="L90" s="6305"/>
      <c r="M90" s="6304" t="str">
        <f t="shared" si="22"/>
        <v/>
      </c>
      <c r="N90" s="6305"/>
      <c r="O90" s="6305"/>
      <c r="P90" s="6306"/>
      <c r="Q90" s="4641" t="str">
        <f t="shared" si="23"/>
        <v/>
      </c>
      <c r="R90" s="6307"/>
      <c r="S90" s="6307"/>
      <c r="T90" s="6308"/>
      <c r="U90" s="4641" t="str">
        <f t="shared" si="24"/>
        <v/>
      </c>
      <c r="V90" s="6307"/>
      <c r="W90" s="6307"/>
      <c r="X90" s="6308"/>
      <c r="Y90" s="6300" t="str">
        <f t="shared" si="26"/>
        <v/>
      </c>
      <c r="Z90" s="4756"/>
      <c r="AA90" s="6300" t="str">
        <f t="shared" si="27"/>
        <v/>
      </c>
      <c r="AB90" s="4756"/>
      <c r="AC90" s="6309" t="str">
        <f t="shared" si="28"/>
        <v/>
      </c>
      <c r="AD90" s="6310"/>
      <c r="AE90" s="6310"/>
      <c r="AF90" s="6310"/>
      <c r="AG90" s="2631">
        <f t="shared" si="29"/>
        <v>0</v>
      </c>
      <c r="AH90" s="1644"/>
      <c r="AI90" s="1644" t="e">
        <f t="shared" si="30"/>
        <v>#VALUE!</v>
      </c>
      <c r="AJ90" s="2467"/>
      <c r="AK90" s="2471"/>
      <c r="AL90" s="2471"/>
      <c r="AM90" s="2469"/>
      <c r="AN90" s="2469"/>
      <c r="AO90" s="2470"/>
      <c r="AP90" s="2469"/>
      <c r="AQ90" s="2468"/>
      <c r="AR90" s="2620"/>
      <c r="AS90" s="2620" t="e">
        <f t="shared" si="31"/>
        <v>#VALUE!</v>
      </c>
      <c r="AT90" s="2620" t="e">
        <f t="shared" si="32"/>
        <v>#VALUE!</v>
      </c>
      <c r="AU90" s="2620" t="e">
        <f t="shared" si="33"/>
        <v>#VALUE!</v>
      </c>
      <c r="AV90" s="2620"/>
      <c r="AW90" s="2620" t="e">
        <f t="shared" si="34"/>
        <v>#VALUE!</v>
      </c>
      <c r="AX90" s="2620" t="e">
        <f t="shared" si="35"/>
        <v>#VALUE!</v>
      </c>
      <c r="AY90" s="2620" t="e">
        <f t="shared" si="36"/>
        <v>#VALUE!</v>
      </c>
      <c r="AZ90" s="2620"/>
      <c r="BA90" s="2620" t="e">
        <f t="shared" si="37"/>
        <v>#VALUE!</v>
      </c>
      <c r="BB90" s="2620" t="e">
        <f t="shared" si="38"/>
        <v>#VALUE!</v>
      </c>
      <c r="BC90" s="2620" t="e">
        <f t="shared" si="39"/>
        <v>#VALUE!</v>
      </c>
    </row>
    <row r="91" spans="1:55" s="2459" customFormat="1" ht="19.5" customHeight="1">
      <c r="A91" s="1706">
        <f t="shared" si="25"/>
        <v>0</v>
      </c>
      <c r="B91" s="6301" t="str">
        <f t="shared" si="20"/>
        <v/>
      </c>
      <c r="C91" s="6302"/>
      <c r="D91" s="6302"/>
      <c r="E91" s="6302"/>
      <c r="F91" s="6302"/>
      <c r="G91" s="6302"/>
      <c r="H91" s="6302"/>
      <c r="I91" s="6303"/>
      <c r="J91" s="6304" t="str">
        <f t="shared" si="21"/>
        <v/>
      </c>
      <c r="K91" s="6305"/>
      <c r="L91" s="6305"/>
      <c r="M91" s="6304" t="str">
        <f t="shared" si="22"/>
        <v/>
      </c>
      <c r="N91" s="6305"/>
      <c r="O91" s="6305"/>
      <c r="P91" s="6306"/>
      <c r="Q91" s="4641" t="str">
        <f t="shared" si="23"/>
        <v/>
      </c>
      <c r="R91" s="6307"/>
      <c r="S91" s="6307"/>
      <c r="T91" s="6308"/>
      <c r="U91" s="4641" t="str">
        <f t="shared" si="24"/>
        <v/>
      </c>
      <c r="V91" s="6307"/>
      <c r="W91" s="6307"/>
      <c r="X91" s="6308"/>
      <c r="Y91" s="6300" t="str">
        <f t="shared" si="26"/>
        <v/>
      </c>
      <c r="Z91" s="4756"/>
      <c r="AA91" s="6300" t="str">
        <f t="shared" si="27"/>
        <v/>
      </c>
      <c r="AB91" s="4756"/>
      <c r="AC91" s="6309" t="str">
        <f t="shared" si="28"/>
        <v/>
      </c>
      <c r="AD91" s="6310"/>
      <c r="AE91" s="6310"/>
      <c r="AF91" s="6310"/>
      <c r="AG91" s="2631">
        <f t="shared" si="29"/>
        <v>0</v>
      </c>
      <c r="AH91" s="1644"/>
      <c r="AI91" s="1644" t="e">
        <f t="shared" si="30"/>
        <v>#VALUE!</v>
      </c>
      <c r="AJ91" s="2467"/>
      <c r="AK91" s="2471"/>
      <c r="AL91" s="2471"/>
      <c r="AM91" s="2469"/>
      <c r="AN91" s="2469"/>
      <c r="AO91" s="2470"/>
      <c r="AP91" s="2469"/>
      <c r="AQ91" s="2468"/>
      <c r="AR91" s="2620"/>
      <c r="AS91" s="2620" t="e">
        <f t="shared" si="31"/>
        <v>#VALUE!</v>
      </c>
      <c r="AT91" s="2620" t="e">
        <f t="shared" si="32"/>
        <v>#VALUE!</v>
      </c>
      <c r="AU91" s="2620" t="e">
        <f t="shared" si="33"/>
        <v>#VALUE!</v>
      </c>
      <c r="AV91" s="2620"/>
      <c r="AW91" s="2620" t="e">
        <f t="shared" si="34"/>
        <v>#VALUE!</v>
      </c>
      <c r="AX91" s="2620" t="e">
        <f t="shared" si="35"/>
        <v>#VALUE!</v>
      </c>
      <c r="AY91" s="2620" t="e">
        <f t="shared" si="36"/>
        <v>#VALUE!</v>
      </c>
      <c r="AZ91" s="2620"/>
      <c r="BA91" s="2620" t="e">
        <f t="shared" si="37"/>
        <v>#VALUE!</v>
      </c>
      <c r="BB91" s="2620" t="e">
        <f t="shared" si="38"/>
        <v>#VALUE!</v>
      </c>
      <c r="BC91" s="2620" t="e">
        <f t="shared" si="39"/>
        <v>#VALUE!</v>
      </c>
    </row>
    <row r="92" spans="1:55" s="2459" customFormat="1" ht="19.5" customHeight="1">
      <c r="A92" s="1706">
        <f t="shared" si="25"/>
        <v>0</v>
      </c>
      <c r="B92" s="6301" t="str">
        <f t="shared" si="20"/>
        <v/>
      </c>
      <c r="C92" s="6302"/>
      <c r="D92" s="6302"/>
      <c r="E92" s="6302"/>
      <c r="F92" s="6302"/>
      <c r="G92" s="6302"/>
      <c r="H92" s="6302"/>
      <c r="I92" s="6303"/>
      <c r="J92" s="6304" t="str">
        <f t="shared" si="21"/>
        <v/>
      </c>
      <c r="K92" s="6305"/>
      <c r="L92" s="6305"/>
      <c r="M92" s="6304" t="str">
        <f t="shared" si="22"/>
        <v/>
      </c>
      <c r="N92" s="6305"/>
      <c r="O92" s="6305"/>
      <c r="P92" s="6306"/>
      <c r="Q92" s="4641" t="str">
        <f t="shared" si="23"/>
        <v/>
      </c>
      <c r="R92" s="6307"/>
      <c r="S92" s="6307"/>
      <c r="T92" s="6308"/>
      <c r="U92" s="4641" t="str">
        <f t="shared" si="24"/>
        <v/>
      </c>
      <c r="V92" s="6307"/>
      <c r="W92" s="6307"/>
      <c r="X92" s="6308"/>
      <c r="Y92" s="6300" t="str">
        <f t="shared" si="26"/>
        <v/>
      </c>
      <c r="Z92" s="4756"/>
      <c r="AA92" s="6300" t="str">
        <f t="shared" si="27"/>
        <v/>
      </c>
      <c r="AB92" s="4756"/>
      <c r="AC92" s="6309" t="str">
        <f t="shared" si="28"/>
        <v/>
      </c>
      <c r="AD92" s="6310"/>
      <c r="AE92" s="6310"/>
      <c r="AF92" s="6310"/>
      <c r="AG92" s="2631">
        <f t="shared" si="29"/>
        <v>0</v>
      </c>
      <c r="AH92" s="1644"/>
      <c r="AI92" s="1644" t="e">
        <f t="shared" si="30"/>
        <v>#VALUE!</v>
      </c>
      <c r="AJ92" s="2467"/>
      <c r="AK92" s="2471"/>
      <c r="AL92" s="2471"/>
      <c r="AM92" s="2469"/>
      <c r="AN92" s="2469"/>
      <c r="AO92" s="2470"/>
      <c r="AP92" s="2469"/>
      <c r="AQ92" s="2468"/>
      <c r="AR92" s="2620"/>
      <c r="AS92" s="2620" t="e">
        <f t="shared" si="31"/>
        <v>#VALUE!</v>
      </c>
      <c r="AT92" s="2620" t="e">
        <f t="shared" si="32"/>
        <v>#VALUE!</v>
      </c>
      <c r="AU92" s="2620" t="e">
        <f t="shared" si="33"/>
        <v>#VALUE!</v>
      </c>
      <c r="AV92" s="2620"/>
      <c r="AW92" s="2620" t="e">
        <f t="shared" si="34"/>
        <v>#VALUE!</v>
      </c>
      <c r="AX92" s="2620" t="e">
        <f t="shared" si="35"/>
        <v>#VALUE!</v>
      </c>
      <c r="AY92" s="2620" t="e">
        <f t="shared" si="36"/>
        <v>#VALUE!</v>
      </c>
      <c r="AZ92" s="2620"/>
      <c r="BA92" s="2620" t="e">
        <f t="shared" si="37"/>
        <v>#VALUE!</v>
      </c>
      <c r="BB92" s="2620" t="e">
        <f t="shared" si="38"/>
        <v>#VALUE!</v>
      </c>
      <c r="BC92" s="2620" t="e">
        <f t="shared" si="39"/>
        <v>#VALUE!</v>
      </c>
    </row>
    <row r="93" spans="1:55" s="2459" customFormat="1" ht="19.5" customHeight="1">
      <c r="A93" s="1706">
        <f t="shared" si="25"/>
        <v>0</v>
      </c>
      <c r="B93" s="6301" t="str">
        <f t="shared" si="20"/>
        <v/>
      </c>
      <c r="C93" s="6302"/>
      <c r="D93" s="6302"/>
      <c r="E93" s="6302"/>
      <c r="F93" s="6302"/>
      <c r="G93" s="6302"/>
      <c r="H93" s="6302"/>
      <c r="I93" s="6303"/>
      <c r="J93" s="6304" t="str">
        <f t="shared" si="21"/>
        <v/>
      </c>
      <c r="K93" s="6305"/>
      <c r="L93" s="6305"/>
      <c r="M93" s="6304" t="str">
        <f t="shared" si="22"/>
        <v/>
      </c>
      <c r="N93" s="6305"/>
      <c r="O93" s="6305"/>
      <c r="P93" s="6306"/>
      <c r="Q93" s="4641" t="str">
        <f t="shared" si="23"/>
        <v/>
      </c>
      <c r="R93" s="6307"/>
      <c r="S93" s="6307"/>
      <c r="T93" s="6308"/>
      <c r="U93" s="4641" t="str">
        <f t="shared" si="24"/>
        <v/>
      </c>
      <c r="V93" s="6307"/>
      <c r="W93" s="6307"/>
      <c r="X93" s="6308"/>
      <c r="Y93" s="6300" t="str">
        <f t="shared" si="26"/>
        <v/>
      </c>
      <c r="Z93" s="4756"/>
      <c r="AA93" s="6300" t="str">
        <f t="shared" si="27"/>
        <v/>
      </c>
      <c r="AB93" s="4756"/>
      <c r="AC93" s="6309" t="str">
        <f t="shared" si="28"/>
        <v/>
      </c>
      <c r="AD93" s="6310"/>
      <c r="AE93" s="6310"/>
      <c r="AF93" s="6310"/>
      <c r="AG93" s="2631">
        <f t="shared" si="29"/>
        <v>0</v>
      </c>
      <c r="AH93" s="1644"/>
      <c r="AI93" s="1644" t="e">
        <f t="shared" si="30"/>
        <v>#VALUE!</v>
      </c>
      <c r="AJ93" s="2467"/>
      <c r="AK93" s="2471"/>
      <c r="AL93" s="2471"/>
      <c r="AM93" s="2469"/>
      <c r="AN93" s="2469"/>
      <c r="AO93" s="2470"/>
      <c r="AP93" s="2469"/>
      <c r="AQ93" s="2468"/>
      <c r="AR93" s="2620"/>
      <c r="AS93" s="2620" t="e">
        <f t="shared" si="31"/>
        <v>#VALUE!</v>
      </c>
      <c r="AT93" s="2620" t="e">
        <f t="shared" si="32"/>
        <v>#VALUE!</v>
      </c>
      <c r="AU93" s="2620" t="e">
        <f t="shared" si="33"/>
        <v>#VALUE!</v>
      </c>
      <c r="AV93" s="2620"/>
      <c r="AW93" s="2620" t="e">
        <f t="shared" si="34"/>
        <v>#VALUE!</v>
      </c>
      <c r="AX93" s="2620" t="e">
        <f t="shared" si="35"/>
        <v>#VALUE!</v>
      </c>
      <c r="AY93" s="2620" t="e">
        <f t="shared" si="36"/>
        <v>#VALUE!</v>
      </c>
      <c r="AZ93" s="2620"/>
      <c r="BA93" s="2620" t="e">
        <f t="shared" si="37"/>
        <v>#VALUE!</v>
      </c>
      <c r="BB93" s="2620" t="e">
        <f t="shared" si="38"/>
        <v>#VALUE!</v>
      </c>
      <c r="BC93" s="2620" t="e">
        <f t="shared" si="39"/>
        <v>#VALUE!</v>
      </c>
    </row>
    <row r="94" spans="1:55" s="2459" customFormat="1" ht="19.5" customHeight="1">
      <c r="A94" s="1706">
        <f t="shared" si="25"/>
        <v>0</v>
      </c>
      <c r="B94" s="6301" t="str">
        <f t="shared" si="20"/>
        <v/>
      </c>
      <c r="C94" s="6302"/>
      <c r="D94" s="6302"/>
      <c r="E94" s="6302"/>
      <c r="F94" s="6302"/>
      <c r="G94" s="6302"/>
      <c r="H94" s="6302"/>
      <c r="I94" s="6303"/>
      <c r="J94" s="6304" t="str">
        <f t="shared" si="21"/>
        <v/>
      </c>
      <c r="K94" s="6305"/>
      <c r="L94" s="6305"/>
      <c r="M94" s="6304" t="str">
        <f t="shared" si="22"/>
        <v/>
      </c>
      <c r="N94" s="6305"/>
      <c r="O94" s="6305"/>
      <c r="P94" s="6306"/>
      <c r="Q94" s="4641" t="str">
        <f t="shared" si="23"/>
        <v/>
      </c>
      <c r="R94" s="6307"/>
      <c r="S94" s="6307"/>
      <c r="T94" s="6308"/>
      <c r="U94" s="4641" t="str">
        <f t="shared" si="24"/>
        <v/>
      </c>
      <c r="V94" s="6307"/>
      <c r="W94" s="6307"/>
      <c r="X94" s="6308"/>
      <c r="Y94" s="6300" t="str">
        <f t="shared" si="26"/>
        <v/>
      </c>
      <c r="Z94" s="4756"/>
      <c r="AA94" s="6300" t="str">
        <f t="shared" si="27"/>
        <v/>
      </c>
      <c r="AB94" s="4756"/>
      <c r="AC94" s="6309" t="str">
        <f t="shared" si="28"/>
        <v/>
      </c>
      <c r="AD94" s="6310"/>
      <c r="AE94" s="6310"/>
      <c r="AF94" s="6310"/>
      <c r="AG94" s="2631">
        <f t="shared" si="29"/>
        <v>0</v>
      </c>
      <c r="AH94" s="1644"/>
      <c r="AI94" s="1644" t="e">
        <f t="shared" si="30"/>
        <v>#VALUE!</v>
      </c>
      <c r="AJ94" s="2467"/>
      <c r="AK94" s="2471"/>
      <c r="AL94" s="2471"/>
      <c r="AM94" s="2469"/>
      <c r="AN94" s="2469"/>
      <c r="AO94" s="2470"/>
      <c r="AP94" s="2469"/>
      <c r="AQ94" s="2468"/>
      <c r="AR94" s="2620"/>
      <c r="AS94" s="2620" t="e">
        <f t="shared" si="31"/>
        <v>#VALUE!</v>
      </c>
      <c r="AT94" s="2620" t="e">
        <f t="shared" si="32"/>
        <v>#VALUE!</v>
      </c>
      <c r="AU94" s="2620" t="e">
        <f t="shared" si="33"/>
        <v>#VALUE!</v>
      </c>
      <c r="AV94" s="2620"/>
      <c r="AW94" s="2620" t="e">
        <f t="shared" si="34"/>
        <v>#VALUE!</v>
      </c>
      <c r="AX94" s="2620" t="e">
        <f t="shared" si="35"/>
        <v>#VALUE!</v>
      </c>
      <c r="AY94" s="2620" t="e">
        <f t="shared" si="36"/>
        <v>#VALUE!</v>
      </c>
      <c r="AZ94" s="2620"/>
      <c r="BA94" s="2620" t="e">
        <f t="shared" si="37"/>
        <v>#VALUE!</v>
      </c>
      <c r="BB94" s="2620" t="e">
        <f t="shared" si="38"/>
        <v>#VALUE!</v>
      </c>
      <c r="BC94" s="2620" t="e">
        <f t="shared" si="39"/>
        <v>#VALUE!</v>
      </c>
    </row>
    <row r="95" spans="1:55" s="2459" customFormat="1" ht="19.5" customHeight="1">
      <c r="A95" s="1706">
        <f t="shared" si="25"/>
        <v>0</v>
      </c>
      <c r="B95" s="6301" t="str">
        <f t="shared" si="20"/>
        <v/>
      </c>
      <c r="C95" s="6302"/>
      <c r="D95" s="6302"/>
      <c r="E95" s="6302"/>
      <c r="F95" s="6302"/>
      <c r="G95" s="6302"/>
      <c r="H95" s="6302"/>
      <c r="I95" s="6303"/>
      <c r="J95" s="6304" t="str">
        <f t="shared" si="21"/>
        <v/>
      </c>
      <c r="K95" s="6305"/>
      <c r="L95" s="6305"/>
      <c r="M95" s="6304" t="str">
        <f t="shared" si="22"/>
        <v/>
      </c>
      <c r="N95" s="6305"/>
      <c r="O95" s="6305"/>
      <c r="P95" s="6306"/>
      <c r="Q95" s="4641" t="str">
        <f t="shared" si="23"/>
        <v/>
      </c>
      <c r="R95" s="6307"/>
      <c r="S95" s="6307"/>
      <c r="T95" s="6308"/>
      <c r="U95" s="4641" t="str">
        <f t="shared" si="24"/>
        <v/>
      </c>
      <c r="V95" s="6307"/>
      <c r="W95" s="6307"/>
      <c r="X95" s="6308"/>
      <c r="Y95" s="6300" t="str">
        <f t="shared" si="26"/>
        <v/>
      </c>
      <c r="Z95" s="4756"/>
      <c r="AA95" s="6300" t="str">
        <f t="shared" si="27"/>
        <v/>
      </c>
      <c r="AB95" s="4756"/>
      <c r="AC95" s="6309" t="str">
        <f t="shared" si="28"/>
        <v/>
      </c>
      <c r="AD95" s="6310"/>
      <c r="AE95" s="6310"/>
      <c r="AF95" s="6310"/>
      <c r="AG95" s="2631">
        <f t="shared" si="29"/>
        <v>0</v>
      </c>
      <c r="AH95" s="1644"/>
      <c r="AI95" s="1644" t="e">
        <f t="shared" si="30"/>
        <v>#VALUE!</v>
      </c>
      <c r="AJ95" s="2467"/>
      <c r="AK95" s="2471"/>
      <c r="AL95" s="2471"/>
      <c r="AM95" s="2469"/>
      <c r="AN95" s="2469"/>
      <c r="AO95" s="2470"/>
      <c r="AP95" s="2469"/>
      <c r="AQ95" s="2468"/>
      <c r="AR95" s="2620"/>
      <c r="AS95" s="2620" t="e">
        <f t="shared" si="31"/>
        <v>#VALUE!</v>
      </c>
      <c r="AT95" s="2620" t="e">
        <f t="shared" si="32"/>
        <v>#VALUE!</v>
      </c>
      <c r="AU95" s="2620" t="e">
        <f t="shared" si="33"/>
        <v>#VALUE!</v>
      </c>
      <c r="AV95" s="2620"/>
      <c r="AW95" s="2620" t="e">
        <f t="shared" si="34"/>
        <v>#VALUE!</v>
      </c>
      <c r="AX95" s="2620" t="e">
        <f t="shared" si="35"/>
        <v>#VALUE!</v>
      </c>
      <c r="AY95" s="2620" t="e">
        <f t="shared" si="36"/>
        <v>#VALUE!</v>
      </c>
      <c r="AZ95" s="2620"/>
      <c r="BA95" s="2620" t="e">
        <f t="shared" si="37"/>
        <v>#VALUE!</v>
      </c>
      <c r="BB95" s="2620" t="e">
        <f t="shared" si="38"/>
        <v>#VALUE!</v>
      </c>
      <c r="BC95" s="2620" t="e">
        <f t="shared" si="39"/>
        <v>#VALUE!</v>
      </c>
    </row>
    <row r="96" spans="1:55" s="2459" customFormat="1" ht="19.5" customHeight="1">
      <c r="A96" s="1706">
        <f t="shared" si="25"/>
        <v>0</v>
      </c>
      <c r="B96" s="6301" t="str">
        <f t="shared" si="20"/>
        <v/>
      </c>
      <c r="C96" s="6302"/>
      <c r="D96" s="6302"/>
      <c r="E96" s="6302"/>
      <c r="F96" s="6302"/>
      <c r="G96" s="6302"/>
      <c r="H96" s="6302"/>
      <c r="I96" s="6303"/>
      <c r="J96" s="6304" t="str">
        <f t="shared" si="21"/>
        <v/>
      </c>
      <c r="K96" s="6305"/>
      <c r="L96" s="6305"/>
      <c r="M96" s="6304" t="str">
        <f t="shared" si="22"/>
        <v/>
      </c>
      <c r="N96" s="6305"/>
      <c r="O96" s="6305"/>
      <c r="P96" s="6306"/>
      <c r="Q96" s="4641" t="str">
        <f t="shared" si="23"/>
        <v/>
      </c>
      <c r="R96" s="6307"/>
      <c r="S96" s="6307"/>
      <c r="T96" s="6308"/>
      <c r="U96" s="4641" t="str">
        <f t="shared" si="24"/>
        <v/>
      </c>
      <c r="V96" s="6307"/>
      <c r="W96" s="6307"/>
      <c r="X96" s="6308"/>
      <c r="Y96" s="6300" t="str">
        <f t="shared" si="26"/>
        <v/>
      </c>
      <c r="Z96" s="4756"/>
      <c r="AA96" s="6300" t="str">
        <f t="shared" si="27"/>
        <v/>
      </c>
      <c r="AB96" s="4756"/>
      <c r="AC96" s="6309" t="str">
        <f t="shared" si="28"/>
        <v/>
      </c>
      <c r="AD96" s="6310"/>
      <c r="AE96" s="6310"/>
      <c r="AF96" s="6310"/>
      <c r="AG96" s="2631">
        <f t="shared" si="29"/>
        <v>0</v>
      </c>
      <c r="AH96" s="1644"/>
      <c r="AI96" s="1644" t="e">
        <f t="shared" si="30"/>
        <v>#VALUE!</v>
      </c>
      <c r="AJ96" s="2467"/>
      <c r="AK96" s="2471"/>
      <c r="AL96" s="2471"/>
      <c r="AM96" s="2469"/>
      <c r="AN96" s="2469"/>
      <c r="AO96" s="2470"/>
      <c r="AP96" s="2469"/>
      <c r="AQ96" s="2468"/>
      <c r="AR96" s="2620"/>
      <c r="AS96" s="2620" t="e">
        <f t="shared" si="31"/>
        <v>#VALUE!</v>
      </c>
      <c r="AT96" s="2620" t="e">
        <f t="shared" si="32"/>
        <v>#VALUE!</v>
      </c>
      <c r="AU96" s="2620" t="e">
        <f t="shared" si="33"/>
        <v>#VALUE!</v>
      </c>
      <c r="AV96" s="2620"/>
      <c r="AW96" s="2620" t="e">
        <f t="shared" si="34"/>
        <v>#VALUE!</v>
      </c>
      <c r="AX96" s="2620" t="e">
        <f t="shared" si="35"/>
        <v>#VALUE!</v>
      </c>
      <c r="AY96" s="2620" t="e">
        <f t="shared" si="36"/>
        <v>#VALUE!</v>
      </c>
      <c r="AZ96" s="2620"/>
      <c r="BA96" s="2620" t="e">
        <f t="shared" si="37"/>
        <v>#VALUE!</v>
      </c>
      <c r="BB96" s="2620" t="e">
        <f t="shared" si="38"/>
        <v>#VALUE!</v>
      </c>
      <c r="BC96" s="2620" t="e">
        <f t="shared" si="39"/>
        <v>#VALUE!</v>
      </c>
    </row>
    <row r="97" spans="1:55" s="2459" customFormat="1" ht="19.5" customHeight="1">
      <c r="A97" s="1706">
        <f t="shared" si="25"/>
        <v>0</v>
      </c>
      <c r="B97" s="6301" t="str">
        <f t="shared" si="20"/>
        <v/>
      </c>
      <c r="C97" s="6302"/>
      <c r="D97" s="6302"/>
      <c r="E97" s="6302"/>
      <c r="F97" s="6302"/>
      <c r="G97" s="6302"/>
      <c r="H97" s="6302"/>
      <c r="I97" s="6303"/>
      <c r="J97" s="6304" t="str">
        <f t="shared" si="21"/>
        <v/>
      </c>
      <c r="K97" s="6305"/>
      <c r="L97" s="6305"/>
      <c r="M97" s="6304" t="str">
        <f t="shared" si="22"/>
        <v/>
      </c>
      <c r="N97" s="6305"/>
      <c r="O97" s="6305"/>
      <c r="P97" s="6306"/>
      <c r="Q97" s="4641" t="str">
        <f t="shared" si="23"/>
        <v/>
      </c>
      <c r="R97" s="6307"/>
      <c r="S97" s="6307"/>
      <c r="T97" s="6308"/>
      <c r="U97" s="4641" t="str">
        <f t="shared" si="24"/>
        <v/>
      </c>
      <c r="V97" s="6307"/>
      <c r="W97" s="6307"/>
      <c r="X97" s="6308"/>
      <c r="Y97" s="6300" t="str">
        <f t="shared" si="26"/>
        <v/>
      </c>
      <c r="Z97" s="4756"/>
      <c r="AA97" s="6300" t="str">
        <f t="shared" si="27"/>
        <v/>
      </c>
      <c r="AB97" s="4756"/>
      <c r="AC97" s="6309" t="str">
        <f t="shared" si="28"/>
        <v/>
      </c>
      <c r="AD97" s="6310"/>
      <c r="AE97" s="6310"/>
      <c r="AF97" s="6310"/>
      <c r="AG97" s="2631">
        <f t="shared" si="29"/>
        <v>0</v>
      </c>
      <c r="AH97" s="1644"/>
      <c r="AI97" s="1644" t="e">
        <f t="shared" si="30"/>
        <v>#VALUE!</v>
      </c>
      <c r="AJ97" s="2467"/>
      <c r="AK97" s="2471"/>
      <c r="AL97" s="2471"/>
      <c r="AM97" s="2469"/>
      <c r="AN97" s="2469"/>
      <c r="AO97" s="2470"/>
      <c r="AP97" s="2469"/>
      <c r="AQ97" s="2468"/>
      <c r="AR97" s="2620"/>
      <c r="AS97" s="2620" t="e">
        <f t="shared" si="31"/>
        <v>#VALUE!</v>
      </c>
      <c r="AT97" s="2620" t="e">
        <f t="shared" si="32"/>
        <v>#VALUE!</v>
      </c>
      <c r="AU97" s="2620" t="e">
        <f t="shared" si="33"/>
        <v>#VALUE!</v>
      </c>
      <c r="AV97" s="2620"/>
      <c r="AW97" s="2620" t="e">
        <f t="shared" si="34"/>
        <v>#VALUE!</v>
      </c>
      <c r="AX97" s="2620" t="e">
        <f t="shared" si="35"/>
        <v>#VALUE!</v>
      </c>
      <c r="AY97" s="2620" t="e">
        <f t="shared" si="36"/>
        <v>#VALUE!</v>
      </c>
      <c r="AZ97" s="2620"/>
      <c r="BA97" s="2620" t="e">
        <f t="shared" si="37"/>
        <v>#VALUE!</v>
      </c>
      <c r="BB97" s="2620" t="e">
        <f t="shared" si="38"/>
        <v>#VALUE!</v>
      </c>
      <c r="BC97" s="2620" t="e">
        <f t="shared" si="39"/>
        <v>#VALUE!</v>
      </c>
    </row>
    <row r="98" spans="1:55" s="2459" customFormat="1" ht="19.5" customHeight="1">
      <c r="A98" s="1706">
        <f t="shared" si="25"/>
        <v>0</v>
      </c>
      <c r="B98" s="6301" t="str">
        <f t="shared" si="20"/>
        <v/>
      </c>
      <c r="C98" s="6302"/>
      <c r="D98" s="6302"/>
      <c r="E98" s="6302"/>
      <c r="F98" s="6302"/>
      <c r="G98" s="6302"/>
      <c r="H98" s="6302"/>
      <c r="I98" s="6303"/>
      <c r="J98" s="6304" t="str">
        <f t="shared" si="21"/>
        <v/>
      </c>
      <c r="K98" s="6305"/>
      <c r="L98" s="6305"/>
      <c r="M98" s="6304" t="str">
        <f t="shared" si="22"/>
        <v/>
      </c>
      <c r="N98" s="6305"/>
      <c r="O98" s="6305"/>
      <c r="P98" s="6306"/>
      <c r="Q98" s="4641" t="str">
        <f t="shared" si="23"/>
        <v/>
      </c>
      <c r="R98" s="6307"/>
      <c r="S98" s="6307"/>
      <c r="T98" s="6308"/>
      <c r="U98" s="4641" t="str">
        <f t="shared" si="24"/>
        <v/>
      </c>
      <c r="V98" s="6307"/>
      <c r="W98" s="6307"/>
      <c r="X98" s="6308"/>
      <c r="Y98" s="6300" t="str">
        <f t="shared" si="26"/>
        <v/>
      </c>
      <c r="Z98" s="4756"/>
      <c r="AA98" s="6300" t="str">
        <f t="shared" si="27"/>
        <v/>
      </c>
      <c r="AB98" s="4756"/>
      <c r="AC98" s="6309" t="str">
        <f t="shared" si="28"/>
        <v/>
      </c>
      <c r="AD98" s="6310"/>
      <c r="AE98" s="6310"/>
      <c r="AF98" s="6310"/>
      <c r="AG98" s="2631">
        <f t="shared" si="29"/>
        <v>0</v>
      </c>
      <c r="AH98" s="1644"/>
      <c r="AI98" s="1644" t="e">
        <f t="shared" si="30"/>
        <v>#VALUE!</v>
      </c>
      <c r="AJ98" s="2467"/>
      <c r="AK98" s="2471"/>
      <c r="AL98" s="2471"/>
      <c r="AM98" s="2469"/>
      <c r="AN98" s="2469"/>
      <c r="AO98" s="2470"/>
      <c r="AP98" s="2469"/>
      <c r="AQ98" s="2468"/>
      <c r="AR98" s="2620"/>
      <c r="AS98" s="2620" t="e">
        <f t="shared" si="31"/>
        <v>#VALUE!</v>
      </c>
      <c r="AT98" s="2620" t="e">
        <f t="shared" si="32"/>
        <v>#VALUE!</v>
      </c>
      <c r="AU98" s="2620" t="e">
        <f t="shared" si="33"/>
        <v>#VALUE!</v>
      </c>
      <c r="AV98" s="2620"/>
      <c r="AW98" s="2620" t="e">
        <f t="shared" si="34"/>
        <v>#VALUE!</v>
      </c>
      <c r="AX98" s="2620" t="e">
        <f t="shared" si="35"/>
        <v>#VALUE!</v>
      </c>
      <c r="AY98" s="2620" t="e">
        <f t="shared" si="36"/>
        <v>#VALUE!</v>
      </c>
      <c r="AZ98" s="2620"/>
      <c r="BA98" s="2620" t="e">
        <f t="shared" si="37"/>
        <v>#VALUE!</v>
      </c>
      <c r="BB98" s="2620" t="e">
        <f t="shared" si="38"/>
        <v>#VALUE!</v>
      </c>
      <c r="BC98" s="2620" t="e">
        <f t="shared" si="39"/>
        <v>#VALUE!</v>
      </c>
    </row>
    <row r="99" spans="1:55" s="2459" customFormat="1" ht="19.5" customHeight="1">
      <c r="A99" s="1706">
        <f t="shared" si="25"/>
        <v>0</v>
      </c>
      <c r="B99" s="6301" t="str">
        <f t="shared" si="20"/>
        <v/>
      </c>
      <c r="C99" s="6302"/>
      <c r="D99" s="6302"/>
      <c r="E99" s="6302"/>
      <c r="F99" s="6302"/>
      <c r="G99" s="6302"/>
      <c r="H99" s="6302"/>
      <c r="I99" s="6303"/>
      <c r="J99" s="6304" t="str">
        <f t="shared" si="21"/>
        <v/>
      </c>
      <c r="K99" s="6305"/>
      <c r="L99" s="6305"/>
      <c r="M99" s="6304" t="str">
        <f t="shared" si="22"/>
        <v/>
      </c>
      <c r="N99" s="6305"/>
      <c r="O99" s="6305"/>
      <c r="P99" s="6306"/>
      <c r="Q99" s="4641" t="str">
        <f t="shared" si="23"/>
        <v/>
      </c>
      <c r="R99" s="6307"/>
      <c r="S99" s="6307"/>
      <c r="T99" s="6308"/>
      <c r="U99" s="4641" t="str">
        <f t="shared" si="24"/>
        <v/>
      </c>
      <c r="V99" s="6307"/>
      <c r="W99" s="6307"/>
      <c r="X99" s="6308"/>
      <c r="Y99" s="6300" t="str">
        <f t="shared" si="26"/>
        <v/>
      </c>
      <c r="Z99" s="4756"/>
      <c r="AA99" s="6300" t="str">
        <f t="shared" si="27"/>
        <v/>
      </c>
      <c r="AB99" s="4756"/>
      <c r="AC99" s="6309" t="str">
        <f t="shared" si="28"/>
        <v/>
      </c>
      <c r="AD99" s="6310"/>
      <c r="AE99" s="6310"/>
      <c r="AF99" s="6310"/>
      <c r="AG99" s="2631">
        <f t="shared" si="29"/>
        <v>0</v>
      </c>
      <c r="AH99" s="1644"/>
      <c r="AI99" s="1644" t="e">
        <f t="shared" si="30"/>
        <v>#VALUE!</v>
      </c>
      <c r="AJ99" s="2467"/>
      <c r="AK99" s="2471"/>
      <c r="AL99" s="2471"/>
      <c r="AM99" s="2469"/>
      <c r="AN99" s="2469"/>
      <c r="AO99" s="2470"/>
      <c r="AP99" s="2469"/>
      <c r="AQ99" s="2468"/>
      <c r="AR99" s="2620"/>
      <c r="AS99" s="2620" t="e">
        <f t="shared" si="31"/>
        <v>#VALUE!</v>
      </c>
      <c r="AT99" s="2620" t="e">
        <f t="shared" si="32"/>
        <v>#VALUE!</v>
      </c>
      <c r="AU99" s="2620" t="e">
        <f t="shared" si="33"/>
        <v>#VALUE!</v>
      </c>
      <c r="AV99" s="2620"/>
      <c r="AW99" s="2620" t="e">
        <f t="shared" si="34"/>
        <v>#VALUE!</v>
      </c>
      <c r="AX99" s="2620" t="e">
        <f t="shared" si="35"/>
        <v>#VALUE!</v>
      </c>
      <c r="AY99" s="2620" t="e">
        <f t="shared" si="36"/>
        <v>#VALUE!</v>
      </c>
      <c r="AZ99" s="2620"/>
      <c r="BA99" s="2620" t="e">
        <f t="shared" si="37"/>
        <v>#VALUE!</v>
      </c>
      <c r="BB99" s="2620" t="e">
        <f t="shared" si="38"/>
        <v>#VALUE!</v>
      </c>
      <c r="BC99" s="2620" t="e">
        <f t="shared" si="39"/>
        <v>#VALUE!</v>
      </c>
    </row>
    <row r="100" spans="1:55" s="2459" customFormat="1" ht="19.5" customHeight="1">
      <c r="A100" s="1706">
        <f t="shared" si="25"/>
        <v>0</v>
      </c>
      <c r="B100" s="6301" t="str">
        <f t="shared" si="20"/>
        <v/>
      </c>
      <c r="C100" s="6302"/>
      <c r="D100" s="6302"/>
      <c r="E100" s="6302"/>
      <c r="F100" s="6302"/>
      <c r="G100" s="6302"/>
      <c r="H100" s="6302"/>
      <c r="I100" s="6303"/>
      <c r="J100" s="6304" t="str">
        <f t="shared" si="21"/>
        <v/>
      </c>
      <c r="K100" s="6305"/>
      <c r="L100" s="6305"/>
      <c r="M100" s="6304" t="str">
        <f t="shared" si="22"/>
        <v/>
      </c>
      <c r="N100" s="6305"/>
      <c r="O100" s="6305"/>
      <c r="P100" s="6306"/>
      <c r="Q100" s="4641" t="str">
        <f t="shared" si="23"/>
        <v/>
      </c>
      <c r="R100" s="6307"/>
      <c r="S100" s="6307"/>
      <c r="T100" s="6308"/>
      <c r="U100" s="4641" t="str">
        <f t="shared" si="24"/>
        <v/>
      </c>
      <c r="V100" s="6307"/>
      <c r="W100" s="6307"/>
      <c r="X100" s="6308"/>
      <c r="Y100" s="6300" t="str">
        <f t="shared" si="26"/>
        <v/>
      </c>
      <c r="Z100" s="4756"/>
      <c r="AA100" s="6300" t="str">
        <f t="shared" si="27"/>
        <v/>
      </c>
      <c r="AB100" s="4756"/>
      <c r="AC100" s="6309" t="str">
        <f t="shared" si="28"/>
        <v/>
      </c>
      <c r="AD100" s="6310"/>
      <c r="AE100" s="6310"/>
      <c r="AF100" s="6310"/>
      <c r="AG100" s="2631">
        <f t="shared" si="29"/>
        <v>0</v>
      </c>
      <c r="AH100" s="1644"/>
      <c r="AI100" s="1644" t="e">
        <f t="shared" si="30"/>
        <v>#VALUE!</v>
      </c>
      <c r="AJ100" s="2467"/>
      <c r="AK100" s="2471"/>
      <c r="AL100" s="2471"/>
      <c r="AM100" s="2469"/>
      <c r="AN100" s="2469"/>
      <c r="AO100" s="2470"/>
      <c r="AP100" s="2469"/>
      <c r="AQ100" s="2468"/>
      <c r="AR100" s="2620"/>
      <c r="AS100" s="2620" t="e">
        <f t="shared" si="31"/>
        <v>#VALUE!</v>
      </c>
      <c r="AT100" s="2620" t="e">
        <f t="shared" si="32"/>
        <v>#VALUE!</v>
      </c>
      <c r="AU100" s="2620" t="e">
        <f t="shared" si="33"/>
        <v>#VALUE!</v>
      </c>
      <c r="AV100" s="2620"/>
      <c r="AW100" s="2620" t="e">
        <f t="shared" si="34"/>
        <v>#VALUE!</v>
      </c>
      <c r="AX100" s="2620" t="e">
        <f t="shared" si="35"/>
        <v>#VALUE!</v>
      </c>
      <c r="AY100" s="2620" t="e">
        <f t="shared" si="36"/>
        <v>#VALUE!</v>
      </c>
      <c r="AZ100" s="2620"/>
      <c r="BA100" s="2620" t="e">
        <f t="shared" si="37"/>
        <v>#VALUE!</v>
      </c>
      <c r="BB100" s="2620" t="e">
        <f t="shared" si="38"/>
        <v>#VALUE!</v>
      </c>
      <c r="BC100" s="2620" t="e">
        <f t="shared" si="39"/>
        <v>#VALUE!</v>
      </c>
    </row>
    <row r="101" spans="1:55" s="2459" customFormat="1" ht="19.5" customHeight="1">
      <c r="A101" s="1706">
        <f t="shared" si="25"/>
        <v>0</v>
      </c>
      <c r="B101" s="6301" t="str">
        <f t="shared" si="20"/>
        <v/>
      </c>
      <c r="C101" s="6302"/>
      <c r="D101" s="6302"/>
      <c r="E101" s="6302"/>
      <c r="F101" s="6302"/>
      <c r="G101" s="6302"/>
      <c r="H101" s="6302"/>
      <c r="I101" s="6303"/>
      <c r="J101" s="6304" t="str">
        <f t="shared" si="21"/>
        <v/>
      </c>
      <c r="K101" s="6305"/>
      <c r="L101" s="6305"/>
      <c r="M101" s="6304" t="str">
        <f t="shared" si="22"/>
        <v/>
      </c>
      <c r="N101" s="6305"/>
      <c r="O101" s="6305"/>
      <c r="P101" s="6306"/>
      <c r="Q101" s="4641" t="str">
        <f t="shared" si="23"/>
        <v/>
      </c>
      <c r="R101" s="6307"/>
      <c r="S101" s="6307"/>
      <c r="T101" s="6308"/>
      <c r="U101" s="4641" t="str">
        <f t="shared" si="24"/>
        <v/>
      </c>
      <c r="V101" s="6307"/>
      <c r="W101" s="6307"/>
      <c r="X101" s="6308"/>
      <c r="Y101" s="6300" t="str">
        <f t="shared" si="26"/>
        <v/>
      </c>
      <c r="Z101" s="4756"/>
      <c r="AA101" s="6300" t="str">
        <f t="shared" si="27"/>
        <v/>
      </c>
      <c r="AB101" s="4756"/>
      <c r="AC101" s="6309" t="str">
        <f t="shared" si="28"/>
        <v/>
      </c>
      <c r="AD101" s="6310"/>
      <c r="AE101" s="6310"/>
      <c r="AF101" s="6310"/>
      <c r="AG101" s="2631">
        <f t="shared" si="29"/>
        <v>0</v>
      </c>
      <c r="AH101" s="1644"/>
      <c r="AI101" s="1644" t="e">
        <f t="shared" si="30"/>
        <v>#VALUE!</v>
      </c>
      <c r="AJ101" s="2467"/>
      <c r="AK101" s="2471"/>
      <c r="AL101" s="2471"/>
      <c r="AM101" s="2469"/>
      <c r="AN101" s="2469"/>
      <c r="AO101" s="2470"/>
      <c r="AP101" s="2469"/>
      <c r="AQ101" s="2468"/>
      <c r="AR101" s="2620"/>
      <c r="AS101" s="2620" t="e">
        <f t="shared" si="31"/>
        <v>#VALUE!</v>
      </c>
      <c r="AT101" s="2620" t="e">
        <f t="shared" si="32"/>
        <v>#VALUE!</v>
      </c>
      <c r="AU101" s="2620" t="e">
        <f t="shared" si="33"/>
        <v>#VALUE!</v>
      </c>
      <c r="AV101" s="2620"/>
      <c r="AW101" s="2620" t="e">
        <f t="shared" si="34"/>
        <v>#VALUE!</v>
      </c>
      <c r="AX101" s="2620" t="e">
        <f t="shared" si="35"/>
        <v>#VALUE!</v>
      </c>
      <c r="AY101" s="2620" t="e">
        <f t="shared" si="36"/>
        <v>#VALUE!</v>
      </c>
      <c r="AZ101" s="2620"/>
      <c r="BA101" s="2620" t="e">
        <f t="shared" si="37"/>
        <v>#VALUE!</v>
      </c>
      <c r="BB101" s="2620" t="e">
        <f t="shared" si="38"/>
        <v>#VALUE!</v>
      </c>
      <c r="BC101" s="2620" t="e">
        <f t="shared" si="39"/>
        <v>#VALUE!</v>
      </c>
    </row>
    <row r="102" spans="1:55" s="2459" customFormat="1" ht="19.5" customHeight="1">
      <c r="A102" s="1706">
        <f t="shared" si="25"/>
        <v>0</v>
      </c>
      <c r="B102" s="6301" t="str">
        <f t="shared" si="20"/>
        <v/>
      </c>
      <c r="C102" s="6302"/>
      <c r="D102" s="6302"/>
      <c r="E102" s="6302"/>
      <c r="F102" s="6302"/>
      <c r="G102" s="6302"/>
      <c r="H102" s="6302"/>
      <c r="I102" s="6303"/>
      <c r="J102" s="6304" t="str">
        <f t="shared" si="21"/>
        <v/>
      </c>
      <c r="K102" s="6305"/>
      <c r="L102" s="6305"/>
      <c r="M102" s="6304" t="str">
        <f t="shared" si="22"/>
        <v/>
      </c>
      <c r="N102" s="6305"/>
      <c r="O102" s="6305"/>
      <c r="P102" s="6306"/>
      <c r="Q102" s="4641" t="str">
        <f t="shared" si="23"/>
        <v/>
      </c>
      <c r="R102" s="6307"/>
      <c r="S102" s="6307"/>
      <c r="T102" s="6308"/>
      <c r="U102" s="4641" t="str">
        <f t="shared" si="24"/>
        <v/>
      </c>
      <c r="V102" s="6307"/>
      <c r="W102" s="6307"/>
      <c r="X102" s="6308"/>
      <c r="Y102" s="6300" t="str">
        <f t="shared" si="26"/>
        <v/>
      </c>
      <c r="Z102" s="4756"/>
      <c r="AA102" s="6300" t="str">
        <f t="shared" si="27"/>
        <v/>
      </c>
      <c r="AB102" s="4756"/>
      <c r="AC102" s="6309" t="str">
        <f t="shared" si="28"/>
        <v/>
      </c>
      <c r="AD102" s="6310"/>
      <c r="AE102" s="6310"/>
      <c r="AF102" s="6310"/>
      <c r="AG102" s="2631">
        <f t="shared" si="29"/>
        <v>0</v>
      </c>
      <c r="AH102" s="1644"/>
      <c r="AI102" s="1644" t="e">
        <f t="shared" si="30"/>
        <v>#VALUE!</v>
      </c>
      <c r="AJ102" s="2467"/>
      <c r="AK102" s="2471"/>
      <c r="AL102" s="2471"/>
      <c r="AM102" s="2469"/>
      <c r="AN102" s="2469"/>
      <c r="AO102" s="2470"/>
      <c r="AP102" s="2469"/>
      <c r="AQ102" s="2468"/>
      <c r="AR102" s="2620"/>
      <c r="AS102" s="2620" t="e">
        <f t="shared" si="31"/>
        <v>#VALUE!</v>
      </c>
      <c r="AT102" s="2620" t="e">
        <f t="shared" si="32"/>
        <v>#VALUE!</v>
      </c>
      <c r="AU102" s="2620" t="e">
        <f t="shared" si="33"/>
        <v>#VALUE!</v>
      </c>
      <c r="AV102" s="2620"/>
      <c r="AW102" s="2620" t="e">
        <f t="shared" si="34"/>
        <v>#VALUE!</v>
      </c>
      <c r="AX102" s="2620" t="e">
        <f t="shared" si="35"/>
        <v>#VALUE!</v>
      </c>
      <c r="AY102" s="2620" t="e">
        <f t="shared" si="36"/>
        <v>#VALUE!</v>
      </c>
      <c r="AZ102" s="2620"/>
      <c r="BA102" s="2620" t="e">
        <f t="shared" si="37"/>
        <v>#VALUE!</v>
      </c>
      <c r="BB102" s="2620" t="e">
        <f t="shared" si="38"/>
        <v>#VALUE!</v>
      </c>
      <c r="BC102" s="2620" t="e">
        <f t="shared" si="39"/>
        <v>#VALUE!</v>
      </c>
    </row>
    <row r="103" spans="1:55" s="2459" customFormat="1" ht="19.5" customHeight="1">
      <c r="A103" s="1706">
        <f t="shared" si="25"/>
        <v>0</v>
      </c>
      <c r="B103" s="6301" t="str">
        <f t="shared" si="20"/>
        <v/>
      </c>
      <c r="C103" s="6302"/>
      <c r="D103" s="6302"/>
      <c r="E103" s="6302"/>
      <c r="F103" s="6302"/>
      <c r="G103" s="6302"/>
      <c r="H103" s="6302"/>
      <c r="I103" s="6303"/>
      <c r="J103" s="6304" t="str">
        <f t="shared" si="21"/>
        <v/>
      </c>
      <c r="K103" s="6305"/>
      <c r="L103" s="6305"/>
      <c r="M103" s="6304" t="str">
        <f t="shared" si="22"/>
        <v/>
      </c>
      <c r="N103" s="6305"/>
      <c r="O103" s="6305"/>
      <c r="P103" s="6306"/>
      <c r="Q103" s="4641" t="str">
        <f t="shared" si="23"/>
        <v/>
      </c>
      <c r="R103" s="6307"/>
      <c r="S103" s="6307"/>
      <c r="T103" s="6308"/>
      <c r="U103" s="4641" t="str">
        <f t="shared" si="24"/>
        <v/>
      </c>
      <c r="V103" s="6307"/>
      <c r="W103" s="6307"/>
      <c r="X103" s="6308"/>
      <c r="Y103" s="6300" t="str">
        <f t="shared" si="26"/>
        <v/>
      </c>
      <c r="Z103" s="4756"/>
      <c r="AA103" s="6300" t="str">
        <f t="shared" si="27"/>
        <v/>
      </c>
      <c r="AB103" s="4756"/>
      <c r="AC103" s="6309" t="str">
        <f t="shared" si="28"/>
        <v/>
      </c>
      <c r="AD103" s="6310"/>
      <c r="AE103" s="6310"/>
      <c r="AF103" s="6310"/>
      <c r="AG103" s="2631">
        <f t="shared" si="29"/>
        <v>0</v>
      </c>
      <c r="AH103" s="1644"/>
      <c r="AI103" s="1644" t="e">
        <f t="shared" si="30"/>
        <v>#VALUE!</v>
      </c>
      <c r="AJ103" s="2467"/>
      <c r="AK103" s="2471"/>
      <c r="AL103" s="2471"/>
      <c r="AM103" s="2469"/>
      <c r="AN103" s="2469"/>
      <c r="AO103" s="2470"/>
      <c r="AP103" s="2469"/>
      <c r="AQ103" s="2468"/>
      <c r="AR103" s="2620"/>
      <c r="AS103" s="2620" t="e">
        <f t="shared" si="31"/>
        <v>#VALUE!</v>
      </c>
      <c r="AT103" s="2620" t="e">
        <f t="shared" si="32"/>
        <v>#VALUE!</v>
      </c>
      <c r="AU103" s="2620" t="e">
        <f t="shared" si="33"/>
        <v>#VALUE!</v>
      </c>
      <c r="AV103" s="2620"/>
      <c r="AW103" s="2620" t="e">
        <f t="shared" si="34"/>
        <v>#VALUE!</v>
      </c>
      <c r="AX103" s="2620" t="e">
        <f t="shared" si="35"/>
        <v>#VALUE!</v>
      </c>
      <c r="AY103" s="2620" t="e">
        <f t="shared" si="36"/>
        <v>#VALUE!</v>
      </c>
      <c r="AZ103" s="2620"/>
      <c r="BA103" s="2620" t="e">
        <f t="shared" si="37"/>
        <v>#VALUE!</v>
      </c>
      <c r="BB103" s="2620" t="e">
        <f t="shared" si="38"/>
        <v>#VALUE!</v>
      </c>
      <c r="BC103" s="2620" t="e">
        <f t="shared" si="39"/>
        <v>#VALUE!</v>
      </c>
    </row>
    <row r="104" spans="1:55" s="2459" customFormat="1" ht="19.5" customHeight="1">
      <c r="A104" s="1706">
        <f t="shared" si="25"/>
        <v>0</v>
      </c>
      <c r="B104" s="6301" t="str">
        <f t="shared" si="20"/>
        <v/>
      </c>
      <c r="C104" s="6302"/>
      <c r="D104" s="6302"/>
      <c r="E104" s="6302"/>
      <c r="F104" s="6302"/>
      <c r="G104" s="6302"/>
      <c r="H104" s="6302"/>
      <c r="I104" s="6303"/>
      <c r="J104" s="6304" t="str">
        <f t="shared" si="21"/>
        <v/>
      </c>
      <c r="K104" s="6305"/>
      <c r="L104" s="6305"/>
      <c r="M104" s="6304" t="str">
        <f t="shared" si="22"/>
        <v/>
      </c>
      <c r="N104" s="6305"/>
      <c r="O104" s="6305"/>
      <c r="P104" s="6306"/>
      <c r="Q104" s="4641" t="str">
        <f t="shared" si="23"/>
        <v/>
      </c>
      <c r="R104" s="6307"/>
      <c r="S104" s="6307"/>
      <c r="T104" s="6308"/>
      <c r="U104" s="4641" t="str">
        <f t="shared" si="24"/>
        <v/>
      </c>
      <c r="V104" s="6307"/>
      <c r="W104" s="6307"/>
      <c r="X104" s="6308"/>
      <c r="Y104" s="6300" t="str">
        <f t="shared" si="26"/>
        <v/>
      </c>
      <c r="Z104" s="4756"/>
      <c r="AA104" s="6300" t="str">
        <f t="shared" si="27"/>
        <v/>
      </c>
      <c r="AB104" s="4756"/>
      <c r="AC104" s="6309" t="str">
        <f t="shared" si="28"/>
        <v/>
      </c>
      <c r="AD104" s="6310"/>
      <c r="AE104" s="6310"/>
      <c r="AF104" s="6310"/>
      <c r="AG104" s="2631">
        <f t="shared" si="29"/>
        <v>0</v>
      </c>
      <c r="AH104" s="1644"/>
      <c r="AI104" s="1644" t="e">
        <f t="shared" si="30"/>
        <v>#VALUE!</v>
      </c>
      <c r="AJ104" s="2467"/>
      <c r="AK104" s="2471"/>
      <c r="AL104" s="2471"/>
      <c r="AM104" s="2469"/>
      <c r="AN104" s="2469"/>
      <c r="AO104" s="2470"/>
      <c r="AP104" s="2469"/>
      <c r="AQ104" s="2468"/>
      <c r="AR104" s="2620"/>
      <c r="AS104" s="2620" t="e">
        <f t="shared" si="31"/>
        <v>#VALUE!</v>
      </c>
      <c r="AT104" s="2620" t="e">
        <f t="shared" si="32"/>
        <v>#VALUE!</v>
      </c>
      <c r="AU104" s="2620" t="e">
        <f t="shared" si="33"/>
        <v>#VALUE!</v>
      </c>
      <c r="AV104" s="2620"/>
      <c r="AW104" s="2620" t="e">
        <f t="shared" si="34"/>
        <v>#VALUE!</v>
      </c>
      <c r="AX104" s="2620" t="e">
        <f t="shared" si="35"/>
        <v>#VALUE!</v>
      </c>
      <c r="AY104" s="2620" t="e">
        <f t="shared" si="36"/>
        <v>#VALUE!</v>
      </c>
      <c r="AZ104" s="2620"/>
      <c r="BA104" s="2620" t="e">
        <f t="shared" si="37"/>
        <v>#VALUE!</v>
      </c>
      <c r="BB104" s="2620" t="e">
        <f t="shared" si="38"/>
        <v>#VALUE!</v>
      </c>
      <c r="BC104" s="2620" t="e">
        <f t="shared" si="39"/>
        <v>#VALUE!</v>
      </c>
    </row>
    <row r="105" spans="1:55" s="2459" customFormat="1" ht="19.5" customHeight="1">
      <c r="A105" s="1706">
        <f t="shared" si="25"/>
        <v>0</v>
      </c>
      <c r="B105" s="6301" t="str">
        <f t="shared" si="20"/>
        <v/>
      </c>
      <c r="C105" s="6302"/>
      <c r="D105" s="6302"/>
      <c r="E105" s="6302"/>
      <c r="F105" s="6302"/>
      <c r="G105" s="6302"/>
      <c r="H105" s="6302"/>
      <c r="I105" s="6303"/>
      <c r="J105" s="6304" t="str">
        <f t="shared" si="21"/>
        <v/>
      </c>
      <c r="K105" s="6305"/>
      <c r="L105" s="6305"/>
      <c r="M105" s="6304" t="str">
        <f t="shared" si="22"/>
        <v/>
      </c>
      <c r="N105" s="6305"/>
      <c r="O105" s="6305"/>
      <c r="P105" s="6306"/>
      <c r="Q105" s="4641" t="str">
        <f t="shared" si="23"/>
        <v/>
      </c>
      <c r="R105" s="6307"/>
      <c r="S105" s="6307"/>
      <c r="T105" s="6308"/>
      <c r="U105" s="4641" t="str">
        <f t="shared" si="24"/>
        <v/>
      </c>
      <c r="V105" s="6307"/>
      <c r="W105" s="6307"/>
      <c r="X105" s="6308"/>
      <c r="Y105" s="6300" t="str">
        <f t="shared" si="26"/>
        <v/>
      </c>
      <c r="Z105" s="4756"/>
      <c r="AA105" s="6300" t="str">
        <f t="shared" si="27"/>
        <v/>
      </c>
      <c r="AB105" s="4756"/>
      <c r="AC105" s="6309" t="str">
        <f t="shared" si="28"/>
        <v/>
      </c>
      <c r="AD105" s="6310"/>
      <c r="AE105" s="6310"/>
      <c r="AF105" s="6310"/>
      <c r="AG105" s="2631">
        <f t="shared" si="29"/>
        <v>0</v>
      </c>
      <c r="AH105" s="1644"/>
      <c r="AI105" s="1644" t="e">
        <f t="shared" si="30"/>
        <v>#VALUE!</v>
      </c>
      <c r="AJ105" s="2467"/>
      <c r="AK105" s="2471"/>
      <c r="AL105" s="2471"/>
      <c r="AM105" s="2469"/>
      <c r="AN105" s="2469"/>
      <c r="AO105" s="2470"/>
      <c r="AP105" s="2469"/>
      <c r="AQ105" s="2468"/>
      <c r="AR105" s="2620"/>
      <c r="AS105" s="2620" t="e">
        <f t="shared" si="31"/>
        <v>#VALUE!</v>
      </c>
      <c r="AT105" s="2620" t="e">
        <f t="shared" si="32"/>
        <v>#VALUE!</v>
      </c>
      <c r="AU105" s="2620" t="e">
        <f t="shared" si="33"/>
        <v>#VALUE!</v>
      </c>
      <c r="AV105" s="2620"/>
      <c r="AW105" s="2620" t="e">
        <f t="shared" si="34"/>
        <v>#VALUE!</v>
      </c>
      <c r="AX105" s="2620" t="e">
        <f t="shared" si="35"/>
        <v>#VALUE!</v>
      </c>
      <c r="AY105" s="2620" t="e">
        <f t="shared" si="36"/>
        <v>#VALUE!</v>
      </c>
      <c r="AZ105" s="2620"/>
      <c r="BA105" s="2620" t="e">
        <f t="shared" si="37"/>
        <v>#VALUE!</v>
      </c>
      <c r="BB105" s="2620" t="e">
        <f t="shared" si="38"/>
        <v>#VALUE!</v>
      </c>
      <c r="BC105" s="2620" t="e">
        <f t="shared" si="39"/>
        <v>#VALUE!</v>
      </c>
    </row>
    <row r="106" spans="1:55" s="2459" customFormat="1" ht="19.5" customHeight="1">
      <c r="A106" s="1706">
        <f t="shared" si="25"/>
        <v>0</v>
      </c>
      <c r="B106" s="6301" t="str">
        <f t="shared" si="20"/>
        <v/>
      </c>
      <c r="C106" s="6302"/>
      <c r="D106" s="6302"/>
      <c r="E106" s="6302"/>
      <c r="F106" s="6302"/>
      <c r="G106" s="6302"/>
      <c r="H106" s="6302"/>
      <c r="I106" s="6303"/>
      <c r="J106" s="6304" t="str">
        <f t="shared" si="21"/>
        <v/>
      </c>
      <c r="K106" s="6305"/>
      <c r="L106" s="6305"/>
      <c r="M106" s="6304" t="str">
        <f t="shared" si="22"/>
        <v/>
      </c>
      <c r="N106" s="6305"/>
      <c r="O106" s="6305"/>
      <c r="P106" s="6306"/>
      <c r="Q106" s="4641" t="str">
        <f t="shared" si="23"/>
        <v/>
      </c>
      <c r="R106" s="6307"/>
      <c r="S106" s="6307"/>
      <c r="T106" s="6308"/>
      <c r="U106" s="4641" t="str">
        <f t="shared" si="24"/>
        <v/>
      </c>
      <c r="V106" s="6307"/>
      <c r="W106" s="6307"/>
      <c r="X106" s="6308"/>
      <c r="Y106" s="6300" t="str">
        <f t="shared" si="26"/>
        <v/>
      </c>
      <c r="Z106" s="4756"/>
      <c r="AA106" s="6300" t="str">
        <f t="shared" si="27"/>
        <v/>
      </c>
      <c r="AB106" s="4756"/>
      <c r="AC106" s="6309" t="str">
        <f t="shared" si="28"/>
        <v/>
      </c>
      <c r="AD106" s="6310"/>
      <c r="AE106" s="6310"/>
      <c r="AF106" s="6310"/>
      <c r="AG106" s="2631">
        <f t="shared" si="29"/>
        <v>0</v>
      </c>
      <c r="AH106" s="1644"/>
      <c r="AI106" s="1644" t="e">
        <f t="shared" si="30"/>
        <v>#VALUE!</v>
      </c>
      <c r="AJ106" s="2467"/>
      <c r="AK106" s="2471"/>
      <c r="AL106" s="2471"/>
      <c r="AM106" s="2469"/>
      <c r="AN106" s="2469"/>
      <c r="AO106" s="2470"/>
      <c r="AP106" s="2469"/>
      <c r="AQ106" s="2468"/>
      <c r="AR106" s="2620"/>
      <c r="AS106" s="2620" t="e">
        <f t="shared" si="31"/>
        <v>#VALUE!</v>
      </c>
      <c r="AT106" s="2620" t="e">
        <f t="shared" si="32"/>
        <v>#VALUE!</v>
      </c>
      <c r="AU106" s="2620" t="e">
        <f t="shared" si="33"/>
        <v>#VALUE!</v>
      </c>
      <c r="AV106" s="2620"/>
      <c r="AW106" s="2620" t="e">
        <f t="shared" si="34"/>
        <v>#VALUE!</v>
      </c>
      <c r="AX106" s="2620" t="e">
        <f t="shared" si="35"/>
        <v>#VALUE!</v>
      </c>
      <c r="AY106" s="2620" t="e">
        <f t="shared" si="36"/>
        <v>#VALUE!</v>
      </c>
      <c r="AZ106" s="2620"/>
      <c r="BA106" s="2620" t="e">
        <f t="shared" si="37"/>
        <v>#VALUE!</v>
      </c>
      <c r="BB106" s="2620" t="e">
        <f t="shared" si="38"/>
        <v>#VALUE!</v>
      </c>
      <c r="BC106" s="2620" t="e">
        <f t="shared" si="39"/>
        <v>#VALUE!</v>
      </c>
    </row>
    <row r="107" spans="1:55" s="2459" customFormat="1" ht="19.5" customHeight="1">
      <c r="A107" s="1706">
        <f t="shared" si="25"/>
        <v>0</v>
      </c>
      <c r="B107" s="6301" t="str">
        <f t="shared" si="20"/>
        <v/>
      </c>
      <c r="C107" s="6302"/>
      <c r="D107" s="6302"/>
      <c r="E107" s="6302"/>
      <c r="F107" s="6302"/>
      <c r="G107" s="6302"/>
      <c r="H107" s="6302"/>
      <c r="I107" s="6303"/>
      <c r="J107" s="6304" t="str">
        <f t="shared" si="21"/>
        <v/>
      </c>
      <c r="K107" s="6305"/>
      <c r="L107" s="6305"/>
      <c r="M107" s="6304" t="str">
        <f t="shared" si="22"/>
        <v/>
      </c>
      <c r="N107" s="6305"/>
      <c r="O107" s="6305"/>
      <c r="P107" s="6306"/>
      <c r="Q107" s="4641" t="str">
        <f t="shared" si="23"/>
        <v/>
      </c>
      <c r="R107" s="6307"/>
      <c r="S107" s="6307"/>
      <c r="T107" s="6308"/>
      <c r="U107" s="4641" t="str">
        <f t="shared" si="24"/>
        <v/>
      </c>
      <c r="V107" s="6307"/>
      <c r="W107" s="6307"/>
      <c r="X107" s="6308"/>
      <c r="Y107" s="6300" t="str">
        <f t="shared" si="26"/>
        <v/>
      </c>
      <c r="Z107" s="4756"/>
      <c r="AA107" s="6300" t="str">
        <f t="shared" si="27"/>
        <v/>
      </c>
      <c r="AB107" s="4756"/>
      <c r="AC107" s="6309" t="str">
        <f t="shared" si="28"/>
        <v/>
      </c>
      <c r="AD107" s="6310"/>
      <c r="AE107" s="6310"/>
      <c r="AF107" s="6310"/>
      <c r="AG107" s="2631">
        <f t="shared" si="29"/>
        <v>0</v>
      </c>
      <c r="AH107" s="1644"/>
      <c r="AI107" s="1644" t="e">
        <f t="shared" si="30"/>
        <v>#VALUE!</v>
      </c>
      <c r="AJ107" s="2467"/>
      <c r="AK107" s="2471"/>
      <c r="AL107" s="2471"/>
      <c r="AM107" s="2469"/>
      <c r="AN107" s="2469"/>
      <c r="AO107" s="2470"/>
      <c r="AP107" s="2469"/>
      <c r="AQ107" s="2468"/>
      <c r="AR107" s="2620"/>
      <c r="AS107" s="2620" t="e">
        <f t="shared" si="31"/>
        <v>#VALUE!</v>
      </c>
      <c r="AT107" s="2620" t="e">
        <f t="shared" si="32"/>
        <v>#VALUE!</v>
      </c>
      <c r="AU107" s="2620" t="e">
        <f t="shared" si="33"/>
        <v>#VALUE!</v>
      </c>
      <c r="AV107" s="2620"/>
      <c r="AW107" s="2620" t="e">
        <f t="shared" si="34"/>
        <v>#VALUE!</v>
      </c>
      <c r="AX107" s="2620" t="e">
        <f t="shared" si="35"/>
        <v>#VALUE!</v>
      </c>
      <c r="AY107" s="2620" t="e">
        <f t="shared" si="36"/>
        <v>#VALUE!</v>
      </c>
      <c r="AZ107" s="2620"/>
      <c r="BA107" s="2620" t="e">
        <f t="shared" si="37"/>
        <v>#VALUE!</v>
      </c>
      <c r="BB107" s="2620" t="e">
        <f t="shared" si="38"/>
        <v>#VALUE!</v>
      </c>
      <c r="BC107" s="2620" t="e">
        <f t="shared" si="39"/>
        <v>#VALUE!</v>
      </c>
    </row>
    <row r="108" spans="1:55" s="2459" customFormat="1" ht="19.5" customHeight="1">
      <c r="A108" s="1706">
        <f t="shared" si="25"/>
        <v>0</v>
      </c>
      <c r="B108" s="6301" t="str">
        <f t="shared" si="20"/>
        <v/>
      </c>
      <c r="C108" s="6302"/>
      <c r="D108" s="6302"/>
      <c r="E108" s="6302"/>
      <c r="F108" s="6302"/>
      <c r="G108" s="6302"/>
      <c r="H108" s="6302"/>
      <c r="I108" s="6303"/>
      <c r="J108" s="6304" t="str">
        <f t="shared" si="21"/>
        <v/>
      </c>
      <c r="K108" s="6305"/>
      <c r="L108" s="6305"/>
      <c r="M108" s="6304" t="str">
        <f t="shared" si="22"/>
        <v/>
      </c>
      <c r="N108" s="6305"/>
      <c r="O108" s="6305"/>
      <c r="P108" s="6306"/>
      <c r="Q108" s="4641" t="str">
        <f t="shared" si="23"/>
        <v/>
      </c>
      <c r="R108" s="6307"/>
      <c r="S108" s="6307"/>
      <c r="T108" s="6308"/>
      <c r="U108" s="4641" t="str">
        <f t="shared" si="24"/>
        <v/>
      </c>
      <c r="V108" s="6307"/>
      <c r="W108" s="6307"/>
      <c r="X108" s="6308"/>
      <c r="Y108" s="6300" t="str">
        <f t="shared" si="26"/>
        <v/>
      </c>
      <c r="Z108" s="4756"/>
      <c r="AA108" s="6300" t="str">
        <f t="shared" si="27"/>
        <v/>
      </c>
      <c r="AB108" s="4756"/>
      <c r="AC108" s="6309" t="str">
        <f t="shared" si="28"/>
        <v/>
      </c>
      <c r="AD108" s="6310"/>
      <c r="AE108" s="6310"/>
      <c r="AF108" s="6310"/>
      <c r="AG108" s="2631">
        <f t="shared" si="29"/>
        <v>0</v>
      </c>
      <c r="AH108" s="1644"/>
      <c r="AI108" s="1644" t="e">
        <f t="shared" si="30"/>
        <v>#VALUE!</v>
      </c>
      <c r="AJ108" s="2467"/>
      <c r="AK108" s="2471"/>
      <c r="AL108" s="2471"/>
      <c r="AM108" s="2469"/>
      <c r="AN108" s="2469"/>
      <c r="AO108" s="2470"/>
      <c r="AP108" s="2469"/>
      <c r="AQ108" s="2468"/>
      <c r="AS108" s="2620" t="e">
        <f t="shared" si="31"/>
        <v>#VALUE!</v>
      </c>
      <c r="AT108" s="2620" t="e">
        <f t="shared" si="32"/>
        <v>#VALUE!</v>
      </c>
      <c r="AU108" s="2620" t="e">
        <f t="shared" si="33"/>
        <v>#VALUE!</v>
      </c>
      <c r="AV108" s="2620"/>
      <c r="AW108" s="2620" t="e">
        <f t="shared" si="34"/>
        <v>#VALUE!</v>
      </c>
      <c r="AX108" s="2620" t="e">
        <f t="shared" si="35"/>
        <v>#VALUE!</v>
      </c>
      <c r="AY108" s="2620" t="e">
        <f t="shared" si="36"/>
        <v>#VALUE!</v>
      </c>
      <c r="AZ108" s="2620"/>
      <c r="BA108" s="2620" t="e">
        <f t="shared" si="37"/>
        <v>#VALUE!</v>
      </c>
      <c r="BB108" s="2620" t="e">
        <f t="shared" si="38"/>
        <v>#VALUE!</v>
      </c>
      <c r="BC108" s="2620" t="e">
        <f t="shared" si="39"/>
        <v>#VALUE!</v>
      </c>
    </row>
    <row r="109" spans="1:55" s="2459" customFormat="1" ht="19.5" customHeight="1">
      <c r="A109" s="1706">
        <f t="shared" si="25"/>
        <v>0</v>
      </c>
      <c r="B109" s="6301" t="str">
        <f t="shared" si="20"/>
        <v/>
      </c>
      <c r="C109" s="6302"/>
      <c r="D109" s="6302"/>
      <c r="E109" s="6302"/>
      <c r="F109" s="6302"/>
      <c r="G109" s="6302"/>
      <c r="H109" s="6302"/>
      <c r="I109" s="6303"/>
      <c r="J109" s="6304" t="str">
        <f t="shared" si="21"/>
        <v/>
      </c>
      <c r="K109" s="6305"/>
      <c r="L109" s="6305"/>
      <c r="M109" s="6304" t="str">
        <f t="shared" si="22"/>
        <v/>
      </c>
      <c r="N109" s="6305"/>
      <c r="O109" s="6305"/>
      <c r="P109" s="6306"/>
      <c r="Q109" s="4641" t="str">
        <f t="shared" si="23"/>
        <v/>
      </c>
      <c r="R109" s="6307"/>
      <c r="S109" s="6307"/>
      <c r="T109" s="6308"/>
      <c r="U109" s="4641" t="str">
        <f t="shared" si="24"/>
        <v/>
      </c>
      <c r="V109" s="6307"/>
      <c r="W109" s="6307"/>
      <c r="X109" s="6308"/>
      <c r="Y109" s="6300" t="str">
        <f t="shared" si="26"/>
        <v/>
      </c>
      <c r="Z109" s="4756"/>
      <c r="AA109" s="6300" t="str">
        <f t="shared" si="27"/>
        <v/>
      </c>
      <c r="AB109" s="4756"/>
      <c r="AC109" s="6309" t="str">
        <f t="shared" si="28"/>
        <v/>
      </c>
      <c r="AD109" s="6310"/>
      <c r="AE109" s="6310"/>
      <c r="AF109" s="6310"/>
      <c r="AG109" s="2631">
        <f t="shared" si="29"/>
        <v>0</v>
      </c>
      <c r="AH109" s="1644"/>
      <c r="AI109" s="1644" t="e">
        <f t="shared" si="30"/>
        <v>#VALUE!</v>
      </c>
      <c r="AJ109" s="2467"/>
      <c r="AK109" s="2471"/>
      <c r="AL109" s="2471"/>
      <c r="AM109" s="2469"/>
      <c r="AN109" s="2469"/>
      <c r="AO109" s="2470"/>
      <c r="AP109" s="2469"/>
      <c r="AQ109" s="2468"/>
      <c r="AS109" s="2620" t="e">
        <f t="shared" si="31"/>
        <v>#VALUE!</v>
      </c>
      <c r="AT109" s="2620" t="e">
        <f t="shared" si="32"/>
        <v>#VALUE!</v>
      </c>
      <c r="AU109" s="2620" t="e">
        <f t="shared" si="33"/>
        <v>#VALUE!</v>
      </c>
      <c r="AV109" s="2620"/>
      <c r="AW109" s="2620" t="e">
        <f t="shared" si="34"/>
        <v>#VALUE!</v>
      </c>
      <c r="AX109" s="2620" t="e">
        <f t="shared" si="35"/>
        <v>#VALUE!</v>
      </c>
      <c r="AY109" s="2620" t="e">
        <f t="shared" si="36"/>
        <v>#VALUE!</v>
      </c>
      <c r="AZ109" s="2620"/>
      <c r="BA109" s="2620" t="e">
        <f t="shared" si="37"/>
        <v>#VALUE!</v>
      </c>
      <c r="BB109" s="2620" t="e">
        <f t="shared" si="38"/>
        <v>#VALUE!</v>
      </c>
      <c r="BC109" s="2620" t="e">
        <f t="shared" si="39"/>
        <v>#VALUE!</v>
      </c>
    </row>
    <row r="110" spans="1:55" s="2459" customFormat="1" ht="19.5" customHeight="1">
      <c r="A110" s="1706">
        <f t="shared" si="25"/>
        <v>0</v>
      </c>
      <c r="B110" s="6301" t="str">
        <f t="shared" si="20"/>
        <v/>
      </c>
      <c r="C110" s="6302"/>
      <c r="D110" s="6302"/>
      <c r="E110" s="6302"/>
      <c r="F110" s="6302"/>
      <c r="G110" s="6302"/>
      <c r="H110" s="6302"/>
      <c r="I110" s="6303"/>
      <c r="J110" s="6304" t="str">
        <f t="shared" si="21"/>
        <v/>
      </c>
      <c r="K110" s="6305"/>
      <c r="L110" s="6305"/>
      <c r="M110" s="6304" t="str">
        <f t="shared" si="22"/>
        <v/>
      </c>
      <c r="N110" s="6305"/>
      <c r="O110" s="6305"/>
      <c r="P110" s="6306"/>
      <c r="Q110" s="4641" t="str">
        <f t="shared" si="23"/>
        <v/>
      </c>
      <c r="R110" s="6307"/>
      <c r="S110" s="6307"/>
      <c r="T110" s="6308"/>
      <c r="U110" s="4641" t="str">
        <f t="shared" si="24"/>
        <v/>
      </c>
      <c r="V110" s="6307"/>
      <c r="W110" s="6307"/>
      <c r="X110" s="6308"/>
      <c r="Y110" s="6300" t="str">
        <f t="shared" si="26"/>
        <v/>
      </c>
      <c r="Z110" s="4756"/>
      <c r="AA110" s="6300" t="str">
        <f t="shared" si="27"/>
        <v/>
      </c>
      <c r="AB110" s="4756"/>
      <c r="AC110" s="6309" t="str">
        <f t="shared" si="28"/>
        <v/>
      </c>
      <c r="AD110" s="6310"/>
      <c r="AE110" s="6310"/>
      <c r="AF110" s="6310"/>
      <c r="AG110" s="2631">
        <f t="shared" si="29"/>
        <v>0</v>
      </c>
      <c r="AH110" s="1644"/>
      <c r="AI110" s="1644" t="e">
        <f t="shared" si="30"/>
        <v>#VALUE!</v>
      </c>
      <c r="AJ110" s="2467"/>
      <c r="AK110" s="2471"/>
      <c r="AL110" s="2471"/>
      <c r="AM110" s="2469"/>
      <c r="AN110" s="2469"/>
      <c r="AO110" s="2470"/>
      <c r="AP110" s="2469"/>
      <c r="AQ110" s="2468"/>
      <c r="AS110" s="2620" t="e">
        <f t="shared" si="31"/>
        <v>#VALUE!</v>
      </c>
      <c r="AT110" s="2620" t="e">
        <f t="shared" si="32"/>
        <v>#VALUE!</v>
      </c>
      <c r="AU110" s="2620" t="e">
        <f t="shared" si="33"/>
        <v>#VALUE!</v>
      </c>
      <c r="AV110" s="2620"/>
      <c r="AW110" s="2620" t="e">
        <f t="shared" si="34"/>
        <v>#VALUE!</v>
      </c>
      <c r="AX110" s="2620" t="e">
        <f t="shared" si="35"/>
        <v>#VALUE!</v>
      </c>
      <c r="AY110" s="2620" t="e">
        <f t="shared" si="36"/>
        <v>#VALUE!</v>
      </c>
      <c r="AZ110" s="2620"/>
      <c r="BA110" s="2620" t="e">
        <f t="shared" si="37"/>
        <v>#VALUE!</v>
      </c>
      <c r="BB110" s="2620" t="e">
        <f t="shared" si="38"/>
        <v>#VALUE!</v>
      </c>
      <c r="BC110" s="2620" t="e">
        <f t="shared" si="39"/>
        <v>#VALUE!</v>
      </c>
    </row>
    <row r="111" spans="1:55" s="2459" customFormat="1" ht="19.5" customHeight="1">
      <c r="A111" s="1706">
        <f t="shared" si="25"/>
        <v>0</v>
      </c>
      <c r="B111" s="6301" t="str">
        <f t="shared" si="20"/>
        <v/>
      </c>
      <c r="C111" s="6302"/>
      <c r="D111" s="6302"/>
      <c r="E111" s="6302"/>
      <c r="F111" s="6302"/>
      <c r="G111" s="6302"/>
      <c r="H111" s="6302"/>
      <c r="I111" s="6303"/>
      <c r="J111" s="6304" t="str">
        <f t="shared" si="21"/>
        <v/>
      </c>
      <c r="K111" s="6305"/>
      <c r="L111" s="6305"/>
      <c r="M111" s="6304" t="str">
        <f t="shared" si="22"/>
        <v/>
      </c>
      <c r="N111" s="6305"/>
      <c r="O111" s="6305"/>
      <c r="P111" s="6306"/>
      <c r="Q111" s="4641" t="str">
        <f t="shared" si="23"/>
        <v/>
      </c>
      <c r="R111" s="6307"/>
      <c r="S111" s="6307"/>
      <c r="T111" s="6308"/>
      <c r="U111" s="4641" t="str">
        <f t="shared" si="24"/>
        <v/>
      </c>
      <c r="V111" s="6307"/>
      <c r="W111" s="6307"/>
      <c r="X111" s="6308"/>
      <c r="Y111" s="6300" t="str">
        <f t="shared" si="26"/>
        <v/>
      </c>
      <c r="Z111" s="4756"/>
      <c r="AA111" s="6300" t="str">
        <f t="shared" si="27"/>
        <v/>
      </c>
      <c r="AB111" s="4756"/>
      <c r="AC111" s="6309" t="str">
        <f t="shared" si="28"/>
        <v/>
      </c>
      <c r="AD111" s="6310"/>
      <c r="AE111" s="6310"/>
      <c r="AF111" s="6310"/>
      <c r="AG111" s="2631">
        <f t="shared" si="29"/>
        <v>0</v>
      </c>
      <c r="AH111" s="1644"/>
      <c r="AI111" s="1644" t="e">
        <f t="shared" si="30"/>
        <v>#VALUE!</v>
      </c>
      <c r="AJ111" s="2467"/>
      <c r="AK111" s="2471"/>
      <c r="AL111" s="2471"/>
      <c r="AM111" s="2469"/>
      <c r="AN111" s="2469"/>
      <c r="AO111" s="2470"/>
      <c r="AP111" s="2469"/>
      <c r="AQ111" s="2468"/>
      <c r="AS111" s="2620" t="e">
        <f t="shared" si="31"/>
        <v>#VALUE!</v>
      </c>
      <c r="AT111" s="2620" t="e">
        <f t="shared" si="32"/>
        <v>#VALUE!</v>
      </c>
      <c r="AU111" s="2620" t="e">
        <f t="shared" si="33"/>
        <v>#VALUE!</v>
      </c>
      <c r="AV111" s="2620"/>
      <c r="AW111" s="2620" t="e">
        <f t="shared" si="34"/>
        <v>#VALUE!</v>
      </c>
      <c r="AX111" s="2620" t="e">
        <f t="shared" si="35"/>
        <v>#VALUE!</v>
      </c>
      <c r="AY111" s="2620" t="e">
        <f t="shared" si="36"/>
        <v>#VALUE!</v>
      </c>
      <c r="AZ111" s="2620"/>
      <c r="BA111" s="2620" t="e">
        <f t="shared" si="37"/>
        <v>#VALUE!</v>
      </c>
      <c r="BB111" s="2620" t="e">
        <f t="shared" si="38"/>
        <v>#VALUE!</v>
      </c>
      <c r="BC111" s="2620" t="e">
        <f t="shared" si="39"/>
        <v>#VALUE!</v>
      </c>
    </row>
    <row r="112" spans="1:55" s="2459" customFormat="1" ht="19.5" customHeight="1">
      <c r="A112" s="1706">
        <f t="shared" si="25"/>
        <v>0</v>
      </c>
      <c r="B112" s="6301" t="str">
        <f t="shared" si="20"/>
        <v/>
      </c>
      <c r="C112" s="6302"/>
      <c r="D112" s="6302"/>
      <c r="E112" s="6302"/>
      <c r="F112" s="6302"/>
      <c r="G112" s="6302"/>
      <c r="H112" s="6302"/>
      <c r="I112" s="6303"/>
      <c r="J112" s="6304" t="str">
        <f t="shared" si="21"/>
        <v/>
      </c>
      <c r="K112" s="6305"/>
      <c r="L112" s="6305"/>
      <c r="M112" s="6304" t="str">
        <f t="shared" si="22"/>
        <v/>
      </c>
      <c r="N112" s="6305"/>
      <c r="O112" s="6305"/>
      <c r="P112" s="6306"/>
      <c r="Q112" s="4641" t="str">
        <f t="shared" si="23"/>
        <v/>
      </c>
      <c r="R112" s="6307"/>
      <c r="S112" s="6307"/>
      <c r="T112" s="6308"/>
      <c r="U112" s="4641" t="str">
        <f t="shared" si="24"/>
        <v/>
      </c>
      <c r="V112" s="6307"/>
      <c r="W112" s="6307"/>
      <c r="X112" s="6308"/>
      <c r="Y112" s="6300" t="str">
        <f t="shared" si="26"/>
        <v/>
      </c>
      <c r="Z112" s="4756"/>
      <c r="AA112" s="6300" t="str">
        <f t="shared" si="27"/>
        <v/>
      </c>
      <c r="AB112" s="4756"/>
      <c r="AC112" s="6309" t="str">
        <f t="shared" si="28"/>
        <v/>
      </c>
      <c r="AD112" s="6310"/>
      <c r="AE112" s="6310"/>
      <c r="AF112" s="6310"/>
      <c r="AG112" s="2631">
        <f t="shared" si="29"/>
        <v>0</v>
      </c>
      <c r="AH112" s="1644"/>
      <c r="AI112" s="1644" t="e">
        <f t="shared" si="30"/>
        <v>#VALUE!</v>
      </c>
      <c r="AJ112" s="2467"/>
      <c r="AK112" s="2471"/>
      <c r="AL112" s="2471"/>
      <c r="AM112" s="2469"/>
      <c r="AN112" s="2469"/>
      <c r="AO112" s="2470"/>
      <c r="AP112" s="2469"/>
      <c r="AQ112" s="2468"/>
      <c r="AS112" s="2620" t="e">
        <f t="shared" si="31"/>
        <v>#VALUE!</v>
      </c>
      <c r="AT112" s="2620" t="e">
        <f t="shared" si="32"/>
        <v>#VALUE!</v>
      </c>
      <c r="AU112" s="2620" t="e">
        <f t="shared" si="33"/>
        <v>#VALUE!</v>
      </c>
      <c r="AV112" s="2620"/>
      <c r="AW112" s="2620" t="e">
        <f t="shared" si="34"/>
        <v>#VALUE!</v>
      </c>
      <c r="AX112" s="2620" t="e">
        <f t="shared" si="35"/>
        <v>#VALUE!</v>
      </c>
      <c r="AY112" s="2620" t="e">
        <f t="shared" si="36"/>
        <v>#VALUE!</v>
      </c>
      <c r="AZ112" s="2620"/>
      <c r="BA112" s="2620" t="e">
        <f t="shared" si="37"/>
        <v>#VALUE!</v>
      </c>
      <c r="BB112" s="2620" t="e">
        <f t="shared" si="38"/>
        <v>#VALUE!</v>
      </c>
      <c r="BC112" s="2620" t="e">
        <f t="shared" si="39"/>
        <v>#VALUE!</v>
      </c>
    </row>
    <row r="113" spans="1:55" s="2459" customFormat="1" ht="19.5" customHeight="1">
      <c r="A113" s="1706">
        <f t="shared" si="25"/>
        <v>0</v>
      </c>
      <c r="B113" s="6301" t="str">
        <f t="shared" si="20"/>
        <v/>
      </c>
      <c r="C113" s="6302"/>
      <c r="D113" s="6302"/>
      <c r="E113" s="6302"/>
      <c r="F113" s="6302"/>
      <c r="G113" s="6302"/>
      <c r="H113" s="6302"/>
      <c r="I113" s="6303"/>
      <c r="J113" s="6304" t="str">
        <f t="shared" si="21"/>
        <v/>
      </c>
      <c r="K113" s="6305"/>
      <c r="L113" s="6305"/>
      <c r="M113" s="6304" t="str">
        <f t="shared" si="22"/>
        <v/>
      </c>
      <c r="N113" s="6305"/>
      <c r="O113" s="6305"/>
      <c r="P113" s="6306"/>
      <c r="Q113" s="4641" t="str">
        <f t="shared" si="23"/>
        <v/>
      </c>
      <c r="R113" s="6307"/>
      <c r="S113" s="6307"/>
      <c r="T113" s="6308"/>
      <c r="U113" s="4641" t="str">
        <f t="shared" si="24"/>
        <v/>
      </c>
      <c r="V113" s="6307"/>
      <c r="W113" s="6307"/>
      <c r="X113" s="6308"/>
      <c r="Y113" s="6300" t="str">
        <f t="shared" si="26"/>
        <v/>
      </c>
      <c r="Z113" s="4756"/>
      <c r="AA113" s="6300" t="str">
        <f t="shared" si="27"/>
        <v/>
      </c>
      <c r="AB113" s="4756"/>
      <c r="AC113" s="6309" t="str">
        <f t="shared" si="28"/>
        <v/>
      </c>
      <c r="AD113" s="6310"/>
      <c r="AE113" s="6310"/>
      <c r="AF113" s="6310"/>
      <c r="AG113" s="2631">
        <f t="shared" si="29"/>
        <v>0</v>
      </c>
      <c r="AH113" s="1644"/>
      <c r="AI113" s="1644" t="e">
        <f t="shared" si="30"/>
        <v>#VALUE!</v>
      </c>
      <c r="AJ113" s="2467"/>
      <c r="AK113" s="2471"/>
      <c r="AL113" s="2471"/>
      <c r="AM113" s="2469"/>
      <c r="AN113" s="2469"/>
      <c r="AO113" s="2470"/>
      <c r="AP113" s="2469"/>
      <c r="AQ113" s="2468"/>
      <c r="AS113" s="2620" t="e">
        <f t="shared" si="31"/>
        <v>#VALUE!</v>
      </c>
      <c r="AT113" s="2620" t="e">
        <f t="shared" si="32"/>
        <v>#VALUE!</v>
      </c>
      <c r="AU113" s="2620" t="e">
        <f t="shared" si="33"/>
        <v>#VALUE!</v>
      </c>
      <c r="AV113" s="2620"/>
      <c r="AW113" s="2620" t="e">
        <f t="shared" si="34"/>
        <v>#VALUE!</v>
      </c>
      <c r="AX113" s="2620" t="e">
        <f t="shared" si="35"/>
        <v>#VALUE!</v>
      </c>
      <c r="AY113" s="2620" t="e">
        <f t="shared" si="36"/>
        <v>#VALUE!</v>
      </c>
      <c r="AZ113" s="2620"/>
      <c r="BA113" s="2620" t="e">
        <f t="shared" si="37"/>
        <v>#VALUE!</v>
      </c>
      <c r="BB113" s="2620" t="e">
        <f t="shared" si="38"/>
        <v>#VALUE!</v>
      </c>
      <c r="BC113" s="2620" t="e">
        <f t="shared" si="39"/>
        <v>#VALUE!</v>
      </c>
    </row>
    <row r="114" spans="1:55" s="2459" customFormat="1" ht="19.5" customHeight="1">
      <c r="A114" s="1706">
        <f t="shared" si="25"/>
        <v>0</v>
      </c>
      <c r="B114" s="6301" t="str">
        <f t="shared" si="20"/>
        <v/>
      </c>
      <c r="C114" s="6302"/>
      <c r="D114" s="6302"/>
      <c r="E114" s="6302"/>
      <c r="F114" s="6302"/>
      <c r="G114" s="6302"/>
      <c r="H114" s="6302"/>
      <c r="I114" s="6303"/>
      <c r="J114" s="6304" t="str">
        <f t="shared" si="21"/>
        <v/>
      </c>
      <c r="K114" s="6305"/>
      <c r="L114" s="6305"/>
      <c r="M114" s="6304" t="str">
        <f t="shared" si="22"/>
        <v/>
      </c>
      <c r="N114" s="6305"/>
      <c r="O114" s="6305"/>
      <c r="P114" s="6306"/>
      <c r="Q114" s="4641" t="str">
        <f t="shared" si="23"/>
        <v/>
      </c>
      <c r="R114" s="6307"/>
      <c r="S114" s="6307"/>
      <c r="T114" s="6308"/>
      <c r="U114" s="4641" t="str">
        <f t="shared" si="24"/>
        <v/>
      </c>
      <c r="V114" s="6307"/>
      <c r="W114" s="6307"/>
      <c r="X114" s="6308"/>
      <c r="Y114" s="6300" t="str">
        <f t="shared" si="26"/>
        <v/>
      </c>
      <c r="Z114" s="4756"/>
      <c r="AA114" s="6300" t="str">
        <f t="shared" si="27"/>
        <v/>
      </c>
      <c r="AB114" s="4756"/>
      <c r="AC114" s="6309" t="str">
        <f t="shared" si="28"/>
        <v/>
      </c>
      <c r="AD114" s="6310"/>
      <c r="AE114" s="6310"/>
      <c r="AF114" s="6310"/>
      <c r="AG114" s="2631">
        <f t="shared" si="29"/>
        <v>0</v>
      </c>
      <c r="AH114" s="1644"/>
      <c r="AI114" s="1644" t="e">
        <f t="shared" si="30"/>
        <v>#VALUE!</v>
      </c>
      <c r="AJ114" s="2467"/>
      <c r="AK114" s="2471"/>
      <c r="AL114" s="2471"/>
      <c r="AM114" s="2469"/>
      <c r="AN114" s="2469"/>
      <c r="AO114" s="2470"/>
      <c r="AP114" s="2469"/>
      <c r="AQ114" s="2468"/>
      <c r="AS114" s="2620" t="e">
        <f t="shared" si="31"/>
        <v>#VALUE!</v>
      </c>
      <c r="AT114" s="2620" t="e">
        <f t="shared" si="32"/>
        <v>#VALUE!</v>
      </c>
      <c r="AU114" s="2620" t="e">
        <f t="shared" si="33"/>
        <v>#VALUE!</v>
      </c>
      <c r="AV114" s="2620"/>
      <c r="AW114" s="2620" t="e">
        <f t="shared" si="34"/>
        <v>#VALUE!</v>
      </c>
      <c r="AX114" s="2620" t="e">
        <f t="shared" si="35"/>
        <v>#VALUE!</v>
      </c>
      <c r="AY114" s="2620" t="e">
        <f t="shared" si="36"/>
        <v>#VALUE!</v>
      </c>
      <c r="AZ114" s="2620"/>
      <c r="BA114" s="2620" t="e">
        <f t="shared" si="37"/>
        <v>#VALUE!</v>
      </c>
      <c r="BB114" s="2620" t="e">
        <f t="shared" si="38"/>
        <v>#VALUE!</v>
      </c>
      <c r="BC114" s="2620" t="e">
        <f t="shared" si="39"/>
        <v>#VALUE!</v>
      </c>
    </row>
    <row r="115" spans="1:55" s="2459" customFormat="1" ht="19.5" customHeight="1">
      <c r="A115" s="1706">
        <f t="shared" si="25"/>
        <v>0</v>
      </c>
      <c r="B115" s="6301" t="str">
        <f t="shared" si="20"/>
        <v/>
      </c>
      <c r="C115" s="6302"/>
      <c r="D115" s="6302"/>
      <c r="E115" s="6302"/>
      <c r="F115" s="6302"/>
      <c r="G115" s="6302"/>
      <c r="H115" s="6302"/>
      <c r="I115" s="6303"/>
      <c r="J115" s="6304" t="str">
        <f t="shared" si="21"/>
        <v/>
      </c>
      <c r="K115" s="6305"/>
      <c r="L115" s="6305"/>
      <c r="M115" s="6304" t="str">
        <f t="shared" si="22"/>
        <v/>
      </c>
      <c r="N115" s="6305"/>
      <c r="O115" s="6305"/>
      <c r="P115" s="6306"/>
      <c r="Q115" s="4641" t="str">
        <f t="shared" si="23"/>
        <v/>
      </c>
      <c r="R115" s="6307"/>
      <c r="S115" s="6307"/>
      <c r="T115" s="6308"/>
      <c r="U115" s="4641" t="str">
        <f t="shared" si="24"/>
        <v/>
      </c>
      <c r="V115" s="6307"/>
      <c r="W115" s="6307"/>
      <c r="X115" s="6308"/>
      <c r="Y115" s="6300" t="str">
        <f t="shared" si="26"/>
        <v/>
      </c>
      <c r="Z115" s="4756"/>
      <c r="AA115" s="6300" t="str">
        <f t="shared" si="27"/>
        <v/>
      </c>
      <c r="AB115" s="4756"/>
      <c r="AC115" s="6309" t="str">
        <f t="shared" si="28"/>
        <v/>
      </c>
      <c r="AD115" s="6310"/>
      <c r="AE115" s="6310"/>
      <c r="AF115" s="6310"/>
      <c r="AG115" s="2631">
        <f t="shared" si="29"/>
        <v>0</v>
      </c>
      <c r="AH115" s="1644"/>
      <c r="AI115" s="1644" t="e">
        <f t="shared" si="30"/>
        <v>#VALUE!</v>
      </c>
      <c r="AJ115" s="2467"/>
      <c r="AK115" s="2471"/>
      <c r="AL115" s="2471"/>
      <c r="AM115" s="2469"/>
      <c r="AN115" s="2469"/>
      <c r="AO115" s="2470"/>
      <c r="AP115" s="2469"/>
      <c r="AQ115" s="2468"/>
      <c r="AS115" s="2620" t="e">
        <f t="shared" si="31"/>
        <v>#VALUE!</v>
      </c>
      <c r="AT115" s="2620" t="e">
        <f t="shared" si="32"/>
        <v>#VALUE!</v>
      </c>
      <c r="AU115" s="2620" t="e">
        <f t="shared" si="33"/>
        <v>#VALUE!</v>
      </c>
      <c r="AV115" s="2620"/>
      <c r="AW115" s="2620" t="e">
        <f t="shared" si="34"/>
        <v>#VALUE!</v>
      </c>
      <c r="AX115" s="2620" t="e">
        <f t="shared" si="35"/>
        <v>#VALUE!</v>
      </c>
      <c r="AY115" s="2620" t="e">
        <f t="shared" si="36"/>
        <v>#VALUE!</v>
      </c>
      <c r="AZ115" s="2620"/>
      <c r="BA115" s="2620" t="e">
        <f t="shared" si="37"/>
        <v>#VALUE!</v>
      </c>
      <c r="BB115" s="2620" t="e">
        <f t="shared" si="38"/>
        <v>#VALUE!</v>
      </c>
      <c r="BC115" s="2620" t="e">
        <f t="shared" si="39"/>
        <v>#VALUE!</v>
      </c>
    </row>
    <row r="116" spans="1:55" ht="11.25" customHeight="1">
      <c r="A116" s="1706">
        <f>SUM(A88:A115)</f>
        <v>0</v>
      </c>
      <c r="B116" s="6385">
        <v>2</v>
      </c>
      <c r="C116" s="6347" t="s">
        <v>1877</v>
      </c>
      <c r="D116" s="6348"/>
      <c r="E116" s="6348"/>
      <c r="F116" s="6348"/>
      <c r="G116" s="6348"/>
      <c r="H116" s="6348"/>
      <c r="I116" s="6348"/>
      <c r="J116" s="6348"/>
      <c r="K116" s="6348"/>
      <c r="L116" s="6348"/>
      <c r="M116" s="6348"/>
      <c r="N116" s="6348"/>
      <c r="O116" s="6348"/>
      <c r="P116" s="6348"/>
      <c r="Q116" s="6351" t="str">
        <f>IF(A116=0,"",ROUND(SUM(Q88:Q115),0))</f>
        <v/>
      </c>
      <c r="R116" s="6352"/>
      <c r="S116" s="6352"/>
      <c r="T116" s="6353"/>
      <c r="U116" s="6351" t="str">
        <f>IF(A116=0,"",ROUND(SUM(U88:U115),0))</f>
        <v/>
      </c>
      <c r="V116" s="6361"/>
      <c r="W116" s="6361"/>
      <c r="X116" s="6364"/>
      <c r="Y116" s="6371"/>
      <c r="Z116" s="6372"/>
      <c r="AA116" s="6351" t="str">
        <f>IF(A116=0,"",ROUND(SUM(AA88:AA115),0))</f>
        <v/>
      </c>
      <c r="AB116" s="6353"/>
      <c r="AC116" s="6351" t="str">
        <f>IF(A116=0,"",ROUND(SUM(AC88:AC115),0))</f>
        <v/>
      </c>
      <c r="AD116" s="6361"/>
      <c r="AE116" s="6361"/>
      <c r="AF116" s="6361"/>
      <c r="AG116" s="1528"/>
    </row>
    <row r="117" spans="1:55" ht="11.25" customHeight="1">
      <c r="A117" s="1706"/>
      <c r="B117" s="6386"/>
      <c r="C117" s="6349"/>
      <c r="D117" s="6349"/>
      <c r="E117" s="6349"/>
      <c r="F117" s="6349"/>
      <c r="G117" s="6349"/>
      <c r="H117" s="6349"/>
      <c r="I117" s="6349"/>
      <c r="J117" s="6349"/>
      <c r="K117" s="6349"/>
      <c r="L117" s="6349"/>
      <c r="M117" s="6349"/>
      <c r="N117" s="6349"/>
      <c r="O117" s="6349"/>
      <c r="P117" s="6349"/>
      <c r="Q117" s="6354"/>
      <c r="R117" s="6355"/>
      <c r="S117" s="6355"/>
      <c r="T117" s="6356"/>
      <c r="U117" s="6362"/>
      <c r="V117" s="6363"/>
      <c r="W117" s="6363"/>
      <c r="X117" s="6365"/>
      <c r="Y117" s="6373"/>
      <c r="Z117" s="6374"/>
      <c r="AA117" s="6354"/>
      <c r="AB117" s="6356"/>
      <c r="AC117" s="6362"/>
      <c r="AD117" s="6363"/>
      <c r="AE117" s="6363"/>
      <c r="AF117" s="6363"/>
      <c r="AG117" s="1528"/>
    </row>
    <row r="118" spans="1:55" ht="11.25" customHeight="1">
      <c r="A118" s="1706"/>
      <c r="B118" s="6386"/>
      <c r="C118" s="6349"/>
      <c r="D118" s="6349"/>
      <c r="E118" s="6349"/>
      <c r="F118" s="6349"/>
      <c r="G118" s="6349"/>
      <c r="H118" s="6349"/>
      <c r="I118" s="6349"/>
      <c r="J118" s="6349"/>
      <c r="K118" s="6349"/>
      <c r="L118" s="6349"/>
      <c r="M118" s="6349"/>
      <c r="N118" s="6349"/>
      <c r="O118" s="6349"/>
      <c r="P118" s="6349"/>
      <c r="Q118" s="6354"/>
      <c r="R118" s="6355"/>
      <c r="S118" s="6355"/>
      <c r="T118" s="6356"/>
      <c r="U118" s="6362"/>
      <c r="V118" s="6363"/>
      <c r="W118" s="6363"/>
      <c r="X118" s="6365"/>
      <c r="Y118" s="6373"/>
      <c r="Z118" s="6374"/>
      <c r="AA118" s="6354"/>
      <c r="AB118" s="6356"/>
      <c r="AC118" s="6362"/>
      <c r="AD118" s="6363"/>
      <c r="AE118" s="6363"/>
      <c r="AF118" s="6363"/>
      <c r="AG118" s="1528"/>
    </row>
    <row r="119" spans="1:55" ht="11.25" customHeight="1">
      <c r="A119" s="1706"/>
      <c r="B119" s="6386"/>
      <c r="C119" s="6349"/>
      <c r="D119" s="6349"/>
      <c r="E119" s="6349"/>
      <c r="F119" s="6349"/>
      <c r="G119" s="6349"/>
      <c r="H119" s="6349"/>
      <c r="I119" s="6349"/>
      <c r="J119" s="6349"/>
      <c r="K119" s="6349"/>
      <c r="L119" s="6349"/>
      <c r="M119" s="6349"/>
      <c r="N119" s="6349"/>
      <c r="O119" s="6349"/>
      <c r="P119" s="6349"/>
      <c r="Q119" s="6354"/>
      <c r="R119" s="6355"/>
      <c r="S119" s="6355"/>
      <c r="T119" s="6356"/>
      <c r="U119" s="6362"/>
      <c r="V119" s="6363"/>
      <c r="W119" s="6363"/>
      <c r="X119" s="6365"/>
      <c r="Y119" s="6373"/>
      <c r="Z119" s="6374"/>
      <c r="AA119" s="6354"/>
      <c r="AB119" s="6356"/>
      <c r="AC119" s="6362"/>
      <c r="AD119" s="6363"/>
      <c r="AE119" s="6363"/>
      <c r="AF119" s="6363"/>
      <c r="AG119" s="1528"/>
    </row>
    <row r="120" spans="1:55" ht="6" customHeight="1" thickBot="1">
      <c r="A120" s="1706"/>
      <c r="B120" s="6386"/>
      <c r="C120" s="6350"/>
      <c r="D120" s="6350"/>
      <c r="E120" s="6350"/>
      <c r="F120" s="6350"/>
      <c r="G120" s="6350"/>
      <c r="H120" s="6350"/>
      <c r="I120" s="6350"/>
      <c r="J120" s="6350"/>
      <c r="K120" s="6350"/>
      <c r="L120" s="6350"/>
      <c r="M120" s="6350"/>
      <c r="N120" s="6350"/>
      <c r="O120" s="6350"/>
      <c r="P120" s="6350"/>
      <c r="Q120" s="6354"/>
      <c r="R120" s="6355"/>
      <c r="S120" s="6355"/>
      <c r="T120" s="6356"/>
      <c r="U120" s="6366"/>
      <c r="V120" s="6367"/>
      <c r="W120" s="6367"/>
      <c r="X120" s="6368"/>
      <c r="Y120" s="6375"/>
      <c r="Z120" s="6376"/>
      <c r="AA120" s="6377"/>
      <c r="AB120" s="6378"/>
      <c r="AC120" s="6362"/>
      <c r="AD120" s="6363"/>
      <c r="AE120" s="6363"/>
      <c r="AF120" s="6363"/>
      <c r="AG120" s="1528"/>
    </row>
    <row r="121" spans="1:55" ht="25.5" customHeight="1" thickBot="1">
      <c r="A121" s="1706"/>
      <c r="B121" s="6316" t="s">
        <v>3014</v>
      </c>
      <c r="C121" s="6317"/>
      <c r="D121" s="6317"/>
      <c r="E121" s="6317"/>
      <c r="F121" s="6317"/>
      <c r="G121" s="6317"/>
      <c r="H121" s="6317"/>
      <c r="I121" s="6317"/>
      <c r="J121" s="6317"/>
      <c r="K121" s="6317"/>
      <c r="L121" s="6317"/>
      <c r="M121" s="6317"/>
      <c r="N121" s="6317"/>
      <c r="O121" s="6317"/>
      <c r="P121" s="6317"/>
      <c r="Q121" s="6317"/>
      <c r="R121" s="6317"/>
      <c r="S121" s="6317"/>
      <c r="T121" s="6317"/>
      <c r="U121" s="6318"/>
      <c r="V121" s="6318"/>
      <c r="W121" s="6318"/>
      <c r="X121" s="6318"/>
      <c r="Y121" s="6317"/>
      <c r="Z121" s="6317"/>
      <c r="AA121" s="6317"/>
      <c r="AB121" s="6317"/>
      <c r="AC121" s="6317"/>
      <c r="AD121" s="6317"/>
      <c r="AE121" s="6317"/>
      <c r="AF121" s="6317"/>
      <c r="AG121" s="1528"/>
    </row>
    <row r="122" spans="1:55" ht="14.25" customHeight="1" thickTop="1">
      <c r="A122" s="1706"/>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1656"/>
      <c r="AD122" s="1656" t="s">
        <v>1154</v>
      </c>
      <c r="AE122" s="35"/>
      <c r="AF122" s="1656" t="str">
        <f>"("&amp;TaxYear&amp;")"</f>
        <v>(2016)</v>
      </c>
      <c r="AG122" s="1528"/>
    </row>
    <row r="123" spans="1:55">
      <c r="A123" s="1706"/>
      <c r="B123" s="1706"/>
      <c r="C123" s="1706"/>
      <c r="D123" s="1706"/>
      <c r="E123" s="1706"/>
      <c r="F123" s="1706"/>
      <c r="G123" s="1706"/>
      <c r="H123" s="1706"/>
      <c r="I123" s="1706"/>
      <c r="J123" s="1706"/>
      <c r="K123" s="1706"/>
      <c r="L123" s="1706"/>
      <c r="M123" s="1706"/>
      <c r="N123" s="1706"/>
      <c r="O123" s="1706"/>
      <c r="P123" s="1706"/>
      <c r="Q123" s="1706"/>
      <c r="R123" s="1706"/>
      <c r="S123" s="1706"/>
      <c r="T123" s="1706"/>
      <c r="U123" s="1706"/>
      <c r="V123" s="1706"/>
      <c r="W123" s="1706"/>
      <c r="X123" s="1706"/>
      <c r="Y123" s="1706"/>
      <c r="Z123" s="1706"/>
      <c r="AA123" s="1706"/>
      <c r="AB123" s="1706"/>
      <c r="AC123" s="1706"/>
      <c r="AD123" s="1706"/>
      <c r="AE123" s="1706"/>
      <c r="AF123" s="1706"/>
      <c r="AG123" s="1528"/>
    </row>
  </sheetData>
  <sheetProtection password="F07E" sheet="1" objects="1" scenarios="1"/>
  <mergeCells count="471">
    <mergeCell ref="BA22:BC22"/>
    <mergeCell ref="BA75:BC75"/>
    <mergeCell ref="BA76:BA87"/>
    <mergeCell ref="BB76:BB87"/>
    <mergeCell ref="BC76:BC87"/>
    <mergeCell ref="AC116:AF120"/>
    <mergeCell ref="B121:AF121"/>
    <mergeCell ref="B116:B120"/>
    <mergeCell ref="C116:P120"/>
    <mergeCell ref="Q116:T120"/>
    <mergeCell ref="U116:X120"/>
    <mergeCell ref="Y116:Z120"/>
    <mergeCell ref="AA116:AB120"/>
    <mergeCell ref="AA114:AB114"/>
    <mergeCell ref="AC114:AF114"/>
    <mergeCell ref="B115:I115"/>
    <mergeCell ref="J115:L115"/>
    <mergeCell ref="M115:P115"/>
    <mergeCell ref="Q115:T115"/>
    <mergeCell ref="U115:X115"/>
    <mergeCell ref="Y115:Z115"/>
    <mergeCell ref="AA115:AB115"/>
    <mergeCell ref="AC115:AF115"/>
    <mergeCell ref="B114:I114"/>
    <mergeCell ref="J114:L114"/>
    <mergeCell ref="M114:P114"/>
    <mergeCell ref="Q114:T114"/>
    <mergeCell ref="U114:X114"/>
    <mergeCell ref="Y114:Z114"/>
    <mergeCell ref="AA112:AB112"/>
    <mergeCell ref="AC112:AF112"/>
    <mergeCell ref="B113:I113"/>
    <mergeCell ref="J113:L113"/>
    <mergeCell ref="M113:P113"/>
    <mergeCell ref="Q113:T113"/>
    <mergeCell ref="U113:X113"/>
    <mergeCell ref="Y113:Z113"/>
    <mergeCell ref="AA113:AB113"/>
    <mergeCell ref="AC113:AF113"/>
    <mergeCell ref="B112:I112"/>
    <mergeCell ref="J112:L112"/>
    <mergeCell ref="M112:P112"/>
    <mergeCell ref="Q112:T112"/>
    <mergeCell ref="U112:X112"/>
    <mergeCell ref="Y112:Z112"/>
    <mergeCell ref="AA110:AB110"/>
    <mergeCell ref="AC110:AF110"/>
    <mergeCell ref="B111:I111"/>
    <mergeCell ref="J111:L111"/>
    <mergeCell ref="M111:P111"/>
    <mergeCell ref="Q111:T111"/>
    <mergeCell ref="U111:X111"/>
    <mergeCell ref="Y111:Z111"/>
    <mergeCell ref="AA111:AB111"/>
    <mergeCell ref="AC111:AF111"/>
    <mergeCell ref="B110:I110"/>
    <mergeCell ref="J110:L110"/>
    <mergeCell ref="M110:P110"/>
    <mergeCell ref="Q110:T110"/>
    <mergeCell ref="U110:X110"/>
    <mergeCell ref="Y110:Z110"/>
    <mergeCell ref="AA108:AB108"/>
    <mergeCell ref="AC108:AF108"/>
    <mergeCell ref="B109:I109"/>
    <mergeCell ref="J109:L109"/>
    <mergeCell ref="M109:P109"/>
    <mergeCell ref="Q109:T109"/>
    <mergeCell ref="U109:X109"/>
    <mergeCell ref="Y109:Z109"/>
    <mergeCell ref="AA109:AB109"/>
    <mergeCell ref="AC109:AF109"/>
    <mergeCell ref="B108:I108"/>
    <mergeCell ref="J108:L108"/>
    <mergeCell ref="M108:P108"/>
    <mergeCell ref="Q108:T108"/>
    <mergeCell ref="U108:X108"/>
    <mergeCell ref="Y108:Z108"/>
    <mergeCell ref="AA106:AB106"/>
    <mergeCell ref="AC106:AF106"/>
    <mergeCell ref="B107:I107"/>
    <mergeCell ref="J107:L107"/>
    <mergeCell ref="M107:P107"/>
    <mergeCell ref="Q107:T107"/>
    <mergeCell ref="U107:X107"/>
    <mergeCell ref="Y107:Z107"/>
    <mergeCell ref="AA107:AB107"/>
    <mergeCell ref="AC107:AF107"/>
    <mergeCell ref="B106:I106"/>
    <mergeCell ref="J106:L106"/>
    <mergeCell ref="M106:P106"/>
    <mergeCell ref="Q106:T106"/>
    <mergeCell ref="U106:X106"/>
    <mergeCell ref="Y106:Z106"/>
    <mergeCell ref="AA104:AB104"/>
    <mergeCell ref="AC104:AF104"/>
    <mergeCell ref="B105:I105"/>
    <mergeCell ref="J105:L105"/>
    <mergeCell ref="M105:P105"/>
    <mergeCell ref="Q105:T105"/>
    <mergeCell ref="U105:X105"/>
    <mergeCell ref="Y105:Z105"/>
    <mergeCell ref="AA105:AB105"/>
    <mergeCell ref="AC105:AF105"/>
    <mergeCell ref="B104:I104"/>
    <mergeCell ref="J104:L104"/>
    <mergeCell ref="M104:P104"/>
    <mergeCell ref="Q104:T104"/>
    <mergeCell ref="U104:X104"/>
    <mergeCell ref="Y104:Z104"/>
    <mergeCell ref="AA102:AB102"/>
    <mergeCell ref="AC102:AF102"/>
    <mergeCell ref="B103:I103"/>
    <mergeCell ref="J103:L103"/>
    <mergeCell ref="M103:P103"/>
    <mergeCell ref="Q103:T103"/>
    <mergeCell ref="U103:X103"/>
    <mergeCell ref="Y103:Z103"/>
    <mergeCell ref="AA103:AB103"/>
    <mergeCell ref="AC103:AF103"/>
    <mergeCell ref="B102:I102"/>
    <mergeCell ref="J102:L102"/>
    <mergeCell ref="M102:P102"/>
    <mergeCell ref="Q102:T102"/>
    <mergeCell ref="U102:X102"/>
    <mergeCell ref="Y102:Z102"/>
    <mergeCell ref="AA100:AB100"/>
    <mergeCell ref="AC100:AF100"/>
    <mergeCell ref="B101:I101"/>
    <mergeCell ref="J101:L101"/>
    <mergeCell ref="M101:P101"/>
    <mergeCell ref="Q101:T101"/>
    <mergeCell ref="U101:X101"/>
    <mergeCell ref="Y101:Z101"/>
    <mergeCell ref="AA101:AB101"/>
    <mergeCell ref="AC101:AF101"/>
    <mergeCell ref="B100:I100"/>
    <mergeCell ref="J100:L100"/>
    <mergeCell ref="M100:P100"/>
    <mergeCell ref="Q100:T100"/>
    <mergeCell ref="U100:X100"/>
    <mergeCell ref="Y100:Z100"/>
    <mergeCell ref="AA98:AB98"/>
    <mergeCell ref="AC98:AF98"/>
    <mergeCell ref="B99:I99"/>
    <mergeCell ref="J99:L99"/>
    <mergeCell ref="M99:P99"/>
    <mergeCell ref="Q99:T99"/>
    <mergeCell ref="U99:X99"/>
    <mergeCell ref="Y99:Z99"/>
    <mergeCell ref="AA99:AB99"/>
    <mergeCell ref="AC99:AF99"/>
    <mergeCell ref="B98:I98"/>
    <mergeCell ref="J98:L98"/>
    <mergeCell ref="M98:P98"/>
    <mergeCell ref="Q98:T98"/>
    <mergeCell ref="U98:X98"/>
    <mergeCell ref="Y98:Z98"/>
    <mergeCell ref="AA96:AB96"/>
    <mergeCell ref="AC96:AF96"/>
    <mergeCell ref="B97:I97"/>
    <mergeCell ref="J97:L97"/>
    <mergeCell ref="M97:P97"/>
    <mergeCell ref="Q97:T97"/>
    <mergeCell ref="U97:X97"/>
    <mergeCell ref="Y97:Z97"/>
    <mergeCell ref="AA97:AB97"/>
    <mergeCell ref="AC97:AF97"/>
    <mergeCell ref="B96:I96"/>
    <mergeCell ref="J96:L96"/>
    <mergeCell ref="M96:P96"/>
    <mergeCell ref="Q96:T96"/>
    <mergeCell ref="U96:X96"/>
    <mergeCell ref="Y96:Z96"/>
    <mergeCell ref="AA94:AB94"/>
    <mergeCell ref="AC94:AF94"/>
    <mergeCell ref="B95:I95"/>
    <mergeCell ref="J95:L95"/>
    <mergeCell ref="M95:P95"/>
    <mergeCell ref="Q95:T95"/>
    <mergeCell ref="U95:X95"/>
    <mergeCell ref="Y95:Z95"/>
    <mergeCell ref="AA95:AB95"/>
    <mergeCell ref="AC95:AF95"/>
    <mergeCell ref="B94:I94"/>
    <mergeCell ref="J94:L94"/>
    <mergeCell ref="M94:P94"/>
    <mergeCell ref="Q94:T94"/>
    <mergeCell ref="U94:X94"/>
    <mergeCell ref="Y94:Z94"/>
    <mergeCell ref="AA92:AB92"/>
    <mergeCell ref="AC92:AF92"/>
    <mergeCell ref="B93:I93"/>
    <mergeCell ref="J93:L93"/>
    <mergeCell ref="M93:P93"/>
    <mergeCell ref="Q93:T93"/>
    <mergeCell ref="U93:X93"/>
    <mergeCell ref="Y93:Z93"/>
    <mergeCell ref="AA93:AB93"/>
    <mergeCell ref="AC93:AF93"/>
    <mergeCell ref="B92:I92"/>
    <mergeCell ref="J92:L92"/>
    <mergeCell ref="M92:P92"/>
    <mergeCell ref="Q92:T92"/>
    <mergeCell ref="U92:X92"/>
    <mergeCell ref="Y92:Z92"/>
    <mergeCell ref="AA90:AB90"/>
    <mergeCell ref="AC90:AF90"/>
    <mergeCell ref="B91:I91"/>
    <mergeCell ref="J91:L91"/>
    <mergeCell ref="M91:P91"/>
    <mergeCell ref="Q91:T91"/>
    <mergeCell ref="U91:X91"/>
    <mergeCell ref="Y91:Z91"/>
    <mergeCell ref="AA91:AB91"/>
    <mergeCell ref="AC91:AF91"/>
    <mergeCell ref="B90:I90"/>
    <mergeCell ref="J90:L90"/>
    <mergeCell ref="M90:P90"/>
    <mergeCell ref="Q90:T90"/>
    <mergeCell ref="U90:X90"/>
    <mergeCell ref="Y90:Z90"/>
    <mergeCell ref="AK84:AK87"/>
    <mergeCell ref="AL84:AL87"/>
    <mergeCell ref="AA88:AB88"/>
    <mergeCell ref="AC88:AF88"/>
    <mergeCell ref="B89:I89"/>
    <mergeCell ref="J89:L89"/>
    <mergeCell ref="M89:P89"/>
    <mergeCell ref="Q89:T89"/>
    <mergeCell ref="U89:X89"/>
    <mergeCell ref="Y89:Z89"/>
    <mergeCell ref="AA89:AB89"/>
    <mergeCell ref="AC89:AF89"/>
    <mergeCell ref="B88:I88"/>
    <mergeCell ref="J88:L88"/>
    <mergeCell ref="M88:P88"/>
    <mergeCell ref="Q88:T88"/>
    <mergeCell ref="U88:X88"/>
    <mergeCell ref="Y88:Z88"/>
    <mergeCell ref="U55:X59"/>
    <mergeCell ref="Y55:Z59"/>
    <mergeCell ref="AA55:AB59"/>
    <mergeCell ref="B69:C69"/>
    <mergeCell ref="AJ78:AQ78"/>
    <mergeCell ref="AJ80:AQ80"/>
    <mergeCell ref="AJ82:AQ82"/>
    <mergeCell ref="B84:B87"/>
    <mergeCell ref="C84:I87"/>
    <mergeCell ref="J84:L87"/>
    <mergeCell ref="M84:P87"/>
    <mergeCell ref="Q84:T87"/>
    <mergeCell ref="AM84:AM87"/>
    <mergeCell ref="AN84:AN87"/>
    <mergeCell ref="AO84:AP85"/>
    <mergeCell ref="AQ84:AQ87"/>
    <mergeCell ref="Y86:Z87"/>
    <mergeCell ref="AA86:AB87"/>
    <mergeCell ref="AO86:AO87"/>
    <mergeCell ref="AP86:AP87"/>
    <mergeCell ref="U84:X87"/>
    <mergeCell ref="Y84:AB85"/>
    <mergeCell ref="AC84:AF87"/>
    <mergeCell ref="AJ84:AJ87"/>
    <mergeCell ref="B65:AF67"/>
    <mergeCell ref="AA53:AB53"/>
    <mergeCell ref="AC53:AF53"/>
    <mergeCell ref="B54:I54"/>
    <mergeCell ref="J54:L54"/>
    <mergeCell ref="M54:P54"/>
    <mergeCell ref="Q54:T54"/>
    <mergeCell ref="U54:X54"/>
    <mergeCell ref="Y54:Z54"/>
    <mergeCell ref="AA54:AB54"/>
    <mergeCell ref="AC54:AF54"/>
    <mergeCell ref="B53:I53"/>
    <mergeCell ref="J53:L53"/>
    <mergeCell ref="M53:P53"/>
    <mergeCell ref="Q53:T53"/>
    <mergeCell ref="U53:X53"/>
    <mergeCell ref="Y53:Z53"/>
    <mergeCell ref="AC55:AF59"/>
    <mergeCell ref="B60:AF60"/>
    <mergeCell ref="B64:U64"/>
    <mergeCell ref="V64:AF64"/>
    <mergeCell ref="B55:B59"/>
    <mergeCell ref="C55:P59"/>
    <mergeCell ref="Q55:T59"/>
    <mergeCell ref="AA51:AB51"/>
    <mergeCell ref="AC51:AF51"/>
    <mergeCell ref="B52:I52"/>
    <mergeCell ref="J52:L52"/>
    <mergeCell ref="M52:P52"/>
    <mergeCell ref="Q52:T52"/>
    <mergeCell ref="U52:X52"/>
    <mergeCell ref="Y52:Z52"/>
    <mergeCell ref="AA52:AB52"/>
    <mergeCell ref="AC52:AF52"/>
    <mergeCell ref="B51:I51"/>
    <mergeCell ref="J51:L51"/>
    <mergeCell ref="M51:P51"/>
    <mergeCell ref="Q51:T51"/>
    <mergeCell ref="U51:X51"/>
    <mergeCell ref="Y51:Z51"/>
    <mergeCell ref="AA49:AB49"/>
    <mergeCell ref="AC49:AF49"/>
    <mergeCell ref="B50:I50"/>
    <mergeCell ref="J50:L50"/>
    <mergeCell ref="M50:P50"/>
    <mergeCell ref="Q50:T50"/>
    <mergeCell ref="U50:X50"/>
    <mergeCell ref="Y50:Z50"/>
    <mergeCell ref="AA50:AB50"/>
    <mergeCell ref="AC50:AF50"/>
    <mergeCell ref="B49:I49"/>
    <mergeCell ref="J49:L49"/>
    <mergeCell ref="M49:P49"/>
    <mergeCell ref="Q49:T49"/>
    <mergeCell ref="U49:X49"/>
    <mergeCell ref="Y49:Z49"/>
    <mergeCell ref="AA47:AB47"/>
    <mergeCell ref="AC47:AF47"/>
    <mergeCell ref="B48:I48"/>
    <mergeCell ref="J48:L48"/>
    <mergeCell ref="M48:P48"/>
    <mergeCell ref="Q48:T48"/>
    <mergeCell ref="U48:X48"/>
    <mergeCell ref="Y48:Z48"/>
    <mergeCell ref="AA48:AB48"/>
    <mergeCell ref="AC48:AF48"/>
    <mergeCell ref="B47:I47"/>
    <mergeCell ref="J47:L47"/>
    <mergeCell ref="M47:P47"/>
    <mergeCell ref="Q47:T47"/>
    <mergeCell ref="U47:X47"/>
    <mergeCell ref="Y47:Z47"/>
    <mergeCell ref="AA45:AB45"/>
    <mergeCell ref="AC45:AF45"/>
    <mergeCell ref="B46:I46"/>
    <mergeCell ref="J46:L46"/>
    <mergeCell ref="M46:P46"/>
    <mergeCell ref="Q46:T46"/>
    <mergeCell ref="U46:X46"/>
    <mergeCell ref="Y46:Z46"/>
    <mergeCell ref="AA46:AB46"/>
    <mergeCell ref="AC46:AF46"/>
    <mergeCell ref="B45:I45"/>
    <mergeCell ref="J45:L45"/>
    <mergeCell ref="M45:P45"/>
    <mergeCell ref="Q45:T45"/>
    <mergeCell ref="U45:X45"/>
    <mergeCell ref="Y45:Z45"/>
    <mergeCell ref="AA43:AB43"/>
    <mergeCell ref="AC43:AF43"/>
    <mergeCell ref="B44:I44"/>
    <mergeCell ref="J44:L44"/>
    <mergeCell ref="M44:P44"/>
    <mergeCell ref="Q44:T44"/>
    <mergeCell ref="U44:X44"/>
    <mergeCell ref="Y44:Z44"/>
    <mergeCell ref="AA44:AB44"/>
    <mergeCell ref="AC44:AF44"/>
    <mergeCell ref="B43:I43"/>
    <mergeCell ref="J43:L43"/>
    <mergeCell ref="M43:P43"/>
    <mergeCell ref="Q43:T43"/>
    <mergeCell ref="U43:X43"/>
    <mergeCell ref="Y43:Z43"/>
    <mergeCell ref="AA41:AB41"/>
    <mergeCell ref="AC41:AF41"/>
    <mergeCell ref="B42:I42"/>
    <mergeCell ref="J42:L42"/>
    <mergeCell ref="M42:P42"/>
    <mergeCell ref="Q42:T42"/>
    <mergeCell ref="U42:X42"/>
    <mergeCell ref="Y42:Z42"/>
    <mergeCell ref="AA42:AB42"/>
    <mergeCell ref="AC42:AF42"/>
    <mergeCell ref="B41:I41"/>
    <mergeCell ref="J41:L41"/>
    <mergeCell ref="M41:P41"/>
    <mergeCell ref="Q41:T41"/>
    <mergeCell ref="U41:X41"/>
    <mergeCell ref="Y41:Z41"/>
    <mergeCell ref="AA39:AB39"/>
    <mergeCell ref="AC39:AF39"/>
    <mergeCell ref="B40:I40"/>
    <mergeCell ref="J40:L40"/>
    <mergeCell ref="M40:P40"/>
    <mergeCell ref="Q40:T40"/>
    <mergeCell ref="U40:X40"/>
    <mergeCell ref="Y40:Z40"/>
    <mergeCell ref="AA40:AB40"/>
    <mergeCell ref="AC40:AF40"/>
    <mergeCell ref="B39:I39"/>
    <mergeCell ref="J39:L39"/>
    <mergeCell ref="M39:P39"/>
    <mergeCell ref="Q39:T39"/>
    <mergeCell ref="U39:X39"/>
    <mergeCell ref="Y39:Z39"/>
    <mergeCell ref="AA37:AB37"/>
    <mergeCell ref="AC37:AF37"/>
    <mergeCell ref="B38:I38"/>
    <mergeCell ref="J38:L38"/>
    <mergeCell ref="M38:P38"/>
    <mergeCell ref="Q38:T38"/>
    <mergeCell ref="U38:X38"/>
    <mergeCell ref="Y38:Z38"/>
    <mergeCell ref="AA38:AB38"/>
    <mergeCell ref="AC38:AF38"/>
    <mergeCell ref="B37:I37"/>
    <mergeCell ref="J37:L37"/>
    <mergeCell ref="M37:P37"/>
    <mergeCell ref="Q37:T37"/>
    <mergeCell ref="U37:X37"/>
    <mergeCell ref="Y37:Z37"/>
    <mergeCell ref="AJ25:AQ25"/>
    <mergeCell ref="AJ27:AQ27"/>
    <mergeCell ref="AJ29:AQ29"/>
    <mergeCell ref="B31:B34"/>
    <mergeCell ref="C31:I34"/>
    <mergeCell ref="J31:L34"/>
    <mergeCell ref="M31:P34"/>
    <mergeCell ref="Q31:T34"/>
    <mergeCell ref="AM31:AM34"/>
    <mergeCell ref="AN31:AN34"/>
    <mergeCell ref="AO31:AP32"/>
    <mergeCell ref="AQ31:AQ34"/>
    <mergeCell ref="Y33:Z34"/>
    <mergeCell ref="AA33:AB34"/>
    <mergeCell ref="AO33:AO34"/>
    <mergeCell ref="AP33:AP34"/>
    <mergeCell ref="U31:X34"/>
    <mergeCell ref="Y31:AB32"/>
    <mergeCell ref="AC31:AF34"/>
    <mergeCell ref="AJ31:AJ34"/>
    <mergeCell ref="AK31:AK34"/>
    <mergeCell ref="AL31:AL34"/>
    <mergeCell ref="U35:X35"/>
    <mergeCell ref="B2:K2"/>
    <mergeCell ref="B4:F6"/>
    <mergeCell ref="H4:AA6"/>
    <mergeCell ref="AB4:AF4"/>
    <mergeCell ref="AB5:AF7"/>
    <mergeCell ref="H7:AA7"/>
    <mergeCell ref="B16:C16"/>
    <mergeCell ref="Y35:Z35"/>
    <mergeCell ref="B12:AF14"/>
    <mergeCell ref="BA23:BA34"/>
    <mergeCell ref="BB23:BB34"/>
    <mergeCell ref="BC23:BC34"/>
    <mergeCell ref="R82:AE82"/>
    <mergeCell ref="R28:AE28"/>
    <mergeCell ref="R29:AE29"/>
    <mergeCell ref="H8:AA8"/>
    <mergeCell ref="AB8:AF9"/>
    <mergeCell ref="B11:U11"/>
    <mergeCell ref="V11:AF11"/>
    <mergeCell ref="AA35:AB35"/>
    <mergeCell ref="AC35:AF35"/>
    <mergeCell ref="B36:I36"/>
    <mergeCell ref="J36:L36"/>
    <mergeCell ref="M36:P36"/>
    <mergeCell ref="Q36:T36"/>
    <mergeCell ref="U36:X36"/>
    <mergeCell ref="Y36:Z36"/>
    <mergeCell ref="AA36:AB36"/>
    <mergeCell ref="AC36:AF36"/>
    <mergeCell ref="B35:I35"/>
    <mergeCell ref="J35:L35"/>
    <mergeCell ref="M35:P35"/>
    <mergeCell ref="Q35:T35"/>
  </mergeCells>
  <conditionalFormatting sqref="P69">
    <cfRule type="expression" dxfId="253" priority="64" stopIfTrue="1">
      <formula>IF(AND($L$2="",$AG$69),TRUE,FALSE)</formula>
    </cfRule>
  </conditionalFormatting>
  <conditionalFormatting sqref="T16">
    <cfRule type="expression" dxfId="252" priority="63" stopIfTrue="1">
      <formula>IF(AND($L$2="",$AG$16),TRUE,FALSE)</formula>
    </cfRule>
  </conditionalFormatting>
  <conditionalFormatting sqref="T69">
    <cfRule type="expression" dxfId="251" priority="62" stopIfTrue="1">
      <formula>IF(AND($L$2="",$AG$69),TRUE,FALSE)</formula>
    </cfRule>
  </conditionalFormatting>
  <conditionalFormatting sqref="L2">
    <cfRule type="expression" dxfId="250" priority="65" stopIfTrue="1">
      <formula>IF(OR($AG$16,$AG$69),1,0)</formula>
    </cfRule>
  </conditionalFormatting>
  <conditionalFormatting sqref="B2">
    <cfRule type="expression" dxfId="249" priority="66" stopIfTrue="1">
      <formula>IF(OR($AG$16,$AG$69),1,0)</formula>
    </cfRule>
  </conditionalFormatting>
  <conditionalFormatting sqref="B11:AF11">
    <cfRule type="expression" dxfId="248" priority="48">
      <formula>IF(NoColor,1,0)</formula>
    </cfRule>
  </conditionalFormatting>
  <conditionalFormatting sqref="C27">
    <cfRule type="expression" dxfId="247" priority="46">
      <formula>IF(NoColor,1,0)</formula>
    </cfRule>
  </conditionalFormatting>
  <conditionalFormatting sqref="M37">
    <cfRule type="expression" dxfId="246" priority="44" stopIfTrue="1">
      <formula>IF(AND($L$2="",AG37&gt;0),TRUE,FALSE)</formula>
    </cfRule>
  </conditionalFormatting>
  <conditionalFormatting sqref="J37">
    <cfRule type="expression" dxfId="245" priority="43" stopIfTrue="1">
      <formula>IF(AND($L$2="",AG37&lt;&gt;0),TRUE,FALSE)</formula>
    </cfRule>
  </conditionalFormatting>
  <conditionalFormatting sqref="M38">
    <cfRule type="expression" dxfId="244" priority="42" stopIfTrue="1">
      <formula>IF(AND($L$2="",AG38&gt;0),TRUE,FALSE)</formula>
    </cfRule>
  </conditionalFormatting>
  <conditionalFormatting sqref="J38">
    <cfRule type="expression" dxfId="243" priority="41" stopIfTrue="1">
      <formula>IF(AND($L$2="",AG38&lt;&gt;0),TRUE,FALSE)</formula>
    </cfRule>
  </conditionalFormatting>
  <conditionalFormatting sqref="M39:M41 M43:M54">
    <cfRule type="expression" dxfId="242" priority="40" stopIfTrue="1">
      <formula>IF(AND($L$2="",AG39&gt;0),TRUE,FALSE)</formula>
    </cfRule>
  </conditionalFormatting>
  <conditionalFormatting sqref="J39:J41 J43:J54">
    <cfRule type="expression" dxfId="241" priority="39" stopIfTrue="1">
      <formula>IF(AND($L$2="",AG39&lt;&gt;0),TRUE,FALSE)</formula>
    </cfRule>
  </conditionalFormatting>
  <conditionalFormatting sqref="J42">
    <cfRule type="expression" dxfId="240" priority="38" stopIfTrue="1">
      <formula>IF(AND($L$2="",AG42&lt;&gt;0),TRUE,FALSE)</formula>
    </cfRule>
  </conditionalFormatting>
  <conditionalFormatting sqref="M42">
    <cfRule type="expression" dxfId="239" priority="37" stopIfTrue="1">
      <formula>IF(AND($L$2="",AG42&gt;0),TRUE,FALSE)</formula>
    </cfRule>
  </conditionalFormatting>
  <conditionalFormatting sqref="J36">
    <cfRule type="expression" dxfId="238" priority="36" stopIfTrue="1">
      <formula>IF(AND($L$2="",AG36&lt;&gt;0),TRUE,FALSE)</formula>
    </cfRule>
  </conditionalFormatting>
  <conditionalFormatting sqref="M36">
    <cfRule type="expression" dxfId="237" priority="35" stopIfTrue="1">
      <formula>IF(AND($L$2="",AG36&gt;0),TRUE,FALSE)</formula>
    </cfRule>
  </conditionalFormatting>
  <conditionalFormatting sqref="B36:AB54">
    <cfRule type="expression" dxfId="236" priority="34">
      <formula>IF(NoColor,1,0)</formula>
    </cfRule>
  </conditionalFormatting>
  <conditionalFormatting sqref="J35">
    <cfRule type="expression" dxfId="235" priority="33" stopIfTrue="1">
      <formula>IF(AND($L$2="",AG35&lt;&gt;0),TRUE,FALSE)</formula>
    </cfRule>
  </conditionalFormatting>
  <conditionalFormatting sqref="M35">
    <cfRule type="expression" dxfId="234" priority="32" stopIfTrue="1">
      <formula>IF(AND($L$2="",AG35&gt;0),TRUE,FALSE)</formula>
    </cfRule>
  </conditionalFormatting>
  <conditionalFormatting sqref="B35:AB35">
    <cfRule type="expression" dxfId="233" priority="31">
      <formula>IF(NoColor,1,0)</formula>
    </cfRule>
  </conditionalFormatting>
  <conditionalFormatting sqref="B64:AF64">
    <cfRule type="expression" dxfId="232" priority="30">
      <formula>IF(NoColor,1,0)</formula>
    </cfRule>
  </conditionalFormatting>
  <conditionalFormatting sqref="C78">
    <cfRule type="expression" dxfId="231" priority="29">
      <formula>IF(NoColor,1,0)</formula>
    </cfRule>
  </conditionalFormatting>
  <conditionalFormatting sqref="M88:M115">
    <cfRule type="expression" dxfId="230" priority="26" stopIfTrue="1">
      <formula>IF(AND($L$2="",AG88&gt;0),TRUE,FALSE)</formula>
    </cfRule>
  </conditionalFormatting>
  <conditionalFormatting sqref="J88:J115">
    <cfRule type="expression" dxfId="229" priority="25" stopIfTrue="1">
      <formula>IF(AND($L$2="",AG88&lt;&gt;0),TRUE,FALSE)</formula>
    </cfRule>
  </conditionalFormatting>
  <conditionalFormatting sqref="B88:AB115">
    <cfRule type="expression" dxfId="228" priority="24">
      <formula>IF(NoColor,1,0)</formula>
    </cfRule>
  </conditionalFormatting>
  <conditionalFormatting sqref="Q55:X59">
    <cfRule type="expression" dxfId="227" priority="18">
      <formula>IF(NoColor,1,0)</formula>
    </cfRule>
  </conditionalFormatting>
  <conditionalFormatting sqref="AA55:AF59">
    <cfRule type="expression" dxfId="226" priority="17">
      <formula>IF(NoColor,1,0)</formula>
    </cfRule>
  </conditionalFormatting>
  <conditionalFormatting sqref="Q116:X120">
    <cfRule type="expression" dxfId="225" priority="16">
      <formula>IF(NoColor,1,0)</formula>
    </cfRule>
  </conditionalFormatting>
  <conditionalFormatting sqref="AA116:AF120">
    <cfRule type="expression" dxfId="224" priority="15">
      <formula>IF(NoColor,1,0)</formula>
    </cfRule>
  </conditionalFormatting>
  <conditionalFormatting sqref="C25">
    <cfRule type="expression" dxfId="223" priority="14">
      <formula>IF(NoColor,1,0)</formula>
    </cfRule>
  </conditionalFormatting>
  <conditionalFormatting sqref="C29">
    <cfRule type="expression" dxfId="222" priority="13">
      <formula>IF(NoColor,1,0)</formula>
    </cfRule>
  </conditionalFormatting>
  <conditionalFormatting sqref="AC35:AF54">
    <cfRule type="expression" dxfId="221" priority="12">
      <formula>IF(NoColor,1,0)</formula>
    </cfRule>
  </conditionalFormatting>
  <conditionalFormatting sqref="AC88:AF115">
    <cfRule type="expression" dxfId="220" priority="11">
      <formula>IF(NoColor,1,0)</formula>
    </cfRule>
  </conditionalFormatting>
  <conditionalFormatting sqref="C80">
    <cfRule type="expression" dxfId="219" priority="10">
      <formula>IF(NoColor,1,0)</formula>
    </cfRule>
  </conditionalFormatting>
  <conditionalFormatting sqref="C82">
    <cfRule type="expression" dxfId="218" priority="9">
      <formula>IF(NoColor,1,0)</formula>
    </cfRule>
  </conditionalFormatting>
  <conditionalFormatting sqref="B21">
    <cfRule type="expression" dxfId="217" priority="6">
      <formula>IF($A$31=0,1,0)</formula>
    </cfRule>
  </conditionalFormatting>
  <conditionalFormatting sqref="L21">
    <cfRule type="expression" dxfId="216" priority="5">
      <formula>IF($A$31&gt;1,1,0)</formula>
    </cfRule>
  </conditionalFormatting>
  <conditionalFormatting sqref="K74">
    <cfRule type="expression" dxfId="215" priority="2">
      <formula>IF($A$82&gt;1,1,0)</formula>
    </cfRule>
  </conditionalFormatting>
  <conditionalFormatting sqref="B74">
    <cfRule type="expression" dxfId="214" priority="1">
      <formula>IF($A$31=0,1,0)</formula>
    </cfRule>
  </conditionalFormatting>
  <printOptions horizontalCentered="1"/>
  <pageMargins left="0.2" right="0.2" top="0.5" bottom="0.5" header="0.3" footer="0.3"/>
  <pageSetup scale="78" fitToHeight="2" orientation="portrait" r:id="rId1"/>
  <rowBreaks count="1" manualBreakCount="1">
    <brk id="61" min="1" max="31" man="1"/>
  </rowBreaks>
  <drawing r:id="rId2"/>
  <extLst>
    <ext xmlns:x14="http://schemas.microsoft.com/office/spreadsheetml/2009/9/main" uri="{78C0D931-6437-407d-A8EE-F0AAD7539E65}">
      <x14:conditionalFormattings>
        <x14:conditionalFormatting xmlns:xm="http://schemas.microsoft.com/office/excel/2006/main">
          <x14:cfRule type="expression" priority="8" stopIfTrue="1" id="{8D0FE8FA-A41F-4963-85DD-83943E3BB0AB}">
            <xm:f>IF(AND('8949A'!$L$2="",'8949A'!$AG$16),TRUE,FALSE)</xm:f>
            <x14:dxf>
              <font>
                <b val="0"/>
                <i val="0"/>
                <color rgb="FFFF0000"/>
              </font>
            </x14:dxf>
          </x14:cfRule>
          <xm:sqref>T18:T19</xm:sqref>
        </x14:conditionalFormatting>
        <x14:conditionalFormatting xmlns:xm="http://schemas.microsoft.com/office/excel/2006/main">
          <x14:cfRule type="expression" priority="7" stopIfTrue="1" id="{A592C3FD-D5A1-4036-B0CA-3734C6869B7F}">
            <xm:f>IF(AND('8949A'!$L$2="",'8949A'!$AG$16),TRUE,FALSE)</xm:f>
            <x14:dxf>
              <font>
                <b val="0"/>
                <i val="0"/>
                <color rgb="FFFF0000"/>
              </font>
            </x14:dxf>
          </x14:cfRule>
          <xm:sqref>T71:T72</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3"/>
  <sheetViews>
    <sheetView zoomScaleNormal="100" zoomScaleSheetLayoutView="100" workbookViewId="0">
      <selection activeCell="C25" sqref="C25"/>
    </sheetView>
  </sheetViews>
  <sheetFormatPr defaultColWidth="3.7109375" defaultRowHeight="12.75"/>
  <cols>
    <col min="1" max="1" width="3.7109375" style="1658" customWidth="1"/>
    <col min="2" max="2" width="4.140625" style="64" customWidth="1"/>
    <col min="3" max="3" width="2.28515625" style="64" customWidth="1"/>
    <col min="4" max="9" width="3.7109375" style="64" customWidth="1"/>
    <col min="10" max="12" width="4" style="64" customWidth="1"/>
    <col min="13" max="19" width="3.7109375" style="64" customWidth="1"/>
    <col min="20" max="23" width="3.85546875" style="64" customWidth="1"/>
    <col min="24" max="24" width="3.7109375" style="64" customWidth="1"/>
    <col min="25" max="26" width="5.42578125" style="64" customWidth="1"/>
    <col min="27" max="28" width="6.42578125" style="64" customWidth="1"/>
    <col min="29" max="32" width="3.7109375" style="64" customWidth="1"/>
    <col min="33" max="33" width="6" style="1659" customWidth="1"/>
    <col min="34" max="34" width="4.85546875" style="2458" customWidth="1"/>
    <col min="35" max="35" width="8.5703125" style="2458" bestFit="1" customWidth="1"/>
    <col min="36" max="36" width="29.28515625" style="64" customWidth="1"/>
    <col min="37" max="40" width="13.7109375" style="64" customWidth="1"/>
    <col min="41" max="41" width="10" style="64" customWidth="1"/>
    <col min="42" max="42" width="15.5703125" style="64" customWidth="1"/>
    <col min="43" max="43" width="15.42578125" style="64" customWidth="1"/>
    <col min="44" max="44" width="3.7109375" style="64"/>
    <col min="45" max="46" width="5" style="64" hidden="1" customWidth="1"/>
    <col min="47" max="47" width="0" style="64" hidden="1" customWidth="1"/>
    <col min="48" max="48" width="1.7109375" style="64" hidden="1" customWidth="1"/>
    <col min="49" max="49" width="5" style="64" hidden="1" customWidth="1"/>
    <col min="50" max="52" width="0" style="64" hidden="1" customWidth="1"/>
    <col min="53" max="55" width="7" style="64" hidden="1" customWidth="1"/>
    <col min="56" max="16384" width="3.7109375" style="64"/>
  </cols>
  <sheetData>
    <row r="1" spans="1:35" s="437" customFormat="1">
      <c r="A1" s="1706"/>
      <c r="B1" s="1706"/>
      <c r="C1" s="1706"/>
      <c r="D1" s="1706"/>
      <c r="E1" s="1706"/>
      <c r="F1" s="1706"/>
      <c r="G1" s="1706"/>
      <c r="H1" s="1706"/>
      <c r="I1" s="1706"/>
      <c r="J1" s="1706"/>
      <c r="K1" s="1706"/>
      <c r="L1" s="1706"/>
      <c r="M1" s="1706"/>
      <c r="N1" s="1706"/>
      <c r="O1" s="1706"/>
      <c r="P1" s="1706"/>
      <c r="Q1" s="1706"/>
      <c r="R1" s="1706"/>
      <c r="S1" s="1706"/>
      <c r="T1" s="1706"/>
      <c r="U1" s="1706"/>
      <c r="V1" s="1706"/>
      <c r="W1" s="1706"/>
      <c r="X1" s="1706"/>
      <c r="Y1" s="1706"/>
      <c r="Z1" s="1706"/>
      <c r="AA1" s="1706"/>
      <c r="AB1" s="1706"/>
      <c r="AC1" s="1706"/>
      <c r="AD1" s="1706"/>
      <c r="AE1" s="1706"/>
      <c r="AF1" s="1706"/>
      <c r="AG1" s="1706"/>
      <c r="AH1" s="1421"/>
      <c r="AI1" s="1421"/>
    </row>
    <row r="2" spans="1:35">
      <c r="A2" s="112"/>
      <c r="B2" s="6387" t="s">
        <v>1396</v>
      </c>
      <c r="C2" s="6388"/>
      <c r="D2" s="6388"/>
      <c r="E2" s="6388"/>
      <c r="F2" s="6388"/>
      <c r="G2" s="6388"/>
      <c r="H2" s="6388"/>
      <c r="I2" s="6388"/>
      <c r="J2" s="6388"/>
      <c r="K2" s="6388"/>
      <c r="L2" s="2097"/>
      <c r="M2" s="112"/>
      <c r="N2" s="112"/>
      <c r="O2" s="112"/>
      <c r="P2" s="112"/>
      <c r="Q2" s="112"/>
      <c r="R2" s="112"/>
      <c r="S2" s="112"/>
      <c r="T2" s="112"/>
      <c r="U2" s="112"/>
      <c r="V2" s="112"/>
      <c r="W2" s="112"/>
      <c r="X2" s="112"/>
      <c r="Y2" s="112"/>
      <c r="Z2" s="112"/>
      <c r="AA2" s="1511"/>
      <c r="AB2" s="112"/>
      <c r="AC2" s="112"/>
      <c r="AD2" s="112"/>
      <c r="AE2" s="112"/>
      <c r="AF2" s="112"/>
      <c r="AG2" s="1706"/>
    </row>
    <row r="3" spans="1:35" s="437" customFormat="1">
      <c r="A3" s="1706"/>
      <c r="B3" s="1706"/>
      <c r="C3" s="1706"/>
      <c r="D3" s="1706"/>
      <c r="E3" s="1706"/>
      <c r="F3" s="1706"/>
      <c r="G3" s="1706"/>
      <c r="H3" s="1706"/>
      <c r="I3" s="1706"/>
      <c r="J3" s="1706"/>
      <c r="K3" s="1706"/>
      <c r="L3" s="1706"/>
      <c r="M3" s="1706"/>
      <c r="N3" s="1706"/>
      <c r="O3" s="1706"/>
      <c r="P3" s="1706"/>
      <c r="Q3" s="1706"/>
      <c r="R3" s="1706"/>
      <c r="S3" s="1706"/>
      <c r="T3" s="1706"/>
      <c r="U3" s="1706"/>
      <c r="V3" s="1706"/>
      <c r="W3" s="1706"/>
      <c r="X3" s="1706"/>
      <c r="Y3" s="1706"/>
      <c r="Z3" s="1706"/>
      <c r="AA3" s="1706"/>
      <c r="AB3" s="1706"/>
      <c r="AC3" s="1706"/>
      <c r="AD3" s="1706"/>
      <c r="AE3" s="1706"/>
      <c r="AF3" s="1706"/>
      <c r="AG3" s="1706"/>
      <c r="AH3" s="1421"/>
      <c r="AI3" s="1421"/>
    </row>
    <row r="4" spans="1:35" ht="11.25" customHeight="1">
      <c r="A4" s="1706"/>
      <c r="B4" s="6392" t="s">
        <v>1104</v>
      </c>
      <c r="C4" s="6157"/>
      <c r="D4" s="6157"/>
      <c r="E4" s="6157"/>
      <c r="F4" s="6157"/>
      <c r="G4" s="44"/>
      <c r="H4" s="6396" t="s">
        <v>1105</v>
      </c>
      <c r="I4" s="6397"/>
      <c r="J4" s="6397"/>
      <c r="K4" s="6397"/>
      <c r="L4" s="6397"/>
      <c r="M4" s="6397"/>
      <c r="N4" s="6397"/>
      <c r="O4" s="6397"/>
      <c r="P4" s="6397"/>
      <c r="Q4" s="6397"/>
      <c r="R4" s="6397"/>
      <c r="S4" s="6397"/>
      <c r="T4" s="6397"/>
      <c r="U4" s="6397"/>
      <c r="V4" s="6397"/>
      <c r="W4" s="6397"/>
      <c r="X4" s="6397"/>
      <c r="Y4" s="6397"/>
      <c r="Z4" s="6397"/>
      <c r="AA4" s="6398"/>
      <c r="AB4" s="6393" t="s">
        <v>249</v>
      </c>
      <c r="AC4" s="6162"/>
      <c r="AD4" s="6162"/>
      <c r="AE4" s="6162"/>
      <c r="AF4" s="6162"/>
      <c r="AG4" s="1706"/>
      <c r="AH4" s="1645"/>
    </row>
    <row r="5" spans="1:35" ht="11.25" customHeight="1">
      <c r="A5" s="1706"/>
      <c r="B5" s="6157"/>
      <c r="C5" s="6157"/>
      <c r="D5" s="6157"/>
      <c r="E5" s="6157"/>
      <c r="F5" s="6157"/>
      <c r="G5" s="44"/>
      <c r="H5" s="6399"/>
      <c r="I5" s="6397"/>
      <c r="J5" s="6397"/>
      <c r="K5" s="6397"/>
      <c r="L5" s="6397"/>
      <c r="M5" s="6397"/>
      <c r="N5" s="6397"/>
      <c r="O5" s="6397"/>
      <c r="P5" s="6397"/>
      <c r="Q5" s="6397"/>
      <c r="R5" s="6397"/>
      <c r="S5" s="6397"/>
      <c r="T5" s="6397"/>
      <c r="U5" s="6397"/>
      <c r="V5" s="6397"/>
      <c r="W5" s="6397"/>
      <c r="X5" s="6397"/>
      <c r="Y5" s="6397"/>
      <c r="Z5" s="6397"/>
      <c r="AA5" s="6398"/>
      <c r="AB5" s="6394">
        <f>TaxYear</f>
        <v>2016</v>
      </c>
      <c r="AC5" s="6395"/>
      <c r="AD5" s="6395"/>
      <c r="AE5" s="6395"/>
      <c r="AF5" s="6395"/>
      <c r="AG5" s="1706"/>
      <c r="AH5" s="1645"/>
    </row>
    <row r="6" spans="1:35" ht="11.25" customHeight="1">
      <c r="A6" s="1706"/>
      <c r="B6" s="6157"/>
      <c r="C6" s="6157"/>
      <c r="D6" s="6157"/>
      <c r="E6" s="6157"/>
      <c r="F6" s="6157"/>
      <c r="G6" s="44"/>
      <c r="H6" s="6400"/>
      <c r="I6" s="4724"/>
      <c r="J6" s="4724"/>
      <c r="K6" s="4724"/>
      <c r="L6" s="4724"/>
      <c r="M6" s="4724"/>
      <c r="N6" s="4724"/>
      <c r="O6" s="4724"/>
      <c r="P6" s="4724"/>
      <c r="Q6" s="4724"/>
      <c r="R6" s="4724"/>
      <c r="S6" s="4724"/>
      <c r="T6" s="4724"/>
      <c r="U6" s="4724"/>
      <c r="V6" s="4724"/>
      <c r="W6" s="4724"/>
      <c r="X6" s="4724"/>
      <c r="Y6" s="4724"/>
      <c r="Z6" s="4724"/>
      <c r="AA6" s="6107"/>
      <c r="AB6" s="6157"/>
      <c r="AC6" s="6395"/>
      <c r="AD6" s="6395"/>
      <c r="AE6" s="6395"/>
      <c r="AF6" s="6395"/>
      <c r="AG6" s="1706"/>
      <c r="AH6" s="1643"/>
    </row>
    <row r="7" spans="1:35" ht="11.25" customHeight="1">
      <c r="A7" s="1706"/>
      <c r="B7" s="44"/>
      <c r="C7" s="44"/>
      <c r="D7" s="44"/>
      <c r="E7" s="44"/>
      <c r="F7" s="44"/>
      <c r="G7" s="44"/>
      <c r="H7" s="6404" t="s">
        <v>2058</v>
      </c>
      <c r="I7" s="6405"/>
      <c r="J7" s="6405"/>
      <c r="K7" s="6405"/>
      <c r="L7" s="6405"/>
      <c r="M7" s="6405"/>
      <c r="N7" s="6405"/>
      <c r="O7" s="6405"/>
      <c r="P7" s="6405"/>
      <c r="Q7" s="6405"/>
      <c r="R7" s="6405"/>
      <c r="S7" s="6405"/>
      <c r="T7" s="6405"/>
      <c r="U7" s="6405"/>
      <c r="V7" s="6405"/>
      <c r="W7" s="6405"/>
      <c r="X7" s="6405"/>
      <c r="Y7" s="6405"/>
      <c r="Z7" s="6405"/>
      <c r="AA7" s="6406"/>
      <c r="AB7" s="6157"/>
      <c r="AC7" s="6395"/>
      <c r="AD7" s="6395"/>
      <c r="AE7" s="6395"/>
      <c r="AF7" s="6395"/>
      <c r="AG7" s="1706"/>
    </row>
    <row r="8" spans="1:35" ht="10.5" customHeight="1">
      <c r="A8" s="1706"/>
      <c r="B8" s="45" t="s">
        <v>293</v>
      </c>
      <c r="C8" s="44"/>
      <c r="D8" s="44"/>
      <c r="E8" s="44"/>
      <c r="F8" s="44"/>
      <c r="G8" s="44"/>
      <c r="H8" s="6389" t="s">
        <v>2057</v>
      </c>
      <c r="I8" s="6390"/>
      <c r="J8" s="6390"/>
      <c r="K8" s="6390"/>
      <c r="L8" s="6390"/>
      <c r="M8" s="6390"/>
      <c r="N8" s="6390"/>
      <c r="O8" s="6390"/>
      <c r="P8" s="6390"/>
      <c r="Q8" s="6390"/>
      <c r="R8" s="6390"/>
      <c r="S8" s="6390"/>
      <c r="T8" s="6390"/>
      <c r="U8" s="6390"/>
      <c r="V8" s="6390"/>
      <c r="W8" s="6390"/>
      <c r="X8" s="6390"/>
      <c r="Y8" s="6390"/>
      <c r="Z8" s="6390"/>
      <c r="AA8" s="6391"/>
      <c r="AB8" s="6401" t="s">
        <v>1432</v>
      </c>
      <c r="AC8" s="6402"/>
      <c r="AD8" s="6402"/>
      <c r="AE8" s="6402"/>
      <c r="AF8" s="6402"/>
      <c r="AG8" s="1706"/>
    </row>
    <row r="9" spans="1:35" ht="10.5" customHeight="1" thickBot="1">
      <c r="A9" s="1706"/>
      <c r="B9" s="43" t="s">
        <v>364</v>
      </c>
      <c r="C9" s="52"/>
      <c r="D9" s="52"/>
      <c r="E9" s="52"/>
      <c r="F9" s="52"/>
      <c r="G9" s="52"/>
      <c r="H9" s="2462"/>
      <c r="I9" s="2461"/>
      <c r="J9" s="2461"/>
      <c r="K9" s="2461"/>
      <c r="L9" s="2461"/>
      <c r="M9" s="2461"/>
      <c r="N9" s="2461"/>
      <c r="O9" s="2461"/>
      <c r="P9" s="2461"/>
      <c r="Q9" s="2461"/>
      <c r="R9" s="2461"/>
      <c r="S9" s="2461"/>
      <c r="T9" s="2461"/>
      <c r="U9" s="2461"/>
      <c r="V9" s="2461"/>
      <c r="W9" s="2461"/>
      <c r="X9" s="2461"/>
      <c r="Y9" s="2461"/>
      <c r="Z9" s="2461"/>
      <c r="AA9" s="2463"/>
      <c r="AB9" s="6403"/>
      <c r="AC9" s="6403"/>
      <c r="AD9" s="6403"/>
      <c r="AE9" s="6403"/>
      <c r="AF9" s="6403"/>
      <c r="AG9" s="1706"/>
    </row>
    <row r="10" spans="1:35">
      <c r="A10" s="1706"/>
      <c r="B10" s="56" t="s">
        <v>98</v>
      </c>
      <c r="C10" s="35"/>
      <c r="D10" s="35"/>
      <c r="E10" s="35"/>
      <c r="F10" s="35"/>
      <c r="G10" s="35"/>
      <c r="H10" s="35"/>
      <c r="I10" s="35"/>
      <c r="J10" s="35"/>
      <c r="K10" s="35"/>
      <c r="L10" s="35"/>
      <c r="M10" s="35"/>
      <c r="N10" s="35"/>
      <c r="O10" s="35"/>
      <c r="P10" s="35"/>
      <c r="Q10" s="35"/>
      <c r="R10" s="35"/>
      <c r="S10" s="35"/>
      <c r="T10" s="35"/>
      <c r="U10" s="35"/>
      <c r="V10" s="2466" t="s">
        <v>1458</v>
      </c>
      <c r="W10" s="35"/>
      <c r="X10" s="35"/>
      <c r="Y10" s="35"/>
      <c r="Z10" s="50"/>
      <c r="AA10" s="35"/>
      <c r="AB10" s="35"/>
      <c r="AC10" s="35"/>
      <c r="AD10" s="35"/>
      <c r="AE10" s="35"/>
      <c r="AF10" s="35"/>
      <c r="AG10" s="1706"/>
    </row>
    <row r="11" spans="1:35" ht="16.5" thickBot="1">
      <c r="A11" s="1706"/>
      <c r="B11" s="6342" t="str">
        <f>Names</f>
        <v/>
      </c>
      <c r="C11" s="6343"/>
      <c r="D11" s="6343"/>
      <c r="E11" s="6343"/>
      <c r="F11" s="6343"/>
      <c r="G11" s="6343"/>
      <c r="H11" s="6343"/>
      <c r="I11" s="6343"/>
      <c r="J11" s="6343"/>
      <c r="K11" s="6343"/>
      <c r="L11" s="6343"/>
      <c r="M11" s="6343"/>
      <c r="N11" s="6343"/>
      <c r="O11" s="6343"/>
      <c r="P11" s="6343"/>
      <c r="Q11" s="6343"/>
      <c r="R11" s="6343"/>
      <c r="S11" s="6343"/>
      <c r="T11" s="6343"/>
      <c r="U11" s="6344"/>
      <c r="V11" s="6345">
        <f>SS_Yours</f>
        <v>0</v>
      </c>
      <c r="W11" s="6346"/>
      <c r="X11" s="6346"/>
      <c r="Y11" s="6346"/>
      <c r="Z11" s="6346"/>
      <c r="AA11" s="6346"/>
      <c r="AB11" s="6346"/>
      <c r="AC11" s="6346"/>
      <c r="AD11" s="6346"/>
      <c r="AE11" s="6346"/>
      <c r="AF11" s="6346"/>
      <c r="AG11" s="1706"/>
    </row>
    <row r="12" spans="1:35" ht="12.75" customHeight="1">
      <c r="A12" s="1706"/>
      <c r="B12" s="6415" t="s">
        <v>3012</v>
      </c>
      <c r="C12" s="6416"/>
      <c r="D12" s="6416"/>
      <c r="E12" s="6416"/>
      <c r="F12" s="6416"/>
      <c r="G12" s="6416"/>
      <c r="H12" s="6416"/>
      <c r="I12" s="6416"/>
      <c r="J12" s="6416"/>
      <c r="K12" s="6416"/>
      <c r="L12" s="6416"/>
      <c r="M12" s="6416"/>
      <c r="N12" s="6416"/>
      <c r="O12" s="6416"/>
      <c r="P12" s="6416"/>
      <c r="Q12" s="6416"/>
      <c r="R12" s="6416"/>
      <c r="S12" s="6416"/>
      <c r="T12" s="6416"/>
      <c r="U12" s="6416"/>
      <c r="V12" s="6416"/>
      <c r="W12" s="6416"/>
      <c r="X12" s="6416"/>
      <c r="Y12" s="6416"/>
      <c r="Z12" s="6416"/>
      <c r="AA12" s="6416"/>
      <c r="AB12" s="6416"/>
      <c r="AC12" s="6416"/>
      <c r="AD12" s="6416"/>
      <c r="AE12" s="6416"/>
      <c r="AF12" s="6416"/>
      <c r="AG12" s="1706"/>
    </row>
    <row r="13" spans="1:35" ht="12.75" customHeight="1">
      <c r="A13" s="1706"/>
      <c r="B13" s="6417"/>
      <c r="C13" s="6417"/>
      <c r="D13" s="6417"/>
      <c r="E13" s="6417"/>
      <c r="F13" s="6417"/>
      <c r="G13" s="6417"/>
      <c r="H13" s="6417"/>
      <c r="I13" s="6417"/>
      <c r="J13" s="6417"/>
      <c r="K13" s="6417"/>
      <c r="L13" s="6417"/>
      <c r="M13" s="6417"/>
      <c r="N13" s="6417"/>
      <c r="O13" s="6417"/>
      <c r="P13" s="6417"/>
      <c r="Q13" s="6417"/>
      <c r="R13" s="6417"/>
      <c r="S13" s="6417"/>
      <c r="T13" s="6417"/>
      <c r="U13" s="6417"/>
      <c r="V13" s="6417"/>
      <c r="W13" s="6417"/>
      <c r="X13" s="6417"/>
      <c r="Y13" s="6417"/>
      <c r="Z13" s="6417"/>
      <c r="AA13" s="6417"/>
      <c r="AB13" s="6417"/>
      <c r="AC13" s="6417"/>
      <c r="AD13" s="6417"/>
      <c r="AE13" s="6417"/>
      <c r="AF13" s="6417"/>
      <c r="AG13" s="1706"/>
    </row>
    <row r="14" spans="1:35" ht="12.75" customHeight="1">
      <c r="A14" s="1706"/>
      <c r="B14" s="6418"/>
      <c r="C14" s="6418"/>
      <c r="D14" s="6418"/>
      <c r="E14" s="6418"/>
      <c r="F14" s="6418"/>
      <c r="G14" s="6418"/>
      <c r="H14" s="6418"/>
      <c r="I14" s="6418"/>
      <c r="J14" s="6418"/>
      <c r="K14" s="6418"/>
      <c r="L14" s="6418"/>
      <c r="M14" s="6418"/>
      <c r="N14" s="6418"/>
      <c r="O14" s="6418"/>
      <c r="P14" s="6418"/>
      <c r="Q14" s="6418"/>
      <c r="R14" s="6418"/>
      <c r="S14" s="6418"/>
      <c r="T14" s="6418"/>
      <c r="U14" s="6418"/>
      <c r="V14" s="6418"/>
      <c r="W14" s="6418"/>
      <c r="X14" s="6418"/>
      <c r="Y14" s="6418"/>
      <c r="Z14" s="6418"/>
      <c r="AA14" s="6418"/>
      <c r="AB14" s="6418"/>
      <c r="AC14" s="6418"/>
      <c r="AD14" s="6418"/>
      <c r="AE14" s="6418"/>
      <c r="AF14" s="6418"/>
      <c r="AG14" s="1706"/>
    </row>
    <row r="15" spans="1:35" ht="3.75" customHeight="1">
      <c r="A15" s="1706"/>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1706"/>
    </row>
    <row r="16" spans="1:35" ht="15">
      <c r="A16" s="1706"/>
      <c r="B16" s="6341" t="s">
        <v>92</v>
      </c>
      <c r="C16" s="4675"/>
      <c r="D16" s="35"/>
      <c r="E16" s="1642" t="s">
        <v>1434</v>
      </c>
      <c r="F16" s="35"/>
      <c r="G16" s="35"/>
      <c r="H16" s="35"/>
      <c r="I16" s="35"/>
      <c r="J16" s="35"/>
      <c r="K16" s="35"/>
      <c r="L16" s="35"/>
      <c r="M16" s="35"/>
      <c r="N16" s="35"/>
      <c r="O16" s="35"/>
      <c r="P16" s="35"/>
      <c r="Q16" s="35"/>
      <c r="R16" s="35"/>
      <c r="S16" s="35"/>
      <c r="T16" s="580" t="s">
        <v>2054</v>
      </c>
      <c r="U16" s="35"/>
      <c r="V16" s="35"/>
      <c r="W16" s="35"/>
      <c r="X16" s="1464" t="s">
        <v>1435</v>
      </c>
      <c r="Y16" s="35"/>
      <c r="Z16" s="35"/>
      <c r="AA16" s="35"/>
      <c r="AB16" s="35"/>
      <c r="AC16" s="35"/>
      <c r="AD16" s="35"/>
      <c r="AE16" s="35"/>
      <c r="AF16" s="35"/>
      <c r="AG16" s="1706" t="b">
        <f>IF(SUM(AG35:AG54)&gt;0,TRUE,FALSE)</f>
        <v>0</v>
      </c>
    </row>
    <row r="17" spans="1:55" ht="11.25" customHeight="1">
      <c r="A17" s="1706"/>
      <c r="B17" s="44"/>
      <c r="C17" s="44"/>
      <c r="D17" s="44"/>
      <c r="E17" s="44" t="s">
        <v>1433</v>
      </c>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1706"/>
    </row>
    <row r="18" spans="1:55" ht="11.25" customHeight="1">
      <c r="A18" s="1706"/>
      <c r="B18" s="35"/>
      <c r="C18" s="35"/>
      <c r="D18" s="35"/>
      <c r="E18" s="2809" t="s">
        <v>1718</v>
      </c>
      <c r="F18" s="35"/>
      <c r="G18" s="35"/>
      <c r="H18" s="35"/>
      <c r="I18" s="35"/>
      <c r="J18" s="35"/>
      <c r="K18" s="35"/>
      <c r="L18" s="35"/>
      <c r="M18" s="35"/>
      <c r="N18" s="35"/>
      <c r="O18" s="35"/>
      <c r="P18" s="35"/>
      <c r="Q18" s="35"/>
      <c r="R18" s="35"/>
      <c r="S18" s="35"/>
      <c r="T18" s="580"/>
      <c r="U18" s="35"/>
      <c r="V18" s="35"/>
      <c r="W18" s="35"/>
      <c r="X18" s="1464"/>
      <c r="Y18" s="35"/>
      <c r="Z18" s="35"/>
      <c r="AA18" s="35"/>
      <c r="AB18" s="35"/>
      <c r="AC18" s="35"/>
      <c r="AD18" s="35"/>
      <c r="AE18" s="35"/>
      <c r="AF18" s="35"/>
      <c r="AG18" s="1706"/>
      <c r="AH18" s="2804"/>
      <c r="AI18" s="2804"/>
    </row>
    <row r="19" spans="1:55" ht="11.25" customHeight="1">
      <c r="A19" s="1706"/>
      <c r="B19" s="35"/>
      <c r="C19" s="35"/>
      <c r="D19" s="35"/>
      <c r="E19" s="44" t="s">
        <v>1716</v>
      </c>
      <c r="F19" s="35"/>
      <c r="G19" s="35"/>
      <c r="H19" s="35"/>
      <c r="I19" s="35"/>
      <c r="J19" s="35"/>
      <c r="K19" s="35"/>
      <c r="L19" s="35"/>
      <c r="M19" s="35"/>
      <c r="N19" s="35"/>
      <c r="O19" s="35"/>
      <c r="P19" s="35"/>
      <c r="Q19" s="35"/>
      <c r="R19" s="35"/>
      <c r="S19" s="35"/>
      <c r="T19" s="580"/>
      <c r="U19" s="35"/>
      <c r="V19" s="35"/>
      <c r="W19" s="35"/>
      <c r="X19" s="1464"/>
      <c r="Y19" s="35"/>
      <c r="Z19" s="35"/>
      <c r="AA19" s="35"/>
      <c r="AB19" s="35"/>
      <c r="AC19" s="35"/>
      <c r="AD19" s="35"/>
      <c r="AE19" s="35"/>
      <c r="AF19" s="35"/>
      <c r="AG19" s="1706"/>
      <c r="AH19" s="2804"/>
      <c r="AI19" s="2804"/>
    </row>
    <row r="20" spans="1:55" ht="11.25" customHeight="1">
      <c r="A20" s="1706"/>
      <c r="B20" s="63"/>
      <c r="C20" s="63"/>
      <c r="D20" s="63"/>
      <c r="E20" s="63" t="s">
        <v>1717</v>
      </c>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1706"/>
      <c r="AH20" s="2804"/>
      <c r="AI20" s="2804"/>
    </row>
    <row r="21" spans="1:55">
      <c r="A21" s="1706"/>
      <c r="B21" s="364" t="s">
        <v>1443</v>
      </c>
      <c r="C21" s="360"/>
      <c r="D21" s="360"/>
      <c r="E21" s="360"/>
      <c r="F21" s="360"/>
      <c r="G21" s="360"/>
      <c r="H21" s="360"/>
      <c r="I21" s="360"/>
      <c r="J21" s="360"/>
      <c r="K21" s="364"/>
      <c r="L21" s="364" t="s">
        <v>1442</v>
      </c>
      <c r="M21" s="360"/>
      <c r="N21" s="360"/>
      <c r="O21" s="360"/>
      <c r="P21" s="360"/>
      <c r="Q21" s="360" t="s">
        <v>1441</v>
      </c>
      <c r="R21" s="360"/>
      <c r="S21" s="360"/>
      <c r="T21" s="360"/>
      <c r="U21" s="360"/>
      <c r="V21" s="360"/>
      <c r="W21" s="360"/>
      <c r="X21" s="360"/>
      <c r="Y21" s="360"/>
      <c r="Z21" s="360"/>
      <c r="AA21" s="360"/>
      <c r="AB21" s="360"/>
      <c r="AC21" s="360"/>
      <c r="AD21" s="360"/>
      <c r="AE21" s="360"/>
      <c r="AF21" s="360"/>
      <c r="AG21" s="1706"/>
    </row>
    <row r="22" spans="1:55">
      <c r="A22" s="1706"/>
      <c r="B22" s="1464" t="s">
        <v>1439</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c r="AD22" s="360"/>
      <c r="AE22" s="360"/>
      <c r="AF22" s="360"/>
      <c r="AG22" s="1706"/>
      <c r="BA22" s="6419" t="s">
        <v>1573</v>
      </c>
      <c r="BB22" s="5423"/>
      <c r="BC22" s="6420"/>
    </row>
    <row r="23" spans="1:55">
      <c r="A23" s="1706"/>
      <c r="B23" s="1464" t="s">
        <v>1440</v>
      </c>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1706"/>
      <c r="BA23" s="6421" t="s">
        <v>1572</v>
      </c>
      <c r="BB23" s="6421" t="s">
        <v>1562</v>
      </c>
      <c r="BC23" s="6421" t="s">
        <v>1563</v>
      </c>
    </row>
    <row r="24" spans="1:55" ht="4.5" customHeight="1" thickBot="1">
      <c r="A24" s="1706"/>
      <c r="B24" s="360"/>
      <c r="C24" s="360"/>
      <c r="D24" s="360"/>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1706"/>
      <c r="BA24" s="6422"/>
      <c r="BB24" s="6422"/>
      <c r="BC24" s="6422"/>
    </row>
    <row r="25" spans="1:55" ht="12" customHeight="1" thickBot="1">
      <c r="A25" s="1706"/>
      <c r="B25" s="2574">
        <f>IF(C25&lt;&gt;"",1,0)</f>
        <v>0</v>
      </c>
      <c r="C25" s="2573"/>
      <c r="D25" s="688" t="s">
        <v>1722</v>
      </c>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1706"/>
      <c r="AJ25" s="6423"/>
      <c r="AK25" s="6424"/>
      <c r="AL25" s="6424"/>
      <c r="AM25" s="6424"/>
      <c r="AN25" s="6424"/>
      <c r="AO25" s="6424"/>
      <c r="AP25" s="6424"/>
      <c r="AQ25" s="6424"/>
      <c r="BA25" s="6422"/>
      <c r="BB25" s="6422"/>
      <c r="BC25" s="6422"/>
    </row>
    <row r="26" spans="1:55" ht="4.5" customHeight="1" thickBot="1">
      <c r="A26" s="1706"/>
      <c r="B26" s="2574"/>
      <c r="C26" s="360"/>
      <c r="D26" s="360"/>
      <c r="E26" s="360"/>
      <c r="F26" s="360"/>
      <c r="G26" s="360"/>
      <c r="H26" s="360"/>
      <c r="I26" s="360"/>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1706"/>
      <c r="BA26" s="6422"/>
      <c r="BB26" s="6422"/>
      <c r="BC26" s="6422"/>
    </row>
    <row r="27" spans="1:55" ht="11.25" customHeight="1" thickBot="1">
      <c r="A27" s="1706"/>
      <c r="B27" s="2574">
        <f>IF(C27&lt;&gt;"",1,0)</f>
        <v>0</v>
      </c>
      <c r="C27" s="2573"/>
      <c r="D27" s="688" t="s">
        <v>3215</v>
      </c>
      <c r="E27" s="360"/>
      <c r="F27" s="360"/>
      <c r="G27" s="360"/>
      <c r="H27" s="360"/>
      <c r="I27" s="360"/>
      <c r="J27" s="360"/>
      <c r="K27" s="360"/>
      <c r="L27" s="360"/>
      <c r="M27" s="360"/>
      <c r="N27" s="360"/>
      <c r="O27" s="360"/>
      <c r="P27" s="360"/>
      <c r="Q27" s="360"/>
      <c r="R27" s="360"/>
      <c r="S27" s="360"/>
      <c r="T27" s="360"/>
      <c r="U27" s="360"/>
      <c r="V27" s="360"/>
      <c r="W27" s="360"/>
      <c r="X27" s="360"/>
      <c r="Y27" s="360"/>
      <c r="Z27" s="360"/>
      <c r="AA27" s="360"/>
      <c r="AB27" s="360"/>
      <c r="AC27" s="360"/>
      <c r="AD27" s="360"/>
      <c r="AE27" s="360"/>
      <c r="AF27" s="360"/>
      <c r="AG27" s="1706"/>
      <c r="AJ27" s="6423"/>
      <c r="AK27" s="6424"/>
      <c r="AL27" s="6424"/>
      <c r="AM27" s="6424"/>
      <c r="AN27" s="6424"/>
      <c r="AO27" s="6424"/>
      <c r="AP27" s="6424"/>
      <c r="AQ27" s="6424"/>
      <c r="BA27" s="6422"/>
      <c r="BB27" s="6422"/>
      <c r="BC27" s="6422"/>
    </row>
    <row r="28" spans="1:55" ht="4.5" customHeight="1" thickBot="1">
      <c r="A28" s="1706"/>
      <c r="B28" s="2574"/>
      <c r="C28" s="360"/>
      <c r="D28" s="360"/>
      <c r="E28" s="360"/>
      <c r="F28" s="360"/>
      <c r="G28" s="360"/>
      <c r="H28" s="360"/>
      <c r="I28" s="360"/>
      <c r="J28" s="360"/>
      <c r="K28" s="360"/>
      <c r="L28" s="360"/>
      <c r="M28" s="360"/>
      <c r="N28" s="360"/>
      <c r="O28" s="360"/>
      <c r="P28" s="360"/>
      <c r="Q28" s="360"/>
      <c r="R28" s="360"/>
      <c r="S28" s="360"/>
      <c r="T28" s="360"/>
      <c r="U28" s="360"/>
      <c r="V28" s="360"/>
      <c r="W28" s="360"/>
      <c r="X28" s="360"/>
      <c r="Y28" s="360"/>
      <c r="Z28" s="360"/>
      <c r="AA28" s="360"/>
      <c r="AB28" s="360"/>
      <c r="AC28" s="360"/>
      <c r="AD28" s="360"/>
      <c r="AE28" s="360"/>
      <c r="AF28" s="360"/>
      <c r="AG28" s="1706"/>
      <c r="BA28" s="6422"/>
      <c r="BB28" s="6422"/>
      <c r="BC28" s="6422"/>
    </row>
    <row r="29" spans="1:55" ht="12" customHeight="1" thickBot="1">
      <c r="A29" s="1706">
        <f>SUM(B25:B29)</f>
        <v>0</v>
      </c>
      <c r="B29" s="2574">
        <f>IF(C29&lt;&gt;"",1,0)</f>
        <v>0</v>
      </c>
      <c r="C29" s="2573"/>
      <c r="D29" s="688" t="s">
        <v>1444</v>
      </c>
      <c r="E29" s="360"/>
      <c r="F29" s="360"/>
      <c r="G29" s="360"/>
      <c r="H29" s="360"/>
      <c r="I29" s="360"/>
      <c r="J29" s="360"/>
      <c r="K29" s="360"/>
      <c r="L29" s="360"/>
      <c r="M29" s="360"/>
      <c r="N29" s="360"/>
      <c r="O29" s="360"/>
      <c r="P29" s="360"/>
      <c r="Q29" s="360"/>
      <c r="R29" s="6407" t="str">
        <f>IF(SpaceUsed_8949C_ST,"ERROR: DO NOT use the space bar to uncheck a box. Use the 'Delete' key.",IF(A29&gt;1,"Check only ONE box.",IF($A$31&gt;0,"",IF(A29&lt;1,"Check ONE box.",""))))</f>
        <v>Check ONE box.</v>
      </c>
      <c r="S29" s="6408"/>
      <c r="T29" s="6408"/>
      <c r="U29" s="6408"/>
      <c r="V29" s="6408"/>
      <c r="W29" s="6408"/>
      <c r="X29" s="6408"/>
      <c r="Y29" s="6408"/>
      <c r="Z29" s="6408"/>
      <c r="AA29" s="6408"/>
      <c r="AB29" s="6408"/>
      <c r="AC29" s="6408"/>
      <c r="AD29" s="6408"/>
      <c r="AE29" s="6408"/>
      <c r="AF29" s="360"/>
      <c r="AG29" s="1706"/>
      <c r="AH29" s="2901" t="b">
        <f>IF(OR(F8949CSBOXA=CHAR(32),F8949CSBOXB=CHAR(32),F8949CSBOXC=CHAR(32)),TRUE,FALSE)</f>
        <v>0</v>
      </c>
      <c r="AJ29" s="6423" t="s">
        <v>1400</v>
      </c>
      <c r="AK29" s="6424"/>
      <c r="AL29" s="6424"/>
      <c r="AM29" s="6424"/>
      <c r="AN29" s="6424"/>
      <c r="AO29" s="6424"/>
      <c r="AP29" s="6424"/>
      <c r="AQ29" s="6424"/>
      <c r="BA29" s="6422"/>
      <c r="BB29" s="6422"/>
      <c r="BC29" s="6422"/>
    </row>
    <row r="30" spans="1:55" ht="3.75" customHeight="1">
      <c r="A30" s="1706"/>
      <c r="B30" s="361"/>
      <c r="C30" s="1647"/>
      <c r="D30" s="361"/>
      <c r="E30" s="361"/>
      <c r="F30" s="361"/>
      <c r="G30" s="361"/>
      <c r="H30" s="361"/>
      <c r="I30" s="361"/>
      <c r="J30" s="361"/>
      <c r="K30" s="361"/>
      <c r="L30" s="361"/>
      <c r="M30" s="361"/>
      <c r="N30" s="1647"/>
      <c r="O30" s="361"/>
      <c r="P30" s="361"/>
      <c r="Q30" s="361"/>
      <c r="R30" s="361"/>
      <c r="S30" s="361"/>
      <c r="T30" s="361"/>
      <c r="U30" s="361"/>
      <c r="V30" s="361"/>
      <c r="W30" s="361"/>
      <c r="X30" s="361"/>
      <c r="Y30" s="1647"/>
      <c r="Z30" s="361"/>
      <c r="AA30" s="361"/>
      <c r="AB30" s="361"/>
      <c r="AC30" s="361"/>
      <c r="AD30" s="361"/>
      <c r="AE30" s="361"/>
      <c r="AF30" s="361"/>
      <c r="AG30" s="1706"/>
      <c r="BA30" s="6422"/>
      <c r="BB30" s="6422"/>
      <c r="BC30" s="6422"/>
    </row>
    <row r="31" spans="1:55" ht="21" customHeight="1">
      <c r="A31" s="1706">
        <f>A29</f>
        <v>0</v>
      </c>
      <c r="B31" s="6319">
        <v>1</v>
      </c>
      <c r="C31" s="6322" t="s">
        <v>1106</v>
      </c>
      <c r="D31" s="6323"/>
      <c r="E31" s="6323"/>
      <c r="F31" s="6323"/>
      <c r="G31" s="6323"/>
      <c r="H31" s="6323"/>
      <c r="I31" s="6324"/>
      <c r="J31" s="6331" t="s">
        <v>1449</v>
      </c>
      <c r="K31" s="6332"/>
      <c r="L31" s="6333"/>
      <c r="M31" s="6331" t="s">
        <v>1450</v>
      </c>
      <c r="N31" s="6332"/>
      <c r="O31" s="6332"/>
      <c r="P31" s="6333"/>
      <c r="Q31" s="6331" t="s">
        <v>1451</v>
      </c>
      <c r="R31" s="6332"/>
      <c r="S31" s="6332"/>
      <c r="T31" s="6333"/>
      <c r="U31" s="6357" t="s">
        <v>1456</v>
      </c>
      <c r="V31" s="5273"/>
      <c r="W31" s="5273"/>
      <c r="X31" s="6312"/>
      <c r="Y31" s="6379" t="s">
        <v>1452</v>
      </c>
      <c r="Z31" s="6380"/>
      <c r="AA31" s="6380"/>
      <c r="AB31" s="6381"/>
      <c r="AC31" s="6357" t="s">
        <v>1455</v>
      </c>
      <c r="AD31" s="5273"/>
      <c r="AE31" s="5273"/>
      <c r="AF31" s="5273"/>
      <c r="AG31" s="1706"/>
      <c r="AJ31" s="6409" t="s">
        <v>1399</v>
      </c>
      <c r="AK31" s="6409" t="s">
        <v>1459</v>
      </c>
      <c r="AL31" s="6409" t="s">
        <v>1460</v>
      </c>
      <c r="AM31" s="6409" t="s">
        <v>1461</v>
      </c>
      <c r="AN31" s="6411" t="s">
        <v>1462</v>
      </c>
      <c r="AO31" s="6379" t="s">
        <v>1452</v>
      </c>
      <c r="AP31" s="5285"/>
      <c r="AQ31" s="6409" t="s">
        <v>1545</v>
      </c>
      <c r="BA31" s="6422"/>
      <c r="BB31" s="6422"/>
      <c r="BC31" s="6422"/>
    </row>
    <row r="32" spans="1:55" ht="21" customHeight="1">
      <c r="A32" s="1706"/>
      <c r="B32" s="4708"/>
      <c r="C32" s="6325"/>
      <c r="D32" s="6326"/>
      <c r="E32" s="6326"/>
      <c r="F32" s="6326"/>
      <c r="G32" s="6326"/>
      <c r="H32" s="6326"/>
      <c r="I32" s="6327"/>
      <c r="J32" s="6334"/>
      <c r="K32" s="6335"/>
      <c r="L32" s="6336"/>
      <c r="M32" s="6334"/>
      <c r="N32" s="6335"/>
      <c r="O32" s="6335"/>
      <c r="P32" s="6336"/>
      <c r="Q32" s="6334"/>
      <c r="R32" s="6335"/>
      <c r="S32" s="6335"/>
      <c r="T32" s="6336"/>
      <c r="U32" s="6358"/>
      <c r="V32" s="6359"/>
      <c r="W32" s="6359"/>
      <c r="X32" s="6360"/>
      <c r="Y32" s="6382"/>
      <c r="Z32" s="6383"/>
      <c r="AA32" s="6383"/>
      <c r="AB32" s="6384"/>
      <c r="AC32" s="6358"/>
      <c r="AD32" s="6359"/>
      <c r="AE32" s="6359"/>
      <c r="AF32" s="6359"/>
      <c r="AG32" s="1706"/>
      <c r="AJ32" s="6409"/>
      <c r="AK32" s="6409"/>
      <c r="AL32" s="6409"/>
      <c r="AM32" s="6409"/>
      <c r="AN32" s="6411"/>
      <c r="AO32" s="5430"/>
      <c r="AP32" s="5291"/>
      <c r="AQ32" s="6409"/>
      <c r="BA32" s="6422"/>
      <c r="BB32" s="6422"/>
      <c r="BC32" s="6422"/>
    </row>
    <row r="33" spans="1:55" ht="18" customHeight="1">
      <c r="A33" s="1706"/>
      <c r="B33" s="6320"/>
      <c r="C33" s="6328"/>
      <c r="D33" s="6328"/>
      <c r="E33" s="6328"/>
      <c r="F33" s="6328"/>
      <c r="G33" s="6328"/>
      <c r="H33" s="6328"/>
      <c r="I33" s="6327"/>
      <c r="J33" s="6337"/>
      <c r="K33" s="6335"/>
      <c r="L33" s="6336"/>
      <c r="M33" s="6337"/>
      <c r="N33" s="6335"/>
      <c r="O33" s="6335"/>
      <c r="P33" s="6336"/>
      <c r="Q33" s="6337"/>
      <c r="R33" s="6335"/>
      <c r="S33" s="6335"/>
      <c r="T33" s="6336"/>
      <c r="U33" s="5274"/>
      <c r="V33" s="6359"/>
      <c r="W33" s="6359"/>
      <c r="X33" s="6360"/>
      <c r="Y33" s="6311" t="s">
        <v>1453</v>
      </c>
      <c r="Z33" s="6312"/>
      <c r="AA33" s="6314" t="s">
        <v>1454</v>
      </c>
      <c r="AB33" s="6315"/>
      <c r="AC33" s="5274"/>
      <c r="AD33" s="6359"/>
      <c r="AE33" s="6359"/>
      <c r="AF33" s="6359"/>
      <c r="AG33" s="1706"/>
      <c r="AJ33" s="6410"/>
      <c r="AK33" s="6410"/>
      <c r="AL33" s="6410"/>
      <c r="AM33" s="6410"/>
      <c r="AN33" s="6412"/>
      <c r="AO33" s="6414" t="s">
        <v>1463</v>
      </c>
      <c r="AP33" s="6413" t="s">
        <v>1454</v>
      </c>
      <c r="AQ33" s="6410"/>
      <c r="BA33" s="6422"/>
      <c r="BB33" s="6422"/>
      <c r="BC33" s="6422"/>
    </row>
    <row r="34" spans="1:55" ht="18" customHeight="1">
      <c r="A34" s="1706"/>
      <c r="B34" s="6321"/>
      <c r="C34" s="6329"/>
      <c r="D34" s="6329"/>
      <c r="E34" s="6329"/>
      <c r="F34" s="6329"/>
      <c r="G34" s="6329"/>
      <c r="H34" s="6329"/>
      <c r="I34" s="6330"/>
      <c r="J34" s="6338"/>
      <c r="K34" s="6339"/>
      <c r="L34" s="6340"/>
      <c r="M34" s="6338"/>
      <c r="N34" s="6339"/>
      <c r="O34" s="6339"/>
      <c r="P34" s="6340"/>
      <c r="Q34" s="6338"/>
      <c r="R34" s="6339"/>
      <c r="S34" s="6339"/>
      <c r="T34" s="6340"/>
      <c r="U34" s="5276"/>
      <c r="V34" s="5277"/>
      <c r="W34" s="5277"/>
      <c r="X34" s="6313"/>
      <c r="Y34" s="5276"/>
      <c r="Z34" s="6313"/>
      <c r="AA34" s="5411"/>
      <c r="AB34" s="5342"/>
      <c r="AC34" s="5276"/>
      <c r="AD34" s="5277"/>
      <c r="AE34" s="5277"/>
      <c r="AF34" s="5277"/>
      <c r="AG34" s="1706"/>
      <c r="AJ34" s="6410"/>
      <c r="AK34" s="6410"/>
      <c r="AL34" s="6410"/>
      <c r="AM34" s="6410"/>
      <c r="AN34" s="6412"/>
      <c r="AO34" s="5244"/>
      <c r="AP34" s="5244"/>
      <c r="AQ34" s="6410"/>
      <c r="BA34" s="6422"/>
      <c r="BB34" s="6422"/>
      <c r="BC34" s="6422"/>
    </row>
    <row r="35" spans="1:55" s="2459" customFormat="1" ht="19.5" customHeight="1">
      <c r="A35" s="1706">
        <f t="shared" ref="A35:A54" si="0">IF(OR(U35&lt;&gt;"",Y35&lt;&gt;""),1,0)</f>
        <v>0</v>
      </c>
      <c r="B35" s="6301" t="str">
        <f t="shared" ref="B35:B54" si="1">IF(AJ35="","",AJ35)</f>
        <v/>
      </c>
      <c r="C35" s="6302"/>
      <c r="D35" s="6302"/>
      <c r="E35" s="6302"/>
      <c r="F35" s="6302"/>
      <c r="G35" s="6302"/>
      <c r="H35" s="6302"/>
      <c r="I35" s="6303"/>
      <c r="J35" s="6304" t="str">
        <f t="shared" ref="J35:J54" si="2">IF(AK35="","",AK35)</f>
        <v/>
      </c>
      <c r="K35" s="6305"/>
      <c r="L35" s="6305"/>
      <c r="M35" s="6304" t="str">
        <f t="shared" ref="M35:M54" si="3">IF(AL35="","",AL35)</f>
        <v/>
      </c>
      <c r="N35" s="6305"/>
      <c r="O35" s="6305"/>
      <c r="P35" s="6306"/>
      <c r="Q35" s="4641" t="str">
        <f t="shared" ref="Q35:Q54" si="4">IF(AM35="","",AM35)</f>
        <v/>
      </c>
      <c r="R35" s="6307"/>
      <c r="S35" s="6307"/>
      <c r="T35" s="6308"/>
      <c r="U35" s="4641" t="str">
        <f t="shared" ref="U35:U54" si="5">IF(AN35="","",AN35)</f>
        <v/>
      </c>
      <c r="V35" s="6307"/>
      <c r="W35" s="6307"/>
      <c r="X35" s="6308"/>
      <c r="Y35" s="6300" t="str">
        <f>IF(AO35&lt;&gt;"",AO35,"")</f>
        <v/>
      </c>
      <c r="Z35" s="4756"/>
      <c r="AA35" s="6300" t="str">
        <f>IF(AP35="","",AP35)</f>
        <v/>
      </c>
      <c r="AB35" s="4756"/>
      <c r="AC35" s="6309" t="str">
        <f>IF(AQ35&lt;&gt;"",AQ35,IF(AND(Q35&lt;&gt;"",U35&lt;&gt;""),SUM(Q35,-U35,AA35),""))</f>
        <v/>
      </c>
      <c r="AD35" s="6310"/>
      <c r="AE35" s="6310"/>
      <c r="AF35" s="6310"/>
      <c r="AG35" s="2631">
        <f>IF(OR(J35="",M35=""),0,IF(OR(BA35,BB35,BC35),0,1))</f>
        <v>0</v>
      </c>
      <c r="AH35" s="1644"/>
      <c r="AI35" s="1644" t="e">
        <f t="shared" ref="AI35:AI54" si="6">M35-J35</f>
        <v>#VALUE!</v>
      </c>
      <c r="AJ35" s="2467"/>
      <c r="AK35" s="2471"/>
      <c r="AL35" s="2471"/>
      <c r="AM35" s="2469"/>
      <c r="AN35" s="2469"/>
      <c r="AO35" s="2470"/>
      <c r="AP35" s="2469"/>
      <c r="AQ35" s="2468"/>
      <c r="AS35" s="2620" t="e">
        <f>YEAR(J35)</f>
        <v>#VALUE!</v>
      </c>
      <c r="AT35" s="2620" t="e">
        <f>MONTH(J35)</f>
        <v>#VALUE!</v>
      </c>
      <c r="AU35" s="2620" t="e">
        <f>DAY(J35)</f>
        <v>#VALUE!</v>
      </c>
      <c r="AV35" s="2620"/>
      <c r="AW35" s="2620" t="e">
        <f>YEAR(M35)</f>
        <v>#VALUE!</v>
      </c>
      <c r="AX35" s="2620" t="e">
        <f>MONTH(M35)</f>
        <v>#VALUE!</v>
      </c>
      <c r="AY35" s="2620" t="e">
        <f>DAY(M35)</f>
        <v>#VALUE!</v>
      </c>
      <c r="AZ35" s="2620"/>
      <c r="BA35" s="2620" t="e">
        <f>IF(AW35=AS35,TRUE,FALSE)</f>
        <v>#VALUE!</v>
      </c>
      <c r="BB35" s="2620" t="e">
        <f>IF(AND(AW35=AS35+1,AX35&lt;AT35),TRUE,FALSE)</f>
        <v>#VALUE!</v>
      </c>
      <c r="BC35" s="2620" t="e">
        <f>IF(AND(AW35=AS35+1,AX35=AT35,AY35&lt;=AU35),TRUE,FALSE)</f>
        <v>#VALUE!</v>
      </c>
    </row>
    <row r="36" spans="1:55" s="2459" customFormat="1" ht="19.5" customHeight="1">
      <c r="A36" s="1706">
        <f t="shared" si="0"/>
        <v>0</v>
      </c>
      <c r="B36" s="6301" t="str">
        <f t="shared" si="1"/>
        <v/>
      </c>
      <c r="C36" s="6302"/>
      <c r="D36" s="6302"/>
      <c r="E36" s="6302"/>
      <c r="F36" s="6302"/>
      <c r="G36" s="6302"/>
      <c r="H36" s="6302"/>
      <c r="I36" s="6303"/>
      <c r="J36" s="6304" t="str">
        <f t="shared" si="2"/>
        <v/>
      </c>
      <c r="K36" s="6305"/>
      <c r="L36" s="6305"/>
      <c r="M36" s="6304" t="str">
        <f t="shared" si="3"/>
        <v/>
      </c>
      <c r="N36" s="6305"/>
      <c r="O36" s="6305"/>
      <c r="P36" s="6306"/>
      <c r="Q36" s="4641" t="str">
        <f t="shared" si="4"/>
        <v/>
      </c>
      <c r="R36" s="6307"/>
      <c r="S36" s="6307"/>
      <c r="T36" s="6308"/>
      <c r="U36" s="4641" t="str">
        <f t="shared" si="5"/>
        <v/>
      </c>
      <c r="V36" s="6307"/>
      <c r="W36" s="6307"/>
      <c r="X36" s="6308"/>
      <c r="Y36" s="6300" t="str">
        <f>IF(AO36&lt;&gt;"",AO36,"")</f>
        <v/>
      </c>
      <c r="Z36" s="4756"/>
      <c r="AA36" s="6300" t="str">
        <f>IF(AP36="","",AP36)</f>
        <v/>
      </c>
      <c r="AB36" s="4756"/>
      <c r="AC36" s="6309" t="str">
        <f t="shared" ref="AC36:AC54" si="7">IF(AQ36&lt;&gt;"",AQ36,IF(AND(Q36&lt;&gt;"",U36&lt;&gt;""),SUM(Q36,-U36,AA36),""))</f>
        <v/>
      </c>
      <c r="AD36" s="6310"/>
      <c r="AE36" s="6310"/>
      <c r="AF36" s="6310"/>
      <c r="AG36" s="2631">
        <f t="shared" ref="AG36:AG54" si="8">IF(OR(J36="",M36=""),0,IF(OR(BA36,BB36,BC36),0,1))</f>
        <v>0</v>
      </c>
      <c r="AH36" s="1644"/>
      <c r="AI36" s="1644" t="e">
        <f t="shared" si="6"/>
        <v>#VALUE!</v>
      </c>
      <c r="AJ36" s="2467"/>
      <c r="AK36" s="2471"/>
      <c r="AL36" s="2471"/>
      <c r="AM36" s="2469"/>
      <c r="AN36" s="2469"/>
      <c r="AO36" s="2470"/>
      <c r="AP36" s="2469"/>
      <c r="AQ36" s="2468"/>
      <c r="AS36" s="2620" t="e">
        <f t="shared" ref="AS36:AS54" si="9">YEAR(J36)</f>
        <v>#VALUE!</v>
      </c>
      <c r="AT36" s="2620" t="e">
        <f t="shared" ref="AT36:AT54" si="10">MONTH(J36)</f>
        <v>#VALUE!</v>
      </c>
      <c r="AU36" s="2620" t="e">
        <f t="shared" ref="AU36:AU54" si="11">DAY(J36)</f>
        <v>#VALUE!</v>
      </c>
      <c r="AV36" s="2620"/>
      <c r="AW36" s="2620" t="e">
        <f t="shared" ref="AW36:AW54" si="12">YEAR(M36)</f>
        <v>#VALUE!</v>
      </c>
      <c r="AX36" s="2620" t="e">
        <f t="shared" ref="AX36:AX54" si="13">MONTH(M36)</f>
        <v>#VALUE!</v>
      </c>
      <c r="AY36" s="2620" t="e">
        <f t="shared" ref="AY36:AY54" si="14">DAY(M36)</f>
        <v>#VALUE!</v>
      </c>
      <c r="AZ36" s="2620"/>
      <c r="BA36" s="2620" t="e">
        <f t="shared" ref="BA36:BA54" si="15">IF(AW36=AS36,TRUE,FALSE)</f>
        <v>#VALUE!</v>
      </c>
      <c r="BB36" s="2620" t="e">
        <f t="shared" ref="BB36:BB54" si="16">IF(AND(AW36=AS36+1,AX36&lt;AT36),TRUE,FALSE)</f>
        <v>#VALUE!</v>
      </c>
      <c r="BC36" s="2620" t="e">
        <f t="shared" ref="BC36:BC54" si="17">IF(AND(AW36=AS36+1,AX36=AT36,AY36&lt;=AU36),TRUE,FALSE)</f>
        <v>#VALUE!</v>
      </c>
    </row>
    <row r="37" spans="1:55" s="2459" customFormat="1" ht="19.5" customHeight="1">
      <c r="A37" s="1706">
        <f t="shared" si="0"/>
        <v>0</v>
      </c>
      <c r="B37" s="6301" t="str">
        <f t="shared" si="1"/>
        <v/>
      </c>
      <c r="C37" s="6302"/>
      <c r="D37" s="6302"/>
      <c r="E37" s="6302"/>
      <c r="F37" s="6302"/>
      <c r="G37" s="6302"/>
      <c r="H37" s="6302"/>
      <c r="I37" s="6303"/>
      <c r="J37" s="6304" t="str">
        <f t="shared" si="2"/>
        <v/>
      </c>
      <c r="K37" s="6305"/>
      <c r="L37" s="6305"/>
      <c r="M37" s="6304" t="str">
        <f t="shared" si="3"/>
        <v/>
      </c>
      <c r="N37" s="6305"/>
      <c r="O37" s="6305"/>
      <c r="P37" s="6306"/>
      <c r="Q37" s="4641" t="str">
        <f t="shared" si="4"/>
        <v/>
      </c>
      <c r="R37" s="6307"/>
      <c r="S37" s="6307"/>
      <c r="T37" s="6308"/>
      <c r="U37" s="4641" t="str">
        <f t="shared" si="5"/>
        <v/>
      </c>
      <c r="V37" s="6307"/>
      <c r="W37" s="6307"/>
      <c r="X37" s="6308"/>
      <c r="Y37" s="6300" t="str">
        <f>IF(AO37&lt;&gt;"",AO37,"")</f>
        <v/>
      </c>
      <c r="Z37" s="4756"/>
      <c r="AA37" s="6300" t="str">
        <f>IF(AP37="","",AP37)</f>
        <v/>
      </c>
      <c r="AB37" s="4756"/>
      <c r="AC37" s="6309" t="str">
        <f t="shared" si="7"/>
        <v/>
      </c>
      <c r="AD37" s="6310"/>
      <c r="AE37" s="6310"/>
      <c r="AF37" s="6310"/>
      <c r="AG37" s="2631">
        <f t="shared" si="8"/>
        <v>0</v>
      </c>
      <c r="AH37" s="1644"/>
      <c r="AI37" s="1644" t="e">
        <f t="shared" si="6"/>
        <v>#VALUE!</v>
      </c>
      <c r="AJ37" s="2467"/>
      <c r="AK37" s="2471"/>
      <c r="AL37" s="2471"/>
      <c r="AM37" s="2469"/>
      <c r="AN37" s="2469"/>
      <c r="AO37" s="2470"/>
      <c r="AP37" s="2469"/>
      <c r="AQ37" s="2468"/>
      <c r="AS37" s="2620" t="e">
        <f t="shared" si="9"/>
        <v>#VALUE!</v>
      </c>
      <c r="AT37" s="2620" t="e">
        <f t="shared" si="10"/>
        <v>#VALUE!</v>
      </c>
      <c r="AU37" s="2620" t="e">
        <f t="shared" si="11"/>
        <v>#VALUE!</v>
      </c>
      <c r="AV37" s="2620"/>
      <c r="AW37" s="2620" t="e">
        <f t="shared" si="12"/>
        <v>#VALUE!</v>
      </c>
      <c r="AX37" s="2620" t="e">
        <f t="shared" si="13"/>
        <v>#VALUE!</v>
      </c>
      <c r="AY37" s="2620" t="e">
        <f t="shared" si="14"/>
        <v>#VALUE!</v>
      </c>
      <c r="AZ37" s="2620"/>
      <c r="BA37" s="2620" t="e">
        <f t="shared" si="15"/>
        <v>#VALUE!</v>
      </c>
      <c r="BB37" s="2620" t="e">
        <f t="shared" si="16"/>
        <v>#VALUE!</v>
      </c>
      <c r="BC37" s="2620" t="e">
        <f t="shared" si="17"/>
        <v>#VALUE!</v>
      </c>
    </row>
    <row r="38" spans="1:55" s="2459" customFormat="1" ht="19.5" customHeight="1">
      <c r="A38" s="1706">
        <f t="shared" si="0"/>
        <v>0</v>
      </c>
      <c r="B38" s="6301" t="str">
        <f t="shared" si="1"/>
        <v/>
      </c>
      <c r="C38" s="6302"/>
      <c r="D38" s="6302"/>
      <c r="E38" s="6302"/>
      <c r="F38" s="6302"/>
      <c r="G38" s="6302"/>
      <c r="H38" s="6302"/>
      <c r="I38" s="6303"/>
      <c r="J38" s="6304" t="str">
        <f t="shared" si="2"/>
        <v/>
      </c>
      <c r="K38" s="6305"/>
      <c r="L38" s="6305"/>
      <c r="M38" s="6304" t="str">
        <f t="shared" si="3"/>
        <v/>
      </c>
      <c r="N38" s="6305"/>
      <c r="O38" s="6305"/>
      <c r="P38" s="6306"/>
      <c r="Q38" s="4641" t="str">
        <f t="shared" si="4"/>
        <v/>
      </c>
      <c r="R38" s="6307"/>
      <c r="S38" s="6307"/>
      <c r="T38" s="6308"/>
      <c r="U38" s="4641" t="str">
        <f t="shared" si="5"/>
        <v/>
      </c>
      <c r="V38" s="6307"/>
      <c r="W38" s="6307"/>
      <c r="X38" s="6308"/>
      <c r="Y38" s="6300" t="str">
        <f t="shared" ref="Y38:Y54" si="18">IF(AO38&lt;&gt;"",AO38,"")</f>
        <v/>
      </c>
      <c r="Z38" s="4756"/>
      <c r="AA38" s="6300" t="str">
        <f t="shared" ref="AA38:AA54" si="19">IF(AP38="","",AP38)</f>
        <v/>
      </c>
      <c r="AB38" s="4756"/>
      <c r="AC38" s="6309" t="str">
        <f t="shared" si="7"/>
        <v/>
      </c>
      <c r="AD38" s="6310"/>
      <c r="AE38" s="6310"/>
      <c r="AF38" s="6310"/>
      <c r="AG38" s="2631">
        <f t="shared" si="8"/>
        <v>0</v>
      </c>
      <c r="AH38" s="1644"/>
      <c r="AI38" s="1644" t="e">
        <f t="shared" si="6"/>
        <v>#VALUE!</v>
      </c>
      <c r="AJ38" s="2467"/>
      <c r="AK38" s="2471"/>
      <c r="AL38" s="2471"/>
      <c r="AM38" s="2469"/>
      <c r="AN38" s="2469"/>
      <c r="AO38" s="2470"/>
      <c r="AP38" s="2469"/>
      <c r="AQ38" s="2468"/>
      <c r="AS38" s="2620" t="e">
        <f t="shared" si="9"/>
        <v>#VALUE!</v>
      </c>
      <c r="AT38" s="2620" t="e">
        <f t="shared" si="10"/>
        <v>#VALUE!</v>
      </c>
      <c r="AU38" s="2620" t="e">
        <f t="shared" si="11"/>
        <v>#VALUE!</v>
      </c>
      <c r="AV38" s="2620"/>
      <c r="AW38" s="2620" t="e">
        <f t="shared" si="12"/>
        <v>#VALUE!</v>
      </c>
      <c r="AX38" s="2620" t="e">
        <f t="shared" si="13"/>
        <v>#VALUE!</v>
      </c>
      <c r="AY38" s="2620" t="e">
        <f t="shared" si="14"/>
        <v>#VALUE!</v>
      </c>
      <c r="AZ38" s="2620"/>
      <c r="BA38" s="2620" t="e">
        <f t="shared" si="15"/>
        <v>#VALUE!</v>
      </c>
      <c r="BB38" s="2620" t="e">
        <f t="shared" si="16"/>
        <v>#VALUE!</v>
      </c>
      <c r="BC38" s="2620" t="e">
        <f t="shared" si="17"/>
        <v>#VALUE!</v>
      </c>
    </row>
    <row r="39" spans="1:55" s="2459" customFormat="1" ht="19.5" customHeight="1">
      <c r="A39" s="1706">
        <f t="shared" si="0"/>
        <v>0</v>
      </c>
      <c r="B39" s="6301" t="str">
        <f t="shared" si="1"/>
        <v/>
      </c>
      <c r="C39" s="6302"/>
      <c r="D39" s="6302"/>
      <c r="E39" s="6302"/>
      <c r="F39" s="6302"/>
      <c r="G39" s="6302"/>
      <c r="H39" s="6302"/>
      <c r="I39" s="6303"/>
      <c r="J39" s="6304" t="str">
        <f t="shared" si="2"/>
        <v/>
      </c>
      <c r="K39" s="6305"/>
      <c r="L39" s="6305"/>
      <c r="M39" s="6304" t="str">
        <f t="shared" si="3"/>
        <v/>
      </c>
      <c r="N39" s="6305"/>
      <c r="O39" s="6305"/>
      <c r="P39" s="6306"/>
      <c r="Q39" s="4641" t="str">
        <f t="shared" si="4"/>
        <v/>
      </c>
      <c r="R39" s="6307"/>
      <c r="S39" s="6307"/>
      <c r="T39" s="6308"/>
      <c r="U39" s="4641" t="str">
        <f t="shared" si="5"/>
        <v/>
      </c>
      <c r="V39" s="6307"/>
      <c r="W39" s="6307"/>
      <c r="X39" s="6308"/>
      <c r="Y39" s="6300" t="str">
        <f t="shared" si="18"/>
        <v/>
      </c>
      <c r="Z39" s="4756"/>
      <c r="AA39" s="6300" t="str">
        <f t="shared" si="19"/>
        <v/>
      </c>
      <c r="AB39" s="4756"/>
      <c r="AC39" s="6309" t="str">
        <f t="shared" si="7"/>
        <v/>
      </c>
      <c r="AD39" s="6310"/>
      <c r="AE39" s="6310"/>
      <c r="AF39" s="6310"/>
      <c r="AG39" s="2631">
        <f t="shared" si="8"/>
        <v>0</v>
      </c>
      <c r="AH39" s="1644"/>
      <c r="AI39" s="1644" t="e">
        <f t="shared" si="6"/>
        <v>#VALUE!</v>
      </c>
      <c r="AJ39" s="2467"/>
      <c r="AK39" s="2471"/>
      <c r="AL39" s="2471"/>
      <c r="AM39" s="2469"/>
      <c r="AN39" s="2469"/>
      <c r="AO39" s="2470"/>
      <c r="AP39" s="2469"/>
      <c r="AQ39" s="2468"/>
      <c r="AS39" s="2620" t="e">
        <f t="shared" si="9"/>
        <v>#VALUE!</v>
      </c>
      <c r="AT39" s="2620" t="e">
        <f t="shared" si="10"/>
        <v>#VALUE!</v>
      </c>
      <c r="AU39" s="2620" t="e">
        <f t="shared" si="11"/>
        <v>#VALUE!</v>
      </c>
      <c r="AV39" s="2620"/>
      <c r="AW39" s="2620" t="e">
        <f t="shared" si="12"/>
        <v>#VALUE!</v>
      </c>
      <c r="AX39" s="2620" t="e">
        <f t="shared" si="13"/>
        <v>#VALUE!</v>
      </c>
      <c r="AY39" s="2620" t="e">
        <f t="shared" si="14"/>
        <v>#VALUE!</v>
      </c>
      <c r="AZ39" s="2620"/>
      <c r="BA39" s="2620" t="e">
        <f t="shared" si="15"/>
        <v>#VALUE!</v>
      </c>
      <c r="BB39" s="2620" t="e">
        <f t="shared" si="16"/>
        <v>#VALUE!</v>
      </c>
      <c r="BC39" s="2620" t="e">
        <f t="shared" si="17"/>
        <v>#VALUE!</v>
      </c>
    </row>
    <row r="40" spans="1:55" s="2459" customFormat="1" ht="19.5" customHeight="1">
      <c r="A40" s="1706">
        <f t="shared" si="0"/>
        <v>0</v>
      </c>
      <c r="B40" s="6301" t="str">
        <f t="shared" si="1"/>
        <v/>
      </c>
      <c r="C40" s="6302"/>
      <c r="D40" s="6302"/>
      <c r="E40" s="6302"/>
      <c r="F40" s="6302"/>
      <c r="G40" s="6302"/>
      <c r="H40" s="6302"/>
      <c r="I40" s="6303"/>
      <c r="J40" s="6304" t="str">
        <f t="shared" si="2"/>
        <v/>
      </c>
      <c r="K40" s="6305"/>
      <c r="L40" s="6305"/>
      <c r="M40" s="6304" t="str">
        <f t="shared" si="3"/>
        <v/>
      </c>
      <c r="N40" s="6305"/>
      <c r="O40" s="6305"/>
      <c r="P40" s="6306"/>
      <c r="Q40" s="4641" t="str">
        <f t="shared" si="4"/>
        <v/>
      </c>
      <c r="R40" s="6307"/>
      <c r="S40" s="6307"/>
      <c r="T40" s="6308"/>
      <c r="U40" s="4641" t="str">
        <f t="shared" si="5"/>
        <v/>
      </c>
      <c r="V40" s="6307"/>
      <c r="W40" s="6307"/>
      <c r="X40" s="6308"/>
      <c r="Y40" s="6300" t="str">
        <f t="shared" si="18"/>
        <v/>
      </c>
      <c r="Z40" s="4756"/>
      <c r="AA40" s="6300" t="str">
        <f t="shared" si="19"/>
        <v/>
      </c>
      <c r="AB40" s="4756"/>
      <c r="AC40" s="6309" t="str">
        <f t="shared" si="7"/>
        <v/>
      </c>
      <c r="AD40" s="6310"/>
      <c r="AE40" s="6310"/>
      <c r="AF40" s="6310"/>
      <c r="AG40" s="2631">
        <f t="shared" si="8"/>
        <v>0</v>
      </c>
      <c r="AH40" s="1644"/>
      <c r="AI40" s="1644" t="e">
        <f t="shared" si="6"/>
        <v>#VALUE!</v>
      </c>
      <c r="AJ40" s="2467"/>
      <c r="AK40" s="2471"/>
      <c r="AL40" s="2471"/>
      <c r="AM40" s="2469"/>
      <c r="AN40" s="2469"/>
      <c r="AO40" s="2470"/>
      <c r="AP40" s="2469"/>
      <c r="AQ40" s="2468"/>
      <c r="AS40" s="2620" t="e">
        <f t="shared" si="9"/>
        <v>#VALUE!</v>
      </c>
      <c r="AT40" s="2620" t="e">
        <f t="shared" si="10"/>
        <v>#VALUE!</v>
      </c>
      <c r="AU40" s="2620" t="e">
        <f t="shared" si="11"/>
        <v>#VALUE!</v>
      </c>
      <c r="AV40" s="2620"/>
      <c r="AW40" s="2620" t="e">
        <f t="shared" si="12"/>
        <v>#VALUE!</v>
      </c>
      <c r="AX40" s="2620" t="e">
        <f t="shared" si="13"/>
        <v>#VALUE!</v>
      </c>
      <c r="AY40" s="2620" t="e">
        <f t="shared" si="14"/>
        <v>#VALUE!</v>
      </c>
      <c r="AZ40" s="2620"/>
      <c r="BA40" s="2620" t="e">
        <f t="shared" si="15"/>
        <v>#VALUE!</v>
      </c>
      <c r="BB40" s="2620" t="e">
        <f t="shared" si="16"/>
        <v>#VALUE!</v>
      </c>
      <c r="BC40" s="2620" t="e">
        <f t="shared" si="17"/>
        <v>#VALUE!</v>
      </c>
    </row>
    <row r="41" spans="1:55" s="2459" customFormat="1" ht="19.5" customHeight="1">
      <c r="A41" s="1706">
        <f t="shared" si="0"/>
        <v>0</v>
      </c>
      <c r="B41" s="6301" t="str">
        <f t="shared" si="1"/>
        <v/>
      </c>
      <c r="C41" s="6302"/>
      <c r="D41" s="6302"/>
      <c r="E41" s="6302"/>
      <c r="F41" s="6302"/>
      <c r="G41" s="6302"/>
      <c r="H41" s="6302"/>
      <c r="I41" s="6303"/>
      <c r="J41" s="6304" t="str">
        <f t="shared" si="2"/>
        <v/>
      </c>
      <c r="K41" s="6305"/>
      <c r="L41" s="6305"/>
      <c r="M41" s="6304" t="str">
        <f t="shared" si="3"/>
        <v/>
      </c>
      <c r="N41" s="6305"/>
      <c r="O41" s="6305"/>
      <c r="P41" s="6306"/>
      <c r="Q41" s="4641" t="str">
        <f t="shared" si="4"/>
        <v/>
      </c>
      <c r="R41" s="6307"/>
      <c r="S41" s="6307"/>
      <c r="T41" s="6308"/>
      <c r="U41" s="4641" t="str">
        <f t="shared" si="5"/>
        <v/>
      </c>
      <c r="V41" s="6307"/>
      <c r="W41" s="6307"/>
      <c r="X41" s="6308"/>
      <c r="Y41" s="6300" t="str">
        <f t="shared" si="18"/>
        <v/>
      </c>
      <c r="Z41" s="4756"/>
      <c r="AA41" s="6300" t="str">
        <f t="shared" si="19"/>
        <v/>
      </c>
      <c r="AB41" s="4756"/>
      <c r="AC41" s="6309" t="str">
        <f t="shared" si="7"/>
        <v/>
      </c>
      <c r="AD41" s="6310"/>
      <c r="AE41" s="6310"/>
      <c r="AF41" s="6310"/>
      <c r="AG41" s="2631">
        <f t="shared" si="8"/>
        <v>0</v>
      </c>
      <c r="AH41" s="1644"/>
      <c r="AI41" s="1644" t="e">
        <f t="shared" si="6"/>
        <v>#VALUE!</v>
      </c>
      <c r="AJ41" s="2467"/>
      <c r="AK41" s="2471"/>
      <c r="AL41" s="2471"/>
      <c r="AM41" s="2469"/>
      <c r="AN41" s="2469"/>
      <c r="AO41" s="2470"/>
      <c r="AP41" s="2469"/>
      <c r="AQ41" s="2468"/>
      <c r="AS41" s="2620" t="e">
        <f t="shared" si="9"/>
        <v>#VALUE!</v>
      </c>
      <c r="AT41" s="2620" t="e">
        <f t="shared" si="10"/>
        <v>#VALUE!</v>
      </c>
      <c r="AU41" s="2620" t="e">
        <f t="shared" si="11"/>
        <v>#VALUE!</v>
      </c>
      <c r="AV41" s="2620"/>
      <c r="AW41" s="2620" t="e">
        <f t="shared" si="12"/>
        <v>#VALUE!</v>
      </c>
      <c r="AX41" s="2620" t="e">
        <f t="shared" si="13"/>
        <v>#VALUE!</v>
      </c>
      <c r="AY41" s="2620" t="e">
        <f t="shared" si="14"/>
        <v>#VALUE!</v>
      </c>
      <c r="AZ41" s="2620"/>
      <c r="BA41" s="2620" t="e">
        <f t="shared" si="15"/>
        <v>#VALUE!</v>
      </c>
      <c r="BB41" s="2620" t="e">
        <f t="shared" si="16"/>
        <v>#VALUE!</v>
      </c>
      <c r="BC41" s="2620" t="e">
        <f t="shared" si="17"/>
        <v>#VALUE!</v>
      </c>
    </row>
    <row r="42" spans="1:55" s="2459" customFormat="1" ht="19.5" customHeight="1">
      <c r="A42" s="1706">
        <f t="shared" si="0"/>
        <v>0</v>
      </c>
      <c r="B42" s="6301" t="str">
        <f t="shared" si="1"/>
        <v/>
      </c>
      <c r="C42" s="6302"/>
      <c r="D42" s="6302"/>
      <c r="E42" s="6302"/>
      <c r="F42" s="6302"/>
      <c r="G42" s="6302"/>
      <c r="H42" s="6302"/>
      <c r="I42" s="6303"/>
      <c r="J42" s="6304" t="str">
        <f t="shared" si="2"/>
        <v/>
      </c>
      <c r="K42" s="6305"/>
      <c r="L42" s="6305"/>
      <c r="M42" s="6304" t="str">
        <f t="shared" si="3"/>
        <v/>
      </c>
      <c r="N42" s="6305"/>
      <c r="O42" s="6305"/>
      <c r="P42" s="6306"/>
      <c r="Q42" s="4641" t="str">
        <f t="shared" si="4"/>
        <v/>
      </c>
      <c r="R42" s="6307"/>
      <c r="S42" s="6307"/>
      <c r="T42" s="6308"/>
      <c r="U42" s="4641" t="str">
        <f t="shared" si="5"/>
        <v/>
      </c>
      <c r="V42" s="6307"/>
      <c r="W42" s="6307"/>
      <c r="X42" s="6308"/>
      <c r="Y42" s="6300" t="str">
        <f t="shared" si="18"/>
        <v/>
      </c>
      <c r="Z42" s="4756"/>
      <c r="AA42" s="6300" t="str">
        <f t="shared" si="19"/>
        <v/>
      </c>
      <c r="AB42" s="4756"/>
      <c r="AC42" s="6309" t="str">
        <f t="shared" si="7"/>
        <v/>
      </c>
      <c r="AD42" s="6310"/>
      <c r="AE42" s="6310"/>
      <c r="AF42" s="6310"/>
      <c r="AG42" s="2631">
        <f t="shared" si="8"/>
        <v>0</v>
      </c>
      <c r="AH42" s="1644"/>
      <c r="AI42" s="1644" t="e">
        <f t="shared" si="6"/>
        <v>#VALUE!</v>
      </c>
      <c r="AJ42" s="2467"/>
      <c r="AK42" s="2471"/>
      <c r="AL42" s="2471"/>
      <c r="AM42" s="2469"/>
      <c r="AN42" s="2469"/>
      <c r="AO42" s="2470"/>
      <c r="AP42" s="2469"/>
      <c r="AQ42" s="2468"/>
      <c r="AS42" s="2620" t="e">
        <f t="shared" si="9"/>
        <v>#VALUE!</v>
      </c>
      <c r="AT42" s="2620" t="e">
        <f t="shared" si="10"/>
        <v>#VALUE!</v>
      </c>
      <c r="AU42" s="2620" t="e">
        <f t="shared" si="11"/>
        <v>#VALUE!</v>
      </c>
      <c r="AV42" s="2620"/>
      <c r="AW42" s="2620" t="e">
        <f t="shared" si="12"/>
        <v>#VALUE!</v>
      </c>
      <c r="AX42" s="2620" t="e">
        <f t="shared" si="13"/>
        <v>#VALUE!</v>
      </c>
      <c r="AY42" s="2620" t="e">
        <f t="shared" si="14"/>
        <v>#VALUE!</v>
      </c>
      <c r="AZ42" s="2620"/>
      <c r="BA42" s="2620" t="e">
        <f t="shared" si="15"/>
        <v>#VALUE!</v>
      </c>
      <c r="BB42" s="2620" t="e">
        <f t="shared" si="16"/>
        <v>#VALUE!</v>
      </c>
      <c r="BC42" s="2620" t="e">
        <f t="shared" si="17"/>
        <v>#VALUE!</v>
      </c>
    </row>
    <row r="43" spans="1:55" s="2459" customFormat="1" ht="19.5" customHeight="1">
      <c r="A43" s="1706">
        <f t="shared" si="0"/>
        <v>0</v>
      </c>
      <c r="B43" s="6301" t="str">
        <f t="shared" si="1"/>
        <v/>
      </c>
      <c r="C43" s="6302"/>
      <c r="D43" s="6302"/>
      <c r="E43" s="6302"/>
      <c r="F43" s="6302"/>
      <c r="G43" s="6302"/>
      <c r="H43" s="6302"/>
      <c r="I43" s="6303"/>
      <c r="J43" s="6304" t="str">
        <f t="shared" si="2"/>
        <v/>
      </c>
      <c r="K43" s="6305"/>
      <c r="L43" s="6305"/>
      <c r="M43" s="6304" t="str">
        <f t="shared" si="3"/>
        <v/>
      </c>
      <c r="N43" s="6305"/>
      <c r="O43" s="6305"/>
      <c r="P43" s="6306"/>
      <c r="Q43" s="4641" t="str">
        <f t="shared" si="4"/>
        <v/>
      </c>
      <c r="R43" s="6307"/>
      <c r="S43" s="6307"/>
      <c r="T43" s="6308"/>
      <c r="U43" s="4641" t="str">
        <f t="shared" si="5"/>
        <v/>
      </c>
      <c r="V43" s="6307"/>
      <c r="W43" s="6307"/>
      <c r="X43" s="6308"/>
      <c r="Y43" s="6300" t="str">
        <f t="shared" si="18"/>
        <v/>
      </c>
      <c r="Z43" s="4756"/>
      <c r="AA43" s="6300" t="str">
        <f t="shared" si="19"/>
        <v/>
      </c>
      <c r="AB43" s="4756"/>
      <c r="AC43" s="6309" t="str">
        <f t="shared" si="7"/>
        <v/>
      </c>
      <c r="AD43" s="6310"/>
      <c r="AE43" s="6310"/>
      <c r="AF43" s="6310"/>
      <c r="AG43" s="2631">
        <f t="shared" si="8"/>
        <v>0</v>
      </c>
      <c r="AH43" s="1644"/>
      <c r="AI43" s="1644" t="e">
        <f t="shared" si="6"/>
        <v>#VALUE!</v>
      </c>
      <c r="AJ43" s="2467"/>
      <c r="AK43" s="2471"/>
      <c r="AL43" s="2471"/>
      <c r="AM43" s="2469"/>
      <c r="AN43" s="2469"/>
      <c r="AO43" s="2470"/>
      <c r="AP43" s="2469"/>
      <c r="AQ43" s="2468"/>
      <c r="AS43" s="2620" t="e">
        <f t="shared" si="9"/>
        <v>#VALUE!</v>
      </c>
      <c r="AT43" s="2620" t="e">
        <f t="shared" si="10"/>
        <v>#VALUE!</v>
      </c>
      <c r="AU43" s="2620" t="e">
        <f t="shared" si="11"/>
        <v>#VALUE!</v>
      </c>
      <c r="AV43" s="2620"/>
      <c r="AW43" s="2620" t="e">
        <f t="shared" si="12"/>
        <v>#VALUE!</v>
      </c>
      <c r="AX43" s="2620" t="e">
        <f t="shared" si="13"/>
        <v>#VALUE!</v>
      </c>
      <c r="AY43" s="2620" t="e">
        <f t="shared" si="14"/>
        <v>#VALUE!</v>
      </c>
      <c r="AZ43" s="2620"/>
      <c r="BA43" s="2620" t="e">
        <f t="shared" si="15"/>
        <v>#VALUE!</v>
      </c>
      <c r="BB43" s="2620" t="e">
        <f t="shared" si="16"/>
        <v>#VALUE!</v>
      </c>
      <c r="BC43" s="2620" t="e">
        <f t="shared" si="17"/>
        <v>#VALUE!</v>
      </c>
    </row>
    <row r="44" spans="1:55" s="2459" customFormat="1" ht="19.5" customHeight="1">
      <c r="A44" s="1706">
        <f t="shared" si="0"/>
        <v>0</v>
      </c>
      <c r="B44" s="6301" t="str">
        <f t="shared" si="1"/>
        <v/>
      </c>
      <c r="C44" s="6302"/>
      <c r="D44" s="6302"/>
      <c r="E44" s="6302"/>
      <c r="F44" s="6302"/>
      <c r="G44" s="6302"/>
      <c r="H44" s="6302"/>
      <c r="I44" s="6303"/>
      <c r="J44" s="6304" t="str">
        <f t="shared" si="2"/>
        <v/>
      </c>
      <c r="K44" s="6305"/>
      <c r="L44" s="6305"/>
      <c r="M44" s="6304" t="str">
        <f t="shared" si="3"/>
        <v/>
      </c>
      <c r="N44" s="6305"/>
      <c r="O44" s="6305"/>
      <c r="P44" s="6306"/>
      <c r="Q44" s="4641" t="str">
        <f t="shared" si="4"/>
        <v/>
      </c>
      <c r="R44" s="6307"/>
      <c r="S44" s="6307"/>
      <c r="T44" s="6308"/>
      <c r="U44" s="4641" t="str">
        <f t="shared" si="5"/>
        <v/>
      </c>
      <c r="V44" s="6307"/>
      <c r="W44" s="6307"/>
      <c r="X44" s="6308"/>
      <c r="Y44" s="6300" t="str">
        <f t="shared" si="18"/>
        <v/>
      </c>
      <c r="Z44" s="4756"/>
      <c r="AA44" s="6300" t="str">
        <f t="shared" si="19"/>
        <v/>
      </c>
      <c r="AB44" s="4756"/>
      <c r="AC44" s="6309" t="str">
        <f t="shared" si="7"/>
        <v/>
      </c>
      <c r="AD44" s="6310"/>
      <c r="AE44" s="6310"/>
      <c r="AF44" s="6310"/>
      <c r="AG44" s="2631">
        <f t="shared" si="8"/>
        <v>0</v>
      </c>
      <c r="AH44" s="1644"/>
      <c r="AI44" s="1644" t="e">
        <f t="shared" si="6"/>
        <v>#VALUE!</v>
      </c>
      <c r="AJ44" s="2467"/>
      <c r="AK44" s="2471"/>
      <c r="AL44" s="2471"/>
      <c r="AM44" s="2469"/>
      <c r="AN44" s="2469"/>
      <c r="AO44" s="2470"/>
      <c r="AP44" s="2469"/>
      <c r="AQ44" s="2468"/>
      <c r="AS44" s="2620" t="e">
        <f t="shared" si="9"/>
        <v>#VALUE!</v>
      </c>
      <c r="AT44" s="2620" t="e">
        <f t="shared" si="10"/>
        <v>#VALUE!</v>
      </c>
      <c r="AU44" s="2620" t="e">
        <f t="shared" si="11"/>
        <v>#VALUE!</v>
      </c>
      <c r="AV44" s="2620"/>
      <c r="AW44" s="2620" t="e">
        <f t="shared" si="12"/>
        <v>#VALUE!</v>
      </c>
      <c r="AX44" s="2620" t="e">
        <f t="shared" si="13"/>
        <v>#VALUE!</v>
      </c>
      <c r="AY44" s="2620" t="e">
        <f t="shared" si="14"/>
        <v>#VALUE!</v>
      </c>
      <c r="AZ44" s="2620"/>
      <c r="BA44" s="2620" t="e">
        <f t="shared" si="15"/>
        <v>#VALUE!</v>
      </c>
      <c r="BB44" s="2620" t="e">
        <f t="shared" si="16"/>
        <v>#VALUE!</v>
      </c>
      <c r="BC44" s="2620" t="e">
        <f t="shared" si="17"/>
        <v>#VALUE!</v>
      </c>
    </row>
    <row r="45" spans="1:55" s="2459" customFormat="1" ht="19.5" customHeight="1">
      <c r="A45" s="1706">
        <f t="shared" si="0"/>
        <v>0</v>
      </c>
      <c r="B45" s="6301" t="str">
        <f t="shared" si="1"/>
        <v/>
      </c>
      <c r="C45" s="6302"/>
      <c r="D45" s="6302"/>
      <c r="E45" s="6302"/>
      <c r="F45" s="6302"/>
      <c r="G45" s="6302"/>
      <c r="H45" s="6302"/>
      <c r="I45" s="6303"/>
      <c r="J45" s="6304" t="str">
        <f t="shared" si="2"/>
        <v/>
      </c>
      <c r="K45" s="6305"/>
      <c r="L45" s="6305"/>
      <c r="M45" s="6304" t="str">
        <f t="shared" si="3"/>
        <v/>
      </c>
      <c r="N45" s="6305"/>
      <c r="O45" s="6305"/>
      <c r="P45" s="6306"/>
      <c r="Q45" s="4641" t="str">
        <f t="shared" si="4"/>
        <v/>
      </c>
      <c r="R45" s="6307"/>
      <c r="S45" s="6307"/>
      <c r="T45" s="6308"/>
      <c r="U45" s="4641" t="str">
        <f t="shared" si="5"/>
        <v/>
      </c>
      <c r="V45" s="6307"/>
      <c r="W45" s="6307"/>
      <c r="X45" s="6308"/>
      <c r="Y45" s="6300" t="str">
        <f t="shared" si="18"/>
        <v/>
      </c>
      <c r="Z45" s="4756"/>
      <c r="AA45" s="6300" t="str">
        <f t="shared" si="19"/>
        <v/>
      </c>
      <c r="AB45" s="4756"/>
      <c r="AC45" s="6309" t="str">
        <f t="shared" si="7"/>
        <v/>
      </c>
      <c r="AD45" s="6310"/>
      <c r="AE45" s="6310"/>
      <c r="AF45" s="6310"/>
      <c r="AG45" s="2631">
        <f t="shared" si="8"/>
        <v>0</v>
      </c>
      <c r="AH45" s="1644"/>
      <c r="AI45" s="1644" t="e">
        <f t="shared" si="6"/>
        <v>#VALUE!</v>
      </c>
      <c r="AJ45" s="2467"/>
      <c r="AK45" s="2471"/>
      <c r="AL45" s="2471"/>
      <c r="AM45" s="2469"/>
      <c r="AN45" s="2469"/>
      <c r="AO45" s="2470"/>
      <c r="AP45" s="2469"/>
      <c r="AQ45" s="2468"/>
      <c r="AS45" s="2620" t="e">
        <f t="shared" si="9"/>
        <v>#VALUE!</v>
      </c>
      <c r="AT45" s="2620" t="e">
        <f t="shared" si="10"/>
        <v>#VALUE!</v>
      </c>
      <c r="AU45" s="2620" t="e">
        <f t="shared" si="11"/>
        <v>#VALUE!</v>
      </c>
      <c r="AV45" s="2620"/>
      <c r="AW45" s="2620" t="e">
        <f t="shared" si="12"/>
        <v>#VALUE!</v>
      </c>
      <c r="AX45" s="2620" t="e">
        <f t="shared" si="13"/>
        <v>#VALUE!</v>
      </c>
      <c r="AY45" s="2620" t="e">
        <f t="shared" si="14"/>
        <v>#VALUE!</v>
      </c>
      <c r="AZ45" s="2620"/>
      <c r="BA45" s="2620" t="e">
        <f t="shared" si="15"/>
        <v>#VALUE!</v>
      </c>
      <c r="BB45" s="2620" t="e">
        <f t="shared" si="16"/>
        <v>#VALUE!</v>
      </c>
      <c r="BC45" s="2620" t="e">
        <f t="shared" si="17"/>
        <v>#VALUE!</v>
      </c>
    </row>
    <row r="46" spans="1:55" s="2459" customFormat="1" ht="19.5" customHeight="1">
      <c r="A46" s="1706">
        <f t="shared" si="0"/>
        <v>0</v>
      </c>
      <c r="B46" s="6301" t="str">
        <f t="shared" si="1"/>
        <v/>
      </c>
      <c r="C46" s="6302"/>
      <c r="D46" s="6302"/>
      <c r="E46" s="6302"/>
      <c r="F46" s="6302"/>
      <c r="G46" s="6302"/>
      <c r="H46" s="6302"/>
      <c r="I46" s="6303"/>
      <c r="J46" s="6304" t="str">
        <f t="shared" si="2"/>
        <v/>
      </c>
      <c r="K46" s="6305"/>
      <c r="L46" s="6305"/>
      <c r="M46" s="6304" t="str">
        <f t="shared" si="3"/>
        <v/>
      </c>
      <c r="N46" s="6305"/>
      <c r="O46" s="6305"/>
      <c r="P46" s="6306"/>
      <c r="Q46" s="4641" t="str">
        <f t="shared" si="4"/>
        <v/>
      </c>
      <c r="R46" s="6307"/>
      <c r="S46" s="6307"/>
      <c r="T46" s="6308"/>
      <c r="U46" s="4641" t="str">
        <f t="shared" si="5"/>
        <v/>
      </c>
      <c r="V46" s="6307"/>
      <c r="W46" s="6307"/>
      <c r="X46" s="6308"/>
      <c r="Y46" s="6300" t="str">
        <f t="shared" si="18"/>
        <v/>
      </c>
      <c r="Z46" s="4756"/>
      <c r="AA46" s="6300" t="str">
        <f t="shared" si="19"/>
        <v/>
      </c>
      <c r="AB46" s="4756"/>
      <c r="AC46" s="6309" t="str">
        <f t="shared" si="7"/>
        <v/>
      </c>
      <c r="AD46" s="6310"/>
      <c r="AE46" s="6310"/>
      <c r="AF46" s="6310"/>
      <c r="AG46" s="2631">
        <f t="shared" si="8"/>
        <v>0</v>
      </c>
      <c r="AH46" s="1644"/>
      <c r="AI46" s="1644" t="e">
        <f t="shared" si="6"/>
        <v>#VALUE!</v>
      </c>
      <c r="AJ46" s="2467"/>
      <c r="AK46" s="2471"/>
      <c r="AL46" s="2471"/>
      <c r="AM46" s="2469"/>
      <c r="AN46" s="2469"/>
      <c r="AO46" s="2470"/>
      <c r="AP46" s="2469"/>
      <c r="AQ46" s="2468"/>
      <c r="AS46" s="2620" t="e">
        <f t="shared" si="9"/>
        <v>#VALUE!</v>
      </c>
      <c r="AT46" s="2620" t="e">
        <f t="shared" si="10"/>
        <v>#VALUE!</v>
      </c>
      <c r="AU46" s="2620" t="e">
        <f t="shared" si="11"/>
        <v>#VALUE!</v>
      </c>
      <c r="AV46" s="2620"/>
      <c r="AW46" s="2620" t="e">
        <f t="shared" si="12"/>
        <v>#VALUE!</v>
      </c>
      <c r="AX46" s="2620" t="e">
        <f t="shared" si="13"/>
        <v>#VALUE!</v>
      </c>
      <c r="AY46" s="2620" t="e">
        <f t="shared" si="14"/>
        <v>#VALUE!</v>
      </c>
      <c r="AZ46" s="2620"/>
      <c r="BA46" s="2620" t="e">
        <f t="shared" si="15"/>
        <v>#VALUE!</v>
      </c>
      <c r="BB46" s="2620" t="e">
        <f t="shared" si="16"/>
        <v>#VALUE!</v>
      </c>
      <c r="BC46" s="2620" t="e">
        <f t="shared" si="17"/>
        <v>#VALUE!</v>
      </c>
    </row>
    <row r="47" spans="1:55" s="2459" customFormat="1" ht="19.5" customHeight="1">
      <c r="A47" s="1706">
        <f t="shared" si="0"/>
        <v>0</v>
      </c>
      <c r="B47" s="6301" t="str">
        <f t="shared" si="1"/>
        <v/>
      </c>
      <c r="C47" s="6302"/>
      <c r="D47" s="6302"/>
      <c r="E47" s="6302"/>
      <c r="F47" s="6302"/>
      <c r="G47" s="6302"/>
      <c r="H47" s="6302"/>
      <c r="I47" s="6303"/>
      <c r="J47" s="6304" t="str">
        <f t="shared" si="2"/>
        <v/>
      </c>
      <c r="K47" s="6305"/>
      <c r="L47" s="6305"/>
      <c r="M47" s="6304" t="str">
        <f t="shared" si="3"/>
        <v/>
      </c>
      <c r="N47" s="6305"/>
      <c r="O47" s="6305"/>
      <c r="P47" s="6306"/>
      <c r="Q47" s="4641" t="str">
        <f t="shared" si="4"/>
        <v/>
      </c>
      <c r="R47" s="6307"/>
      <c r="S47" s="6307"/>
      <c r="T47" s="6308"/>
      <c r="U47" s="4641" t="str">
        <f t="shared" si="5"/>
        <v/>
      </c>
      <c r="V47" s="6307"/>
      <c r="W47" s="6307"/>
      <c r="X47" s="6308"/>
      <c r="Y47" s="6300" t="str">
        <f t="shared" si="18"/>
        <v/>
      </c>
      <c r="Z47" s="4756"/>
      <c r="AA47" s="6300" t="str">
        <f t="shared" si="19"/>
        <v/>
      </c>
      <c r="AB47" s="4756"/>
      <c r="AC47" s="6309" t="str">
        <f t="shared" si="7"/>
        <v/>
      </c>
      <c r="AD47" s="6310"/>
      <c r="AE47" s="6310"/>
      <c r="AF47" s="6310"/>
      <c r="AG47" s="2631">
        <f t="shared" si="8"/>
        <v>0</v>
      </c>
      <c r="AH47" s="1644"/>
      <c r="AI47" s="1644" t="e">
        <f t="shared" si="6"/>
        <v>#VALUE!</v>
      </c>
      <c r="AJ47" s="2467"/>
      <c r="AK47" s="2471"/>
      <c r="AL47" s="2471"/>
      <c r="AM47" s="2469"/>
      <c r="AN47" s="2469"/>
      <c r="AO47" s="2470"/>
      <c r="AP47" s="2469"/>
      <c r="AQ47" s="2468"/>
      <c r="AS47" s="2620" t="e">
        <f t="shared" si="9"/>
        <v>#VALUE!</v>
      </c>
      <c r="AT47" s="2620" t="e">
        <f t="shared" si="10"/>
        <v>#VALUE!</v>
      </c>
      <c r="AU47" s="2620" t="e">
        <f t="shared" si="11"/>
        <v>#VALUE!</v>
      </c>
      <c r="AV47" s="2620"/>
      <c r="AW47" s="2620" t="e">
        <f t="shared" si="12"/>
        <v>#VALUE!</v>
      </c>
      <c r="AX47" s="2620" t="e">
        <f t="shared" si="13"/>
        <v>#VALUE!</v>
      </c>
      <c r="AY47" s="2620" t="e">
        <f t="shared" si="14"/>
        <v>#VALUE!</v>
      </c>
      <c r="AZ47" s="2620"/>
      <c r="BA47" s="2620" t="e">
        <f t="shared" si="15"/>
        <v>#VALUE!</v>
      </c>
      <c r="BB47" s="2620" t="e">
        <f t="shared" si="16"/>
        <v>#VALUE!</v>
      </c>
      <c r="BC47" s="2620" t="e">
        <f t="shared" si="17"/>
        <v>#VALUE!</v>
      </c>
    </row>
    <row r="48" spans="1:55" s="2459" customFormat="1" ht="19.5" customHeight="1">
      <c r="A48" s="1706">
        <f t="shared" si="0"/>
        <v>0</v>
      </c>
      <c r="B48" s="6301" t="str">
        <f t="shared" si="1"/>
        <v/>
      </c>
      <c r="C48" s="6302"/>
      <c r="D48" s="6302"/>
      <c r="E48" s="6302"/>
      <c r="F48" s="6302"/>
      <c r="G48" s="6302"/>
      <c r="H48" s="6302"/>
      <c r="I48" s="6303"/>
      <c r="J48" s="6304" t="str">
        <f t="shared" si="2"/>
        <v/>
      </c>
      <c r="K48" s="6305"/>
      <c r="L48" s="6305"/>
      <c r="M48" s="6304" t="str">
        <f t="shared" si="3"/>
        <v/>
      </c>
      <c r="N48" s="6305"/>
      <c r="O48" s="6305"/>
      <c r="P48" s="6306"/>
      <c r="Q48" s="4641" t="str">
        <f t="shared" si="4"/>
        <v/>
      </c>
      <c r="R48" s="6307"/>
      <c r="S48" s="6307"/>
      <c r="T48" s="6308"/>
      <c r="U48" s="4641" t="str">
        <f t="shared" si="5"/>
        <v/>
      </c>
      <c r="V48" s="6307"/>
      <c r="W48" s="6307"/>
      <c r="X48" s="6308"/>
      <c r="Y48" s="6300" t="str">
        <f t="shared" si="18"/>
        <v/>
      </c>
      <c r="Z48" s="4756"/>
      <c r="AA48" s="6300" t="str">
        <f t="shared" si="19"/>
        <v/>
      </c>
      <c r="AB48" s="4756"/>
      <c r="AC48" s="6309" t="str">
        <f t="shared" si="7"/>
        <v/>
      </c>
      <c r="AD48" s="6310"/>
      <c r="AE48" s="6310"/>
      <c r="AF48" s="6310"/>
      <c r="AG48" s="2631">
        <f t="shared" si="8"/>
        <v>0</v>
      </c>
      <c r="AH48" s="1644"/>
      <c r="AI48" s="1644" t="e">
        <f t="shared" si="6"/>
        <v>#VALUE!</v>
      </c>
      <c r="AJ48" s="2467"/>
      <c r="AK48" s="2471"/>
      <c r="AL48" s="2471"/>
      <c r="AM48" s="2469"/>
      <c r="AN48" s="2469"/>
      <c r="AO48" s="2470"/>
      <c r="AP48" s="2469"/>
      <c r="AQ48" s="2468"/>
      <c r="AS48" s="2620" t="e">
        <f t="shared" si="9"/>
        <v>#VALUE!</v>
      </c>
      <c r="AT48" s="2620" t="e">
        <f t="shared" si="10"/>
        <v>#VALUE!</v>
      </c>
      <c r="AU48" s="2620" t="e">
        <f t="shared" si="11"/>
        <v>#VALUE!</v>
      </c>
      <c r="AV48" s="2620"/>
      <c r="AW48" s="2620" t="e">
        <f t="shared" si="12"/>
        <v>#VALUE!</v>
      </c>
      <c r="AX48" s="2620" t="e">
        <f t="shared" si="13"/>
        <v>#VALUE!</v>
      </c>
      <c r="AY48" s="2620" t="e">
        <f t="shared" si="14"/>
        <v>#VALUE!</v>
      </c>
      <c r="AZ48" s="2620"/>
      <c r="BA48" s="2620" t="e">
        <f t="shared" si="15"/>
        <v>#VALUE!</v>
      </c>
      <c r="BB48" s="2620" t="e">
        <f t="shared" si="16"/>
        <v>#VALUE!</v>
      </c>
      <c r="BC48" s="2620" t="e">
        <f t="shared" si="17"/>
        <v>#VALUE!</v>
      </c>
    </row>
    <row r="49" spans="1:55" s="2459" customFormat="1" ht="19.5" customHeight="1">
      <c r="A49" s="1706">
        <f t="shared" si="0"/>
        <v>0</v>
      </c>
      <c r="B49" s="6301" t="str">
        <f t="shared" si="1"/>
        <v/>
      </c>
      <c r="C49" s="6302"/>
      <c r="D49" s="6302"/>
      <c r="E49" s="6302"/>
      <c r="F49" s="6302"/>
      <c r="G49" s="6302"/>
      <c r="H49" s="6302"/>
      <c r="I49" s="6303"/>
      <c r="J49" s="6304" t="str">
        <f t="shared" si="2"/>
        <v/>
      </c>
      <c r="K49" s="6305"/>
      <c r="L49" s="6305"/>
      <c r="M49" s="6304" t="str">
        <f t="shared" si="3"/>
        <v/>
      </c>
      <c r="N49" s="6305"/>
      <c r="O49" s="6305"/>
      <c r="P49" s="6306"/>
      <c r="Q49" s="4641" t="str">
        <f t="shared" si="4"/>
        <v/>
      </c>
      <c r="R49" s="6307"/>
      <c r="S49" s="6307"/>
      <c r="T49" s="6308"/>
      <c r="U49" s="4641" t="str">
        <f t="shared" si="5"/>
        <v/>
      </c>
      <c r="V49" s="6307"/>
      <c r="W49" s="6307"/>
      <c r="X49" s="6308"/>
      <c r="Y49" s="6300" t="str">
        <f t="shared" si="18"/>
        <v/>
      </c>
      <c r="Z49" s="4756"/>
      <c r="AA49" s="6300" t="str">
        <f t="shared" si="19"/>
        <v/>
      </c>
      <c r="AB49" s="4756"/>
      <c r="AC49" s="6309" t="str">
        <f t="shared" si="7"/>
        <v/>
      </c>
      <c r="AD49" s="6310"/>
      <c r="AE49" s="6310"/>
      <c r="AF49" s="6310"/>
      <c r="AG49" s="2631">
        <f t="shared" si="8"/>
        <v>0</v>
      </c>
      <c r="AH49" s="1644"/>
      <c r="AI49" s="1644" t="e">
        <f t="shared" si="6"/>
        <v>#VALUE!</v>
      </c>
      <c r="AJ49" s="2467"/>
      <c r="AK49" s="2471"/>
      <c r="AL49" s="2471"/>
      <c r="AM49" s="2469"/>
      <c r="AN49" s="2469"/>
      <c r="AO49" s="2470"/>
      <c r="AP49" s="2469"/>
      <c r="AQ49" s="2468"/>
      <c r="AS49" s="2620" t="e">
        <f t="shared" si="9"/>
        <v>#VALUE!</v>
      </c>
      <c r="AT49" s="2620" t="e">
        <f t="shared" si="10"/>
        <v>#VALUE!</v>
      </c>
      <c r="AU49" s="2620" t="e">
        <f t="shared" si="11"/>
        <v>#VALUE!</v>
      </c>
      <c r="AV49" s="2620"/>
      <c r="AW49" s="2620" t="e">
        <f t="shared" si="12"/>
        <v>#VALUE!</v>
      </c>
      <c r="AX49" s="2620" t="e">
        <f t="shared" si="13"/>
        <v>#VALUE!</v>
      </c>
      <c r="AY49" s="2620" t="e">
        <f t="shared" si="14"/>
        <v>#VALUE!</v>
      </c>
      <c r="AZ49" s="2620"/>
      <c r="BA49" s="2620" t="e">
        <f t="shared" si="15"/>
        <v>#VALUE!</v>
      </c>
      <c r="BB49" s="2620" t="e">
        <f t="shared" si="16"/>
        <v>#VALUE!</v>
      </c>
      <c r="BC49" s="2620" t="e">
        <f t="shared" si="17"/>
        <v>#VALUE!</v>
      </c>
    </row>
    <row r="50" spans="1:55" s="2459" customFormat="1" ht="19.5" customHeight="1">
      <c r="A50" s="1706">
        <f t="shared" si="0"/>
        <v>0</v>
      </c>
      <c r="B50" s="6301" t="str">
        <f t="shared" si="1"/>
        <v/>
      </c>
      <c r="C50" s="6302"/>
      <c r="D50" s="6302"/>
      <c r="E50" s="6302"/>
      <c r="F50" s="6302"/>
      <c r="G50" s="6302"/>
      <c r="H50" s="6302"/>
      <c r="I50" s="6303"/>
      <c r="J50" s="6304" t="str">
        <f t="shared" si="2"/>
        <v/>
      </c>
      <c r="K50" s="6305"/>
      <c r="L50" s="6305"/>
      <c r="M50" s="6304" t="str">
        <f t="shared" si="3"/>
        <v/>
      </c>
      <c r="N50" s="6305"/>
      <c r="O50" s="6305"/>
      <c r="P50" s="6306"/>
      <c r="Q50" s="4641" t="str">
        <f t="shared" si="4"/>
        <v/>
      </c>
      <c r="R50" s="6307"/>
      <c r="S50" s="6307"/>
      <c r="T50" s="6308"/>
      <c r="U50" s="4641" t="str">
        <f t="shared" si="5"/>
        <v/>
      </c>
      <c r="V50" s="6307"/>
      <c r="W50" s="6307"/>
      <c r="X50" s="6308"/>
      <c r="Y50" s="6300" t="str">
        <f t="shared" si="18"/>
        <v/>
      </c>
      <c r="Z50" s="4756"/>
      <c r="AA50" s="6300" t="str">
        <f t="shared" si="19"/>
        <v/>
      </c>
      <c r="AB50" s="4756"/>
      <c r="AC50" s="6309" t="str">
        <f t="shared" si="7"/>
        <v/>
      </c>
      <c r="AD50" s="6310"/>
      <c r="AE50" s="6310"/>
      <c r="AF50" s="6310"/>
      <c r="AG50" s="2631">
        <f t="shared" si="8"/>
        <v>0</v>
      </c>
      <c r="AH50" s="1644"/>
      <c r="AI50" s="1644" t="e">
        <f t="shared" si="6"/>
        <v>#VALUE!</v>
      </c>
      <c r="AJ50" s="2467"/>
      <c r="AK50" s="2471"/>
      <c r="AL50" s="2471"/>
      <c r="AM50" s="2469"/>
      <c r="AN50" s="2469"/>
      <c r="AO50" s="2470"/>
      <c r="AP50" s="2469"/>
      <c r="AQ50" s="2468"/>
      <c r="AS50" s="2620" t="e">
        <f t="shared" si="9"/>
        <v>#VALUE!</v>
      </c>
      <c r="AT50" s="2620" t="e">
        <f t="shared" si="10"/>
        <v>#VALUE!</v>
      </c>
      <c r="AU50" s="2620" t="e">
        <f t="shared" si="11"/>
        <v>#VALUE!</v>
      </c>
      <c r="AV50" s="2620"/>
      <c r="AW50" s="2620" t="e">
        <f t="shared" si="12"/>
        <v>#VALUE!</v>
      </c>
      <c r="AX50" s="2620" t="e">
        <f t="shared" si="13"/>
        <v>#VALUE!</v>
      </c>
      <c r="AY50" s="2620" t="e">
        <f t="shared" si="14"/>
        <v>#VALUE!</v>
      </c>
      <c r="AZ50" s="2620"/>
      <c r="BA50" s="2620" t="e">
        <f t="shared" si="15"/>
        <v>#VALUE!</v>
      </c>
      <c r="BB50" s="2620" t="e">
        <f t="shared" si="16"/>
        <v>#VALUE!</v>
      </c>
      <c r="BC50" s="2620" t="e">
        <f t="shared" si="17"/>
        <v>#VALUE!</v>
      </c>
    </row>
    <row r="51" spans="1:55" s="2459" customFormat="1" ht="19.5" customHeight="1">
      <c r="A51" s="1706">
        <f t="shared" si="0"/>
        <v>0</v>
      </c>
      <c r="B51" s="6301" t="str">
        <f t="shared" si="1"/>
        <v/>
      </c>
      <c r="C51" s="6302"/>
      <c r="D51" s="6302"/>
      <c r="E51" s="6302"/>
      <c r="F51" s="6302"/>
      <c r="G51" s="6302"/>
      <c r="H51" s="6302"/>
      <c r="I51" s="6303"/>
      <c r="J51" s="6304" t="str">
        <f t="shared" si="2"/>
        <v/>
      </c>
      <c r="K51" s="6305"/>
      <c r="L51" s="6305"/>
      <c r="M51" s="6304" t="str">
        <f t="shared" si="3"/>
        <v/>
      </c>
      <c r="N51" s="6305"/>
      <c r="O51" s="6305"/>
      <c r="P51" s="6306"/>
      <c r="Q51" s="4641" t="str">
        <f t="shared" si="4"/>
        <v/>
      </c>
      <c r="R51" s="6307"/>
      <c r="S51" s="6307"/>
      <c r="T51" s="6308"/>
      <c r="U51" s="4641" t="str">
        <f t="shared" si="5"/>
        <v/>
      </c>
      <c r="V51" s="6307"/>
      <c r="W51" s="6307"/>
      <c r="X51" s="6308"/>
      <c r="Y51" s="6300" t="str">
        <f t="shared" si="18"/>
        <v/>
      </c>
      <c r="Z51" s="4756"/>
      <c r="AA51" s="6300" t="str">
        <f t="shared" si="19"/>
        <v/>
      </c>
      <c r="AB51" s="4756"/>
      <c r="AC51" s="6309" t="str">
        <f t="shared" si="7"/>
        <v/>
      </c>
      <c r="AD51" s="6310"/>
      <c r="AE51" s="6310"/>
      <c r="AF51" s="6310"/>
      <c r="AG51" s="2631">
        <f t="shared" si="8"/>
        <v>0</v>
      </c>
      <c r="AH51" s="1644"/>
      <c r="AI51" s="1644" t="e">
        <f t="shared" si="6"/>
        <v>#VALUE!</v>
      </c>
      <c r="AJ51" s="2467"/>
      <c r="AK51" s="2471"/>
      <c r="AL51" s="2471"/>
      <c r="AM51" s="2469"/>
      <c r="AN51" s="2469"/>
      <c r="AO51" s="2470"/>
      <c r="AP51" s="2469"/>
      <c r="AQ51" s="2468"/>
      <c r="AS51" s="2620" t="e">
        <f t="shared" si="9"/>
        <v>#VALUE!</v>
      </c>
      <c r="AT51" s="2620" t="e">
        <f t="shared" si="10"/>
        <v>#VALUE!</v>
      </c>
      <c r="AU51" s="2620" t="e">
        <f t="shared" si="11"/>
        <v>#VALUE!</v>
      </c>
      <c r="AV51" s="2620"/>
      <c r="AW51" s="2620" t="e">
        <f t="shared" si="12"/>
        <v>#VALUE!</v>
      </c>
      <c r="AX51" s="2620" t="e">
        <f t="shared" si="13"/>
        <v>#VALUE!</v>
      </c>
      <c r="AY51" s="2620" t="e">
        <f t="shared" si="14"/>
        <v>#VALUE!</v>
      </c>
      <c r="AZ51" s="2620"/>
      <c r="BA51" s="2620" t="e">
        <f t="shared" si="15"/>
        <v>#VALUE!</v>
      </c>
      <c r="BB51" s="2620" t="e">
        <f t="shared" si="16"/>
        <v>#VALUE!</v>
      </c>
      <c r="BC51" s="2620" t="e">
        <f t="shared" si="17"/>
        <v>#VALUE!</v>
      </c>
    </row>
    <row r="52" spans="1:55" s="2459" customFormat="1" ht="19.5" customHeight="1">
      <c r="A52" s="1706">
        <f t="shared" si="0"/>
        <v>0</v>
      </c>
      <c r="B52" s="6301" t="str">
        <f t="shared" si="1"/>
        <v/>
      </c>
      <c r="C52" s="6302"/>
      <c r="D52" s="6302"/>
      <c r="E52" s="6302"/>
      <c r="F52" s="6302"/>
      <c r="G52" s="6302"/>
      <c r="H52" s="6302"/>
      <c r="I52" s="6303"/>
      <c r="J52" s="6304" t="str">
        <f t="shared" si="2"/>
        <v/>
      </c>
      <c r="K52" s="6305"/>
      <c r="L52" s="6305"/>
      <c r="M52" s="6304" t="str">
        <f t="shared" si="3"/>
        <v/>
      </c>
      <c r="N52" s="6305"/>
      <c r="O52" s="6305"/>
      <c r="P52" s="6306"/>
      <c r="Q52" s="4641" t="str">
        <f t="shared" si="4"/>
        <v/>
      </c>
      <c r="R52" s="6307"/>
      <c r="S52" s="6307"/>
      <c r="T52" s="6308"/>
      <c r="U52" s="4641" t="str">
        <f t="shared" si="5"/>
        <v/>
      </c>
      <c r="V52" s="6307"/>
      <c r="W52" s="6307"/>
      <c r="X52" s="6308"/>
      <c r="Y52" s="6300" t="str">
        <f t="shared" si="18"/>
        <v/>
      </c>
      <c r="Z52" s="4756"/>
      <c r="AA52" s="6300" t="str">
        <f t="shared" si="19"/>
        <v/>
      </c>
      <c r="AB52" s="4756"/>
      <c r="AC52" s="6309" t="str">
        <f t="shared" si="7"/>
        <v/>
      </c>
      <c r="AD52" s="6310"/>
      <c r="AE52" s="6310"/>
      <c r="AF52" s="6310"/>
      <c r="AG52" s="2631">
        <f t="shared" si="8"/>
        <v>0</v>
      </c>
      <c r="AH52" s="1644"/>
      <c r="AI52" s="1644" t="e">
        <f t="shared" si="6"/>
        <v>#VALUE!</v>
      </c>
      <c r="AJ52" s="2467"/>
      <c r="AK52" s="2471"/>
      <c r="AL52" s="2471"/>
      <c r="AM52" s="2469"/>
      <c r="AN52" s="2469"/>
      <c r="AO52" s="2470"/>
      <c r="AP52" s="2469"/>
      <c r="AQ52" s="2468"/>
      <c r="AS52" s="2620" t="e">
        <f t="shared" si="9"/>
        <v>#VALUE!</v>
      </c>
      <c r="AT52" s="2620" t="e">
        <f t="shared" si="10"/>
        <v>#VALUE!</v>
      </c>
      <c r="AU52" s="2620" t="e">
        <f t="shared" si="11"/>
        <v>#VALUE!</v>
      </c>
      <c r="AV52" s="2620"/>
      <c r="AW52" s="2620" t="e">
        <f t="shared" si="12"/>
        <v>#VALUE!</v>
      </c>
      <c r="AX52" s="2620" t="e">
        <f t="shared" si="13"/>
        <v>#VALUE!</v>
      </c>
      <c r="AY52" s="2620" t="e">
        <f t="shared" si="14"/>
        <v>#VALUE!</v>
      </c>
      <c r="AZ52" s="2620"/>
      <c r="BA52" s="2620" t="e">
        <f t="shared" si="15"/>
        <v>#VALUE!</v>
      </c>
      <c r="BB52" s="2620" t="e">
        <f t="shared" si="16"/>
        <v>#VALUE!</v>
      </c>
      <c r="BC52" s="2620" t="e">
        <f t="shared" si="17"/>
        <v>#VALUE!</v>
      </c>
    </row>
    <row r="53" spans="1:55" s="2459" customFormat="1" ht="19.5" customHeight="1">
      <c r="A53" s="1706">
        <f t="shared" si="0"/>
        <v>0</v>
      </c>
      <c r="B53" s="6301" t="str">
        <f t="shared" si="1"/>
        <v/>
      </c>
      <c r="C53" s="6302"/>
      <c r="D53" s="6302"/>
      <c r="E53" s="6302"/>
      <c r="F53" s="6302"/>
      <c r="G53" s="6302"/>
      <c r="H53" s="6302"/>
      <c r="I53" s="6303"/>
      <c r="J53" s="6304" t="str">
        <f t="shared" si="2"/>
        <v/>
      </c>
      <c r="K53" s="6305"/>
      <c r="L53" s="6305"/>
      <c r="M53" s="6304" t="str">
        <f t="shared" si="3"/>
        <v/>
      </c>
      <c r="N53" s="6305"/>
      <c r="O53" s="6305"/>
      <c r="P53" s="6306"/>
      <c r="Q53" s="4641" t="str">
        <f t="shared" si="4"/>
        <v/>
      </c>
      <c r="R53" s="6307"/>
      <c r="S53" s="6307"/>
      <c r="T53" s="6308"/>
      <c r="U53" s="4641" t="str">
        <f t="shared" si="5"/>
        <v/>
      </c>
      <c r="V53" s="6307"/>
      <c r="W53" s="6307"/>
      <c r="X53" s="6308"/>
      <c r="Y53" s="6300" t="str">
        <f t="shared" si="18"/>
        <v/>
      </c>
      <c r="Z53" s="4756"/>
      <c r="AA53" s="6300" t="str">
        <f t="shared" si="19"/>
        <v/>
      </c>
      <c r="AB53" s="4756"/>
      <c r="AC53" s="6309" t="str">
        <f t="shared" si="7"/>
        <v/>
      </c>
      <c r="AD53" s="6310"/>
      <c r="AE53" s="6310"/>
      <c r="AF53" s="6310"/>
      <c r="AG53" s="2631">
        <f t="shared" si="8"/>
        <v>0</v>
      </c>
      <c r="AH53" s="1644"/>
      <c r="AI53" s="1644" t="e">
        <f t="shared" si="6"/>
        <v>#VALUE!</v>
      </c>
      <c r="AJ53" s="2467"/>
      <c r="AK53" s="2471"/>
      <c r="AL53" s="2471"/>
      <c r="AM53" s="2469"/>
      <c r="AN53" s="2469"/>
      <c r="AO53" s="2470"/>
      <c r="AP53" s="2469"/>
      <c r="AQ53" s="2468"/>
      <c r="AS53" s="2620" t="e">
        <f t="shared" si="9"/>
        <v>#VALUE!</v>
      </c>
      <c r="AT53" s="2620" t="e">
        <f t="shared" si="10"/>
        <v>#VALUE!</v>
      </c>
      <c r="AU53" s="2620" t="e">
        <f t="shared" si="11"/>
        <v>#VALUE!</v>
      </c>
      <c r="AV53" s="2620"/>
      <c r="AW53" s="2620" t="e">
        <f t="shared" si="12"/>
        <v>#VALUE!</v>
      </c>
      <c r="AX53" s="2620" t="e">
        <f t="shared" si="13"/>
        <v>#VALUE!</v>
      </c>
      <c r="AY53" s="2620" t="e">
        <f t="shared" si="14"/>
        <v>#VALUE!</v>
      </c>
      <c r="AZ53" s="2620"/>
      <c r="BA53" s="2620" t="e">
        <f t="shared" si="15"/>
        <v>#VALUE!</v>
      </c>
      <c r="BB53" s="2620" t="e">
        <f t="shared" si="16"/>
        <v>#VALUE!</v>
      </c>
      <c r="BC53" s="2620" t="e">
        <f t="shared" si="17"/>
        <v>#VALUE!</v>
      </c>
    </row>
    <row r="54" spans="1:55" s="2459" customFormat="1" ht="19.5" customHeight="1">
      <c r="A54" s="1706">
        <f t="shared" si="0"/>
        <v>0</v>
      </c>
      <c r="B54" s="6301" t="str">
        <f t="shared" si="1"/>
        <v/>
      </c>
      <c r="C54" s="6302"/>
      <c r="D54" s="6302"/>
      <c r="E54" s="6302"/>
      <c r="F54" s="6302"/>
      <c r="G54" s="6302"/>
      <c r="H54" s="6302"/>
      <c r="I54" s="6303"/>
      <c r="J54" s="6304" t="str">
        <f t="shared" si="2"/>
        <v/>
      </c>
      <c r="K54" s="6305"/>
      <c r="L54" s="6305"/>
      <c r="M54" s="6304" t="str">
        <f t="shared" si="3"/>
        <v/>
      </c>
      <c r="N54" s="6305"/>
      <c r="O54" s="6305"/>
      <c r="P54" s="6306"/>
      <c r="Q54" s="4641" t="str">
        <f t="shared" si="4"/>
        <v/>
      </c>
      <c r="R54" s="6307"/>
      <c r="S54" s="6307"/>
      <c r="T54" s="6308"/>
      <c r="U54" s="4641" t="str">
        <f t="shared" si="5"/>
        <v/>
      </c>
      <c r="V54" s="6307"/>
      <c r="W54" s="6307"/>
      <c r="X54" s="6308"/>
      <c r="Y54" s="6300" t="str">
        <f t="shared" si="18"/>
        <v/>
      </c>
      <c r="Z54" s="4756"/>
      <c r="AA54" s="6300" t="str">
        <f t="shared" si="19"/>
        <v/>
      </c>
      <c r="AB54" s="4756"/>
      <c r="AC54" s="6309" t="str">
        <f t="shared" si="7"/>
        <v/>
      </c>
      <c r="AD54" s="6310"/>
      <c r="AE54" s="6310"/>
      <c r="AF54" s="6310"/>
      <c r="AG54" s="2631">
        <f t="shared" si="8"/>
        <v>0</v>
      </c>
      <c r="AH54" s="1644"/>
      <c r="AI54" s="1644" t="e">
        <f t="shared" si="6"/>
        <v>#VALUE!</v>
      </c>
      <c r="AJ54" s="2467"/>
      <c r="AK54" s="2471"/>
      <c r="AL54" s="2471"/>
      <c r="AM54" s="2469"/>
      <c r="AN54" s="2469"/>
      <c r="AO54" s="2470"/>
      <c r="AP54" s="2469"/>
      <c r="AQ54" s="2468"/>
      <c r="AS54" s="2620" t="e">
        <f t="shared" si="9"/>
        <v>#VALUE!</v>
      </c>
      <c r="AT54" s="2620" t="e">
        <f t="shared" si="10"/>
        <v>#VALUE!</v>
      </c>
      <c r="AU54" s="2620" t="e">
        <f t="shared" si="11"/>
        <v>#VALUE!</v>
      </c>
      <c r="AV54" s="2620"/>
      <c r="AW54" s="2620" t="e">
        <f t="shared" si="12"/>
        <v>#VALUE!</v>
      </c>
      <c r="AX54" s="2620" t="e">
        <f t="shared" si="13"/>
        <v>#VALUE!</v>
      </c>
      <c r="AY54" s="2620" t="e">
        <f t="shared" si="14"/>
        <v>#VALUE!</v>
      </c>
      <c r="AZ54" s="2620"/>
      <c r="BA54" s="2620" t="e">
        <f t="shared" si="15"/>
        <v>#VALUE!</v>
      </c>
      <c r="BB54" s="2620" t="e">
        <f t="shared" si="16"/>
        <v>#VALUE!</v>
      </c>
      <c r="BC54" s="2620" t="e">
        <f t="shared" si="17"/>
        <v>#VALUE!</v>
      </c>
    </row>
    <row r="55" spans="1:55" ht="11.25" customHeight="1">
      <c r="A55" s="1706">
        <f>SUM(A35:A54)</f>
        <v>0</v>
      </c>
      <c r="B55" s="6369">
        <v>2</v>
      </c>
      <c r="C55" s="6347" t="s">
        <v>1448</v>
      </c>
      <c r="D55" s="6348"/>
      <c r="E55" s="6348"/>
      <c r="F55" s="6348"/>
      <c r="G55" s="6348"/>
      <c r="H55" s="6348"/>
      <c r="I55" s="6348"/>
      <c r="J55" s="6348"/>
      <c r="K55" s="6348"/>
      <c r="L55" s="6348"/>
      <c r="M55" s="6348"/>
      <c r="N55" s="6348"/>
      <c r="O55" s="6348"/>
      <c r="P55" s="6348"/>
      <c r="Q55" s="6351" t="str">
        <f>IF(A55=0,"",ROUND(SUM(Q35:Q54),0))</f>
        <v/>
      </c>
      <c r="R55" s="6352"/>
      <c r="S55" s="6352"/>
      <c r="T55" s="6353"/>
      <c r="U55" s="6351" t="str">
        <f>IF(A55=0,"",ROUND(SUM(U35:U54),0))</f>
        <v/>
      </c>
      <c r="V55" s="6361"/>
      <c r="W55" s="6361"/>
      <c r="X55" s="6364"/>
      <c r="Y55" s="6371"/>
      <c r="Z55" s="6372"/>
      <c r="AA55" s="6351" t="str">
        <f>IF(A55=0,"",ROUND(SUM(AA35:AA54),0))</f>
        <v/>
      </c>
      <c r="AB55" s="6353"/>
      <c r="AC55" s="6351" t="str">
        <f>IF(A55=0,"",ROUND(SUM(AC35:AC54),0))</f>
        <v/>
      </c>
      <c r="AD55" s="6361"/>
      <c r="AE55" s="6361"/>
      <c r="AF55" s="6361"/>
      <c r="AG55" s="1706"/>
    </row>
    <row r="56" spans="1:55" ht="11.25" customHeight="1">
      <c r="A56" s="1706"/>
      <c r="B56" s="6370"/>
      <c r="C56" s="6349"/>
      <c r="D56" s="6349"/>
      <c r="E56" s="6349"/>
      <c r="F56" s="6349"/>
      <c r="G56" s="6349"/>
      <c r="H56" s="6349"/>
      <c r="I56" s="6349"/>
      <c r="J56" s="6349"/>
      <c r="K56" s="6349"/>
      <c r="L56" s="6349"/>
      <c r="M56" s="6349"/>
      <c r="N56" s="6349"/>
      <c r="O56" s="6349"/>
      <c r="P56" s="6349"/>
      <c r="Q56" s="6354"/>
      <c r="R56" s="6355"/>
      <c r="S56" s="6355"/>
      <c r="T56" s="6356"/>
      <c r="U56" s="6362"/>
      <c r="V56" s="6363"/>
      <c r="W56" s="6363"/>
      <c r="X56" s="6365"/>
      <c r="Y56" s="6373"/>
      <c r="Z56" s="6374"/>
      <c r="AA56" s="6354"/>
      <c r="AB56" s="6356"/>
      <c r="AC56" s="6362"/>
      <c r="AD56" s="6363"/>
      <c r="AE56" s="6363"/>
      <c r="AF56" s="6363"/>
      <c r="AG56" s="1706"/>
    </row>
    <row r="57" spans="1:55" ht="11.25" customHeight="1">
      <c r="A57" s="1706"/>
      <c r="B57" s="6370"/>
      <c r="C57" s="6349"/>
      <c r="D57" s="6349"/>
      <c r="E57" s="6349"/>
      <c r="F57" s="6349"/>
      <c r="G57" s="6349"/>
      <c r="H57" s="6349"/>
      <c r="I57" s="6349"/>
      <c r="J57" s="6349"/>
      <c r="K57" s="6349"/>
      <c r="L57" s="6349"/>
      <c r="M57" s="6349"/>
      <c r="N57" s="6349"/>
      <c r="O57" s="6349"/>
      <c r="P57" s="6349"/>
      <c r="Q57" s="6354"/>
      <c r="R57" s="6355"/>
      <c r="S57" s="6355"/>
      <c r="T57" s="6356"/>
      <c r="U57" s="6362"/>
      <c r="V57" s="6363"/>
      <c r="W57" s="6363"/>
      <c r="X57" s="6365"/>
      <c r="Y57" s="6373"/>
      <c r="Z57" s="6374"/>
      <c r="AA57" s="6354"/>
      <c r="AB57" s="6356"/>
      <c r="AC57" s="6362"/>
      <c r="AD57" s="6363"/>
      <c r="AE57" s="6363"/>
      <c r="AF57" s="6363"/>
      <c r="AG57" s="1706"/>
    </row>
    <row r="58" spans="1:55" ht="11.25" customHeight="1">
      <c r="A58" s="1706"/>
      <c r="B58" s="6370"/>
      <c r="C58" s="6349"/>
      <c r="D58" s="6349"/>
      <c r="E58" s="6349"/>
      <c r="F58" s="6349"/>
      <c r="G58" s="6349"/>
      <c r="H58" s="6349"/>
      <c r="I58" s="6349"/>
      <c r="J58" s="6349"/>
      <c r="K58" s="6349"/>
      <c r="L58" s="6349"/>
      <c r="M58" s="6349"/>
      <c r="N58" s="6349"/>
      <c r="O58" s="6349"/>
      <c r="P58" s="6349"/>
      <c r="Q58" s="6354"/>
      <c r="R58" s="6355"/>
      <c r="S58" s="6355"/>
      <c r="T58" s="6356"/>
      <c r="U58" s="6362"/>
      <c r="V58" s="6363"/>
      <c r="W58" s="6363"/>
      <c r="X58" s="6365"/>
      <c r="Y58" s="6373"/>
      <c r="Z58" s="6374"/>
      <c r="AA58" s="6354"/>
      <c r="AB58" s="6356"/>
      <c r="AC58" s="6362"/>
      <c r="AD58" s="6363"/>
      <c r="AE58" s="6363"/>
      <c r="AF58" s="6363"/>
      <c r="AG58" s="1706"/>
    </row>
    <row r="59" spans="1:55" ht="9" customHeight="1">
      <c r="A59" s="1706"/>
      <c r="B59" s="6370"/>
      <c r="C59" s="6350"/>
      <c r="D59" s="6350"/>
      <c r="E59" s="6350"/>
      <c r="F59" s="6350"/>
      <c r="G59" s="6350"/>
      <c r="H59" s="6350"/>
      <c r="I59" s="6350"/>
      <c r="J59" s="6350"/>
      <c r="K59" s="6350"/>
      <c r="L59" s="6350"/>
      <c r="M59" s="6350"/>
      <c r="N59" s="6350"/>
      <c r="O59" s="6350"/>
      <c r="P59" s="6350"/>
      <c r="Q59" s="6354"/>
      <c r="R59" s="6355"/>
      <c r="S59" s="6355"/>
      <c r="T59" s="6356"/>
      <c r="U59" s="6425"/>
      <c r="V59" s="6426"/>
      <c r="W59" s="6426"/>
      <c r="X59" s="6427"/>
      <c r="Y59" s="6375"/>
      <c r="Z59" s="6376"/>
      <c r="AA59" s="6377"/>
      <c r="AB59" s="6378"/>
      <c r="AC59" s="6362"/>
      <c r="AD59" s="6363"/>
      <c r="AE59" s="6363"/>
      <c r="AF59" s="6363"/>
      <c r="AG59" s="1706"/>
    </row>
    <row r="60" spans="1:55" ht="25.5" customHeight="1" thickBot="1">
      <c r="A60" s="1706"/>
      <c r="B60" s="6316" t="s">
        <v>1457</v>
      </c>
      <c r="C60" s="6317"/>
      <c r="D60" s="6317"/>
      <c r="E60" s="6317"/>
      <c r="F60" s="6317"/>
      <c r="G60" s="6317"/>
      <c r="H60" s="6317"/>
      <c r="I60" s="6317"/>
      <c r="J60" s="6317"/>
      <c r="K60" s="6317"/>
      <c r="L60" s="6317"/>
      <c r="M60" s="6317"/>
      <c r="N60" s="6317"/>
      <c r="O60" s="6317"/>
      <c r="P60" s="6317"/>
      <c r="Q60" s="6317"/>
      <c r="R60" s="6317"/>
      <c r="S60" s="6317"/>
      <c r="T60" s="6317"/>
      <c r="U60" s="6318"/>
      <c r="V60" s="6318"/>
      <c r="W60" s="6318"/>
      <c r="X60" s="6318"/>
      <c r="Y60" s="6317"/>
      <c r="Z60" s="6317"/>
      <c r="AA60" s="6317"/>
      <c r="AB60" s="6317"/>
      <c r="AC60" s="6317"/>
      <c r="AD60" s="6317"/>
      <c r="AE60" s="6317"/>
      <c r="AF60" s="6317"/>
      <c r="AG60" s="1706"/>
      <c r="AJ60" s="1473"/>
    </row>
    <row r="61" spans="1:55" ht="16.5" thickTop="1">
      <c r="A61" s="1706"/>
      <c r="B61" s="1657" t="s">
        <v>779</v>
      </c>
      <c r="C61" s="35"/>
      <c r="D61" s="35"/>
      <c r="E61" s="35"/>
      <c r="F61" s="35"/>
      <c r="G61" s="35"/>
      <c r="H61" s="35"/>
      <c r="I61" s="35"/>
      <c r="J61" s="35"/>
      <c r="K61" s="35"/>
      <c r="L61" s="35"/>
      <c r="M61" s="35"/>
      <c r="N61" s="35"/>
      <c r="O61" s="35"/>
      <c r="P61" s="35"/>
      <c r="Q61" s="35"/>
      <c r="R61" s="35"/>
      <c r="S61" s="35"/>
      <c r="T61" s="35"/>
      <c r="U61" s="1432" t="s">
        <v>1107</v>
      </c>
      <c r="V61" s="35"/>
      <c r="W61" s="35"/>
      <c r="X61" s="35"/>
      <c r="Y61" s="35"/>
      <c r="Z61" s="35"/>
      <c r="AA61" s="35"/>
      <c r="AB61" s="35"/>
      <c r="AC61" s="35"/>
      <c r="AD61" s="1656" t="s">
        <v>1154</v>
      </c>
      <c r="AE61" s="35"/>
      <c r="AF61" s="1656" t="str">
        <f>"("&amp;TaxYear&amp;")"</f>
        <v>(2016)</v>
      </c>
      <c r="AG61" s="1706"/>
    </row>
    <row r="62" spans="1:55" ht="15.75">
      <c r="A62" s="1706"/>
      <c r="B62" s="48" t="str">
        <f>"Form 8949 ("&amp;TaxYear&amp;")"</f>
        <v>Form 8949 (2016)</v>
      </c>
      <c r="C62" s="63"/>
      <c r="D62" s="63"/>
      <c r="E62" s="63"/>
      <c r="F62" s="63"/>
      <c r="G62" s="63"/>
      <c r="H62" s="63"/>
      <c r="I62" s="63"/>
      <c r="J62" s="63"/>
      <c r="K62" s="63"/>
      <c r="L62" s="63"/>
      <c r="M62" s="63"/>
      <c r="N62" s="63"/>
      <c r="O62" s="63"/>
      <c r="P62" s="63"/>
      <c r="Q62" s="63"/>
      <c r="R62" s="63"/>
      <c r="S62" s="63"/>
      <c r="T62" s="63"/>
      <c r="U62" s="63"/>
      <c r="V62" s="48" t="s">
        <v>1109</v>
      </c>
      <c r="W62" s="63"/>
      <c r="X62" s="63"/>
      <c r="Y62" s="63"/>
      <c r="Z62" s="63"/>
      <c r="AA62" s="63"/>
      <c r="AB62" s="63"/>
      <c r="AC62" s="63"/>
      <c r="AD62" s="63"/>
      <c r="AE62" s="63"/>
      <c r="AF62" s="1648" t="s">
        <v>270</v>
      </c>
      <c r="AG62" s="1706"/>
    </row>
    <row r="63" spans="1:55">
      <c r="A63" s="1706"/>
      <c r="B63" s="56" t="s">
        <v>98</v>
      </c>
      <c r="C63" s="35"/>
      <c r="D63" s="35"/>
      <c r="E63" s="35"/>
      <c r="F63" s="35"/>
      <c r="G63" s="35"/>
      <c r="H63" s="35"/>
      <c r="I63" s="35"/>
      <c r="J63" s="35"/>
      <c r="K63" s="35"/>
      <c r="L63" s="35"/>
      <c r="M63" s="35"/>
      <c r="N63" s="35"/>
      <c r="O63" s="35"/>
      <c r="P63" s="35"/>
      <c r="Q63" s="35"/>
      <c r="R63" s="35"/>
      <c r="S63" s="35"/>
      <c r="T63" s="35"/>
      <c r="U63" s="35"/>
      <c r="V63" s="2466" t="s">
        <v>1458</v>
      </c>
      <c r="W63" s="35"/>
      <c r="X63" s="35"/>
      <c r="Y63" s="35"/>
      <c r="Z63" s="50"/>
      <c r="AA63" s="35"/>
      <c r="AB63" s="35"/>
      <c r="AC63" s="35"/>
      <c r="AD63" s="35"/>
      <c r="AE63" s="35"/>
      <c r="AF63" s="35"/>
      <c r="AG63" s="1706"/>
    </row>
    <row r="64" spans="1:55" ht="16.5" thickBot="1">
      <c r="A64" s="1706"/>
      <c r="B64" s="6342" t="str">
        <f>Names</f>
        <v/>
      </c>
      <c r="C64" s="6343"/>
      <c r="D64" s="6343"/>
      <c r="E64" s="6343"/>
      <c r="F64" s="6343"/>
      <c r="G64" s="6343"/>
      <c r="H64" s="6343"/>
      <c r="I64" s="6343"/>
      <c r="J64" s="6343"/>
      <c r="K64" s="6343"/>
      <c r="L64" s="6343"/>
      <c r="M64" s="6343"/>
      <c r="N64" s="6343"/>
      <c r="O64" s="6343"/>
      <c r="P64" s="6343"/>
      <c r="Q64" s="6343"/>
      <c r="R64" s="6343"/>
      <c r="S64" s="6343"/>
      <c r="T64" s="6343"/>
      <c r="U64" s="6344"/>
      <c r="V64" s="6345">
        <f>SS_Yours</f>
        <v>0</v>
      </c>
      <c r="W64" s="6346"/>
      <c r="X64" s="6346"/>
      <c r="Y64" s="6346"/>
      <c r="Z64" s="6346"/>
      <c r="AA64" s="6346"/>
      <c r="AB64" s="6346"/>
      <c r="AC64" s="6346"/>
      <c r="AD64" s="6346"/>
      <c r="AE64" s="6346"/>
      <c r="AF64" s="6346"/>
      <c r="AG64" s="1706"/>
    </row>
    <row r="65" spans="1:55" ht="12.75" customHeight="1">
      <c r="A65" s="1706"/>
      <c r="B65" s="6415" t="s">
        <v>2055</v>
      </c>
      <c r="C65" s="6416"/>
      <c r="D65" s="6416"/>
      <c r="E65" s="6416"/>
      <c r="F65" s="6416"/>
      <c r="G65" s="6416"/>
      <c r="H65" s="6416"/>
      <c r="I65" s="6416"/>
      <c r="J65" s="6416"/>
      <c r="K65" s="6416"/>
      <c r="L65" s="6416"/>
      <c r="M65" s="6416"/>
      <c r="N65" s="6416"/>
      <c r="O65" s="6416"/>
      <c r="P65" s="6416"/>
      <c r="Q65" s="6416"/>
      <c r="R65" s="6416"/>
      <c r="S65" s="6416"/>
      <c r="T65" s="6416"/>
      <c r="U65" s="6416"/>
      <c r="V65" s="6416"/>
      <c r="W65" s="6416"/>
      <c r="X65" s="6416"/>
      <c r="Y65" s="6416"/>
      <c r="Z65" s="6416"/>
      <c r="AA65" s="6416"/>
      <c r="AB65" s="6416"/>
      <c r="AC65" s="6416"/>
      <c r="AD65" s="6416"/>
      <c r="AE65" s="6416"/>
      <c r="AF65" s="6416"/>
      <c r="AG65" s="1706"/>
    </row>
    <row r="66" spans="1:55" ht="12.75" customHeight="1">
      <c r="A66" s="1706"/>
      <c r="B66" s="6417"/>
      <c r="C66" s="6417"/>
      <c r="D66" s="6417"/>
      <c r="E66" s="6417"/>
      <c r="F66" s="6417"/>
      <c r="G66" s="6417"/>
      <c r="H66" s="6417"/>
      <c r="I66" s="6417"/>
      <c r="J66" s="6417"/>
      <c r="K66" s="6417"/>
      <c r="L66" s="6417"/>
      <c r="M66" s="6417"/>
      <c r="N66" s="6417"/>
      <c r="O66" s="6417"/>
      <c r="P66" s="6417"/>
      <c r="Q66" s="6417"/>
      <c r="R66" s="6417"/>
      <c r="S66" s="6417"/>
      <c r="T66" s="6417"/>
      <c r="U66" s="6417"/>
      <c r="V66" s="6417"/>
      <c r="W66" s="6417"/>
      <c r="X66" s="6417"/>
      <c r="Y66" s="6417"/>
      <c r="Z66" s="6417"/>
      <c r="AA66" s="6417"/>
      <c r="AB66" s="6417"/>
      <c r="AC66" s="6417"/>
      <c r="AD66" s="6417"/>
      <c r="AE66" s="6417"/>
      <c r="AF66" s="6417"/>
      <c r="AG66" s="1706"/>
    </row>
    <row r="67" spans="1:55" ht="12.75" customHeight="1">
      <c r="A67" s="1706"/>
      <c r="B67" s="6418"/>
      <c r="C67" s="6418"/>
      <c r="D67" s="6418"/>
      <c r="E67" s="6418"/>
      <c r="F67" s="6418"/>
      <c r="G67" s="6418"/>
      <c r="H67" s="6418"/>
      <c r="I67" s="6418"/>
      <c r="J67" s="6418"/>
      <c r="K67" s="6418"/>
      <c r="L67" s="6418"/>
      <c r="M67" s="6418"/>
      <c r="N67" s="6418"/>
      <c r="O67" s="6418"/>
      <c r="P67" s="6418"/>
      <c r="Q67" s="6418"/>
      <c r="R67" s="6418"/>
      <c r="S67" s="6418"/>
      <c r="T67" s="6418"/>
      <c r="U67" s="6418"/>
      <c r="V67" s="6418"/>
      <c r="W67" s="6418"/>
      <c r="X67" s="6418"/>
      <c r="Y67" s="6418"/>
      <c r="Z67" s="6418"/>
      <c r="AA67" s="6418"/>
      <c r="AB67" s="6418"/>
      <c r="AC67" s="6418"/>
      <c r="AD67" s="6418"/>
      <c r="AE67" s="6418"/>
      <c r="AF67" s="6418"/>
      <c r="AG67" s="1706"/>
    </row>
    <row r="68" spans="1:55" ht="3.75" customHeight="1">
      <c r="A68" s="1706"/>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1706"/>
    </row>
    <row r="69" spans="1:55" ht="15">
      <c r="A69" s="1706"/>
      <c r="B69" s="6341" t="s">
        <v>194</v>
      </c>
      <c r="C69" s="4675"/>
      <c r="D69" s="35"/>
      <c r="E69" s="1642" t="s">
        <v>1437</v>
      </c>
      <c r="F69" s="35"/>
      <c r="G69" s="35"/>
      <c r="H69" s="35"/>
      <c r="I69" s="35"/>
      <c r="J69" s="35"/>
      <c r="K69" s="35"/>
      <c r="L69" s="35"/>
      <c r="M69" s="35"/>
      <c r="N69" s="35"/>
      <c r="O69" s="35"/>
      <c r="P69" s="1642"/>
      <c r="Q69" s="35"/>
      <c r="R69" s="35"/>
      <c r="S69" s="35"/>
      <c r="T69" s="580" t="s">
        <v>2056</v>
      </c>
      <c r="U69" s="35"/>
      <c r="V69" s="35"/>
      <c r="W69" s="35"/>
      <c r="X69" s="35"/>
      <c r="Y69" s="35" t="s">
        <v>1438</v>
      </c>
      <c r="Z69" s="35"/>
      <c r="AA69" s="35"/>
      <c r="AB69" s="35"/>
      <c r="AC69" s="35"/>
      <c r="AD69" s="35"/>
      <c r="AE69" s="35"/>
      <c r="AF69" s="35"/>
      <c r="AG69" s="1706" t="b">
        <f>IF(SUM(AG88:AG115)&gt;0,TRUE,FALSE)</f>
        <v>0</v>
      </c>
    </row>
    <row r="70" spans="1:55" ht="11.25" customHeight="1">
      <c r="A70" s="1706"/>
      <c r="B70" s="44"/>
      <c r="C70" s="44"/>
      <c r="D70" s="44"/>
      <c r="E70" s="178" t="s">
        <v>1436</v>
      </c>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1706"/>
    </row>
    <row r="71" spans="1:55" ht="11.25" customHeight="1">
      <c r="A71" s="1706"/>
      <c r="B71" s="35"/>
      <c r="C71" s="35"/>
      <c r="D71" s="35"/>
      <c r="E71" s="2809" t="s">
        <v>2515</v>
      </c>
      <c r="F71" s="35"/>
      <c r="G71" s="35"/>
      <c r="H71" s="35"/>
      <c r="I71" s="35"/>
      <c r="J71" s="35"/>
      <c r="K71" s="35"/>
      <c r="L71" s="35"/>
      <c r="M71" s="35"/>
      <c r="N71" s="35"/>
      <c r="O71" s="35"/>
      <c r="P71" s="35"/>
      <c r="Q71" s="35"/>
      <c r="R71" s="35"/>
      <c r="S71" s="35"/>
      <c r="T71" s="580"/>
      <c r="U71" s="35"/>
      <c r="V71" s="35"/>
      <c r="W71" s="35"/>
      <c r="X71" s="1464"/>
      <c r="Y71" s="35"/>
      <c r="Z71" s="35"/>
      <c r="AA71" s="35"/>
      <c r="AB71" s="35"/>
      <c r="AC71" s="35"/>
      <c r="AD71" s="35"/>
      <c r="AE71" s="35"/>
      <c r="AF71" s="35"/>
      <c r="AG71" s="1706"/>
      <c r="AH71" s="2804"/>
      <c r="AI71" s="2804"/>
    </row>
    <row r="72" spans="1:55" ht="11.25" customHeight="1">
      <c r="A72" s="1706"/>
      <c r="B72" s="35"/>
      <c r="C72" s="35"/>
      <c r="D72" s="35"/>
      <c r="E72" s="2805" t="s">
        <v>1719</v>
      </c>
      <c r="F72" s="35"/>
      <c r="G72" s="35"/>
      <c r="H72" s="35"/>
      <c r="I72" s="35"/>
      <c r="J72" s="35"/>
      <c r="K72" s="35"/>
      <c r="L72" s="35"/>
      <c r="M72" s="35"/>
      <c r="N72" s="35"/>
      <c r="O72" s="35"/>
      <c r="P72" s="35"/>
      <c r="Q72" s="35"/>
      <c r="R72" s="35"/>
      <c r="S72" s="35"/>
      <c r="T72" s="580"/>
      <c r="U72" s="35"/>
      <c r="V72" s="35"/>
      <c r="W72" s="35"/>
      <c r="X72" s="1464"/>
      <c r="Y72" s="35"/>
      <c r="Z72" s="35"/>
      <c r="AA72" s="35"/>
      <c r="AB72" s="35"/>
      <c r="AC72" s="35"/>
      <c r="AD72" s="35"/>
      <c r="AE72" s="35"/>
      <c r="AF72" s="35"/>
      <c r="AG72" s="1706"/>
      <c r="AH72" s="2804"/>
      <c r="AI72" s="2804"/>
    </row>
    <row r="73" spans="1:55" ht="11.25" customHeight="1">
      <c r="A73" s="1706"/>
      <c r="B73" s="63"/>
      <c r="C73" s="63"/>
      <c r="D73" s="63"/>
      <c r="E73" s="2464" t="s">
        <v>1720</v>
      </c>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1706"/>
      <c r="AH73" s="2804"/>
      <c r="AI73" s="2804"/>
    </row>
    <row r="74" spans="1:55">
      <c r="A74" s="1706"/>
      <c r="B74" s="364" t="s">
        <v>1721</v>
      </c>
      <c r="C74" s="360"/>
      <c r="D74" s="360"/>
      <c r="E74" s="360"/>
      <c r="F74" s="360"/>
      <c r="G74" s="360"/>
      <c r="H74" s="360"/>
      <c r="I74" s="360"/>
      <c r="J74" s="360"/>
      <c r="K74" s="364" t="s">
        <v>1442</v>
      </c>
      <c r="L74" s="360"/>
      <c r="M74" s="360"/>
      <c r="N74" s="360"/>
      <c r="O74" s="360"/>
      <c r="P74" s="360" t="s">
        <v>1445</v>
      </c>
      <c r="Q74" s="360"/>
      <c r="R74" s="360"/>
      <c r="S74" s="360"/>
      <c r="T74" s="360"/>
      <c r="U74" s="360"/>
      <c r="V74" s="360"/>
      <c r="W74" s="360"/>
      <c r="X74" s="360"/>
      <c r="Y74" s="360"/>
      <c r="Z74" s="360"/>
      <c r="AA74" s="360"/>
      <c r="AB74" s="360"/>
      <c r="AC74" s="360"/>
      <c r="AD74" s="360"/>
      <c r="AE74" s="360"/>
      <c r="AF74" s="360"/>
      <c r="AG74" s="1706"/>
    </row>
    <row r="75" spans="1:55">
      <c r="A75" s="1706"/>
      <c r="B75" s="1464" t="s">
        <v>1446</v>
      </c>
      <c r="C75" s="360"/>
      <c r="D75" s="360"/>
      <c r="E75" s="360"/>
      <c r="F75" s="360"/>
      <c r="G75" s="360"/>
      <c r="H75" s="360"/>
      <c r="I75" s="360"/>
      <c r="J75" s="360"/>
      <c r="K75" s="360"/>
      <c r="L75" s="360"/>
      <c r="M75" s="360"/>
      <c r="N75" s="360"/>
      <c r="O75" s="360"/>
      <c r="P75" s="360"/>
      <c r="Q75" s="360"/>
      <c r="R75" s="360"/>
      <c r="S75" s="360"/>
      <c r="T75" s="360"/>
      <c r="U75" s="360"/>
      <c r="V75" s="360"/>
      <c r="W75" s="360"/>
      <c r="X75" s="360"/>
      <c r="Y75" s="360"/>
      <c r="Z75" s="360"/>
      <c r="AA75" s="360"/>
      <c r="AB75" s="360"/>
      <c r="AC75" s="360"/>
      <c r="AD75" s="360"/>
      <c r="AE75" s="360"/>
      <c r="AF75" s="360"/>
      <c r="AG75" s="1706"/>
      <c r="BA75" s="6419" t="s">
        <v>1573</v>
      </c>
      <c r="BB75" s="5423"/>
      <c r="BC75" s="6420"/>
    </row>
    <row r="76" spans="1:55">
      <c r="A76" s="1706"/>
      <c r="B76" s="1464" t="s">
        <v>1447</v>
      </c>
      <c r="C76" s="360"/>
      <c r="D76" s="360"/>
      <c r="E76" s="360"/>
      <c r="F76" s="360"/>
      <c r="G76" s="360"/>
      <c r="H76" s="360"/>
      <c r="I76" s="360"/>
      <c r="J76" s="360"/>
      <c r="K76" s="360"/>
      <c r="L76" s="360"/>
      <c r="M76" s="360"/>
      <c r="N76" s="360"/>
      <c r="O76" s="360"/>
      <c r="P76" s="360"/>
      <c r="Q76" s="360"/>
      <c r="R76" s="360"/>
      <c r="S76" s="360"/>
      <c r="T76" s="360"/>
      <c r="U76" s="360"/>
      <c r="V76" s="360"/>
      <c r="W76" s="360"/>
      <c r="X76" s="360"/>
      <c r="Y76" s="360"/>
      <c r="Z76" s="360"/>
      <c r="AA76" s="360"/>
      <c r="AB76" s="360"/>
      <c r="AC76" s="360"/>
      <c r="AD76" s="360"/>
      <c r="AE76" s="360"/>
      <c r="AF76" s="360"/>
      <c r="AG76" s="1706"/>
      <c r="BA76" s="6421" t="s">
        <v>1572</v>
      </c>
      <c r="BB76" s="6421" t="s">
        <v>1562</v>
      </c>
      <c r="BC76" s="6421" t="s">
        <v>1563</v>
      </c>
    </row>
    <row r="77" spans="1:55" ht="4.5" customHeight="1" thickBot="1">
      <c r="A77" s="1706"/>
      <c r="B77" s="360"/>
      <c r="C77" s="360"/>
      <c r="D77" s="360"/>
      <c r="E77" s="360"/>
      <c r="F77" s="360"/>
      <c r="G77" s="360"/>
      <c r="H77" s="360"/>
      <c r="I77" s="360"/>
      <c r="J77" s="360"/>
      <c r="K77" s="360"/>
      <c r="L77" s="360"/>
      <c r="M77" s="360"/>
      <c r="N77" s="360"/>
      <c r="O77" s="360"/>
      <c r="P77" s="360"/>
      <c r="Q77" s="360"/>
      <c r="R77" s="360"/>
      <c r="S77" s="360"/>
      <c r="T77" s="360"/>
      <c r="U77" s="360"/>
      <c r="V77" s="360"/>
      <c r="W77" s="360"/>
      <c r="X77" s="360"/>
      <c r="Y77" s="360"/>
      <c r="Z77" s="360"/>
      <c r="AA77" s="360"/>
      <c r="AB77" s="360"/>
      <c r="AC77" s="360"/>
      <c r="AD77" s="360"/>
      <c r="AE77" s="360"/>
      <c r="AF77" s="360"/>
      <c r="AG77" s="1706"/>
      <c r="BA77" s="6422"/>
      <c r="BB77" s="6422"/>
      <c r="BC77" s="6422"/>
    </row>
    <row r="78" spans="1:55" ht="12" customHeight="1" thickBot="1">
      <c r="A78" s="1706"/>
      <c r="B78" s="2574">
        <f>IF(C78&lt;&gt;"",1,0)</f>
        <v>0</v>
      </c>
      <c r="C78" s="2573"/>
      <c r="D78" s="688" t="s">
        <v>3216</v>
      </c>
      <c r="E78" s="360"/>
      <c r="F78" s="360"/>
      <c r="G78" s="360"/>
      <c r="H78" s="360"/>
      <c r="I78" s="360"/>
      <c r="J78" s="360"/>
      <c r="K78" s="360"/>
      <c r="L78" s="360"/>
      <c r="M78" s="360"/>
      <c r="N78" s="360"/>
      <c r="O78" s="360"/>
      <c r="P78" s="360"/>
      <c r="Q78" s="360"/>
      <c r="R78" s="360"/>
      <c r="S78" s="360"/>
      <c r="T78" s="360"/>
      <c r="U78" s="360"/>
      <c r="V78" s="360"/>
      <c r="W78" s="360"/>
      <c r="X78" s="360"/>
      <c r="Y78" s="360"/>
      <c r="Z78" s="360"/>
      <c r="AA78" s="360"/>
      <c r="AB78" s="360"/>
      <c r="AC78" s="360"/>
      <c r="AD78" s="360"/>
      <c r="AE78" s="360"/>
      <c r="AF78" s="360"/>
      <c r="AG78" s="1706"/>
      <c r="AJ78" s="6423"/>
      <c r="AK78" s="6424"/>
      <c r="AL78" s="6424"/>
      <c r="AM78" s="6424"/>
      <c r="AN78" s="6424"/>
      <c r="AO78" s="6424"/>
      <c r="AP78" s="6424"/>
      <c r="AQ78" s="6424"/>
      <c r="BA78" s="6422"/>
      <c r="BB78" s="6422"/>
      <c r="BC78" s="6422"/>
    </row>
    <row r="79" spans="1:55" ht="4.5" customHeight="1" thickBot="1">
      <c r="A79" s="1706"/>
      <c r="B79" s="2465"/>
      <c r="C79" s="360"/>
      <c r="D79" s="360"/>
      <c r="E79" s="360"/>
      <c r="F79" s="360"/>
      <c r="G79" s="360"/>
      <c r="H79" s="360"/>
      <c r="I79" s="360"/>
      <c r="J79" s="360"/>
      <c r="K79" s="360"/>
      <c r="L79" s="360"/>
      <c r="M79" s="360"/>
      <c r="N79" s="360"/>
      <c r="O79" s="360"/>
      <c r="P79" s="360"/>
      <c r="Q79" s="360"/>
      <c r="R79" s="360"/>
      <c r="S79" s="360"/>
      <c r="T79" s="360"/>
      <c r="U79" s="360"/>
      <c r="V79" s="360"/>
      <c r="W79" s="360"/>
      <c r="X79" s="360"/>
      <c r="Y79" s="360"/>
      <c r="Z79" s="360"/>
      <c r="AA79" s="360"/>
      <c r="AB79" s="360"/>
      <c r="AC79" s="360"/>
      <c r="AD79" s="360"/>
      <c r="AE79" s="360"/>
      <c r="AF79" s="360"/>
      <c r="AG79" s="1706"/>
      <c r="BA79" s="6422"/>
      <c r="BB79" s="6422"/>
      <c r="BC79" s="6422"/>
    </row>
    <row r="80" spans="1:55" ht="11.25" customHeight="1" thickBot="1">
      <c r="A80" s="1706"/>
      <c r="B80" s="2574">
        <f>IF(C80&lt;&gt;"",1,0)</f>
        <v>0</v>
      </c>
      <c r="C80" s="2573"/>
      <c r="D80" s="688" t="s">
        <v>3217</v>
      </c>
      <c r="E80" s="360"/>
      <c r="F80" s="360"/>
      <c r="G80" s="360"/>
      <c r="H80" s="360"/>
      <c r="I80" s="360"/>
      <c r="J80" s="360"/>
      <c r="K80" s="360"/>
      <c r="L80" s="360"/>
      <c r="M80" s="360"/>
      <c r="N80" s="360"/>
      <c r="O80" s="360"/>
      <c r="P80" s="360"/>
      <c r="Q80" s="360"/>
      <c r="R80" s="360"/>
      <c r="S80" s="360"/>
      <c r="T80" s="360"/>
      <c r="U80" s="360"/>
      <c r="V80" s="360"/>
      <c r="W80" s="360"/>
      <c r="X80" s="360"/>
      <c r="Y80" s="360"/>
      <c r="Z80" s="360"/>
      <c r="AA80" s="360"/>
      <c r="AB80" s="360"/>
      <c r="AC80" s="360"/>
      <c r="AD80" s="360"/>
      <c r="AE80" s="360"/>
      <c r="AF80" s="360"/>
      <c r="AG80" s="1706"/>
      <c r="AJ80" s="6423"/>
      <c r="AK80" s="6424"/>
      <c r="AL80" s="6424"/>
      <c r="AM80" s="6424"/>
      <c r="AN80" s="6424"/>
      <c r="AO80" s="6424"/>
      <c r="AP80" s="6424"/>
      <c r="AQ80" s="6424"/>
      <c r="BA80" s="6422"/>
      <c r="BB80" s="6422"/>
      <c r="BC80" s="6422"/>
    </row>
    <row r="81" spans="1:55" ht="4.5" customHeight="1" thickBot="1">
      <c r="A81" s="1706"/>
      <c r="B81" s="2465"/>
      <c r="C81" s="360"/>
      <c r="D81" s="360"/>
      <c r="E81" s="360"/>
      <c r="F81" s="360"/>
      <c r="G81" s="360"/>
      <c r="H81" s="360"/>
      <c r="I81" s="360"/>
      <c r="J81" s="360"/>
      <c r="K81" s="360"/>
      <c r="L81" s="360"/>
      <c r="M81" s="360"/>
      <c r="N81" s="360"/>
      <c r="O81" s="360"/>
      <c r="P81" s="360"/>
      <c r="Q81" s="360"/>
      <c r="R81" s="360"/>
      <c r="S81" s="360"/>
      <c r="T81" s="360"/>
      <c r="U81" s="360"/>
      <c r="V81" s="360"/>
      <c r="W81" s="360"/>
      <c r="X81" s="360"/>
      <c r="Y81" s="360"/>
      <c r="Z81" s="360"/>
      <c r="AA81" s="360"/>
      <c r="AB81" s="360"/>
      <c r="AC81" s="360"/>
      <c r="AD81" s="360"/>
      <c r="AE81" s="360"/>
      <c r="AF81" s="360"/>
      <c r="AG81" s="1706"/>
      <c r="BA81" s="6422"/>
      <c r="BB81" s="6422"/>
      <c r="BC81" s="6422"/>
    </row>
    <row r="82" spans="1:55" ht="12" customHeight="1" thickBot="1">
      <c r="A82" s="1706">
        <f>SUM(B78:B82)</f>
        <v>0</v>
      </c>
      <c r="B82" s="2574">
        <f>IF(C82&lt;&gt;"",1,0)</f>
        <v>0</v>
      </c>
      <c r="C82" s="2573"/>
      <c r="D82" s="688" t="s">
        <v>3218</v>
      </c>
      <c r="E82" s="360"/>
      <c r="F82" s="360"/>
      <c r="G82" s="360"/>
      <c r="H82" s="360"/>
      <c r="I82" s="360"/>
      <c r="J82" s="360"/>
      <c r="K82" s="360"/>
      <c r="L82" s="360"/>
      <c r="M82" s="360"/>
      <c r="N82" s="360"/>
      <c r="O82" s="360"/>
      <c r="P82" s="360"/>
      <c r="Q82" s="360"/>
      <c r="R82" s="6407" t="str">
        <f>IF(SpaceUsed_8949C_LT,"ERROR: DO NOT use the space bar to uncheck a box. Use the 'Delete' key.",IF(A82&gt;1,"Check only ONE box.",IF($A$31&gt;0,"",IF(A82&lt;1,"Check ONE box.",""))))</f>
        <v>Check ONE box.</v>
      </c>
      <c r="S82" s="6408"/>
      <c r="T82" s="6408"/>
      <c r="U82" s="6408"/>
      <c r="V82" s="6408"/>
      <c r="W82" s="6408"/>
      <c r="X82" s="6408"/>
      <c r="Y82" s="6408"/>
      <c r="Z82" s="6408"/>
      <c r="AA82" s="6408"/>
      <c r="AB82" s="6408"/>
      <c r="AC82" s="6408"/>
      <c r="AD82" s="6408"/>
      <c r="AE82" s="6408"/>
      <c r="AF82" s="360"/>
      <c r="AG82" s="1706"/>
      <c r="AH82" s="2901" t="b">
        <f>IF(OR(F8949CLBOXA=CHAR(32),F8949CLBOXB=CHAR(32),F8949CLBOXC=CHAR(32)),TRUE,FALSE)</f>
        <v>0</v>
      </c>
      <c r="AJ82" s="6423" t="s">
        <v>1400</v>
      </c>
      <c r="AK82" s="6424"/>
      <c r="AL82" s="6424"/>
      <c r="AM82" s="6424"/>
      <c r="AN82" s="6424"/>
      <c r="AO82" s="6424"/>
      <c r="AP82" s="6424"/>
      <c r="AQ82" s="6424"/>
      <c r="BA82" s="6422"/>
      <c r="BB82" s="6422"/>
      <c r="BC82" s="6422"/>
    </row>
    <row r="83" spans="1:55" ht="3.75" customHeight="1">
      <c r="A83" s="1706"/>
      <c r="B83" s="361"/>
      <c r="C83" s="1647"/>
      <c r="D83" s="361"/>
      <c r="E83" s="361"/>
      <c r="F83" s="361"/>
      <c r="G83" s="361"/>
      <c r="H83" s="361"/>
      <c r="I83" s="361"/>
      <c r="J83" s="361"/>
      <c r="K83" s="361"/>
      <c r="L83" s="361"/>
      <c r="M83" s="361"/>
      <c r="N83" s="1647"/>
      <c r="O83" s="361"/>
      <c r="P83" s="361"/>
      <c r="Q83" s="361"/>
      <c r="R83" s="361"/>
      <c r="S83" s="361"/>
      <c r="T83" s="361"/>
      <c r="U83" s="361"/>
      <c r="V83" s="361"/>
      <c r="W83" s="361"/>
      <c r="X83" s="361"/>
      <c r="Y83" s="1647"/>
      <c r="Z83" s="361"/>
      <c r="AA83" s="361"/>
      <c r="AB83" s="361"/>
      <c r="AC83" s="361"/>
      <c r="AD83" s="361"/>
      <c r="AE83" s="361"/>
      <c r="AF83" s="361"/>
      <c r="AG83" s="1706"/>
      <c r="BA83" s="6422"/>
      <c r="BB83" s="6422"/>
      <c r="BC83" s="6422"/>
    </row>
    <row r="84" spans="1:55" ht="21" customHeight="1">
      <c r="A84" s="1706"/>
      <c r="B84" s="6319">
        <v>1</v>
      </c>
      <c r="C84" s="6322" t="s">
        <v>1106</v>
      </c>
      <c r="D84" s="6323"/>
      <c r="E84" s="6323"/>
      <c r="F84" s="6323"/>
      <c r="G84" s="6323"/>
      <c r="H84" s="6323"/>
      <c r="I84" s="6324"/>
      <c r="J84" s="6331" t="s">
        <v>1449</v>
      </c>
      <c r="K84" s="6332"/>
      <c r="L84" s="6333"/>
      <c r="M84" s="6331" t="s">
        <v>1450</v>
      </c>
      <c r="N84" s="6332"/>
      <c r="O84" s="6332"/>
      <c r="P84" s="6333"/>
      <c r="Q84" s="6331" t="s">
        <v>1451</v>
      </c>
      <c r="R84" s="6332"/>
      <c r="S84" s="6332"/>
      <c r="T84" s="6333"/>
      <c r="U84" s="6357" t="s">
        <v>1456</v>
      </c>
      <c r="V84" s="5273"/>
      <c r="W84" s="5273"/>
      <c r="X84" s="6312"/>
      <c r="Y84" s="6379" t="s">
        <v>1452</v>
      </c>
      <c r="Z84" s="6380"/>
      <c r="AA84" s="6380"/>
      <c r="AB84" s="6381"/>
      <c r="AC84" s="6357" t="s">
        <v>1455</v>
      </c>
      <c r="AD84" s="5273"/>
      <c r="AE84" s="5273"/>
      <c r="AF84" s="5273"/>
      <c r="AG84" s="1706"/>
      <c r="AJ84" s="6409" t="s">
        <v>1399</v>
      </c>
      <c r="AK84" s="6409" t="s">
        <v>1459</v>
      </c>
      <c r="AL84" s="6409" t="s">
        <v>1460</v>
      </c>
      <c r="AM84" s="6409" t="s">
        <v>1461</v>
      </c>
      <c r="AN84" s="6411" t="s">
        <v>1462</v>
      </c>
      <c r="AO84" s="6379" t="s">
        <v>1452</v>
      </c>
      <c r="AP84" s="5285"/>
      <c r="AQ84" s="6409" t="s">
        <v>1464</v>
      </c>
      <c r="BA84" s="6422"/>
      <c r="BB84" s="6422"/>
      <c r="BC84" s="6422"/>
    </row>
    <row r="85" spans="1:55" ht="21" customHeight="1">
      <c r="A85" s="1706"/>
      <c r="B85" s="4708"/>
      <c r="C85" s="6325"/>
      <c r="D85" s="6326"/>
      <c r="E85" s="6326"/>
      <c r="F85" s="6326"/>
      <c r="G85" s="6326"/>
      <c r="H85" s="6326"/>
      <c r="I85" s="6327"/>
      <c r="J85" s="6334"/>
      <c r="K85" s="6335"/>
      <c r="L85" s="6336"/>
      <c r="M85" s="6334"/>
      <c r="N85" s="6335"/>
      <c r="O85" s="6335"/>
      <c r="P85" s="6336"/>
      <c r="Q85" s="6334"/>
      <c r="R85" s="6335"/>
      <c r="S85" s="6335"/>
      <c r="T85" s="6336"/>
      <c r="U85" s="6358"/>
      <c r="V85" s="6359"/>
      <c r="W85" s="6359"/>
      <c r="X85" s="6360"/>
      <c r="Y85" s="6382"/>
      <c r="Z85" s="6383"/>
      <c r="AA85" s="6383"/>
      <c r="AB85" s="6384"/>
      <c r="AC85" s="6358"/>
      <c r="AD85" s="6359"/>
      <c r="AE85" s="6359"/>
      <c r="AF85" s="6359"/>
      <c r="AG85" s="1706"/>
      <c r="AJ85" s="6409"/>
      <c r="AK85" s="6409"/>
      <c r="AL85" s="6409"/>
      <c r="AM85" s="6409"/>
      <c r="AN85" s="6411"/>
      <c r="AO85" s="5430"/>
      <c r="AP85" s="5291"/>
      <c r="AQ85" s="6409"/>
      <c r="BA85" s="6422"/>
      <c r="BB85" s="6422"/>
      <c r="BC85" s="6422"/>
    </row>
    <row r="86" spans="1:55" ht="18" customHeight="1">
      <c r="A86" s="1706"/>
      <c r="B86" s="6320"/>
      <c r="C86" s="6328"/>
      <c r="D86" s="6328"/>
      <c r="E86" s="6328"/>
      <c r="F86" s="6328"/>
      <c r="G86" s="6328"/>
      <c r="H86" s="6328"/>
      <c r="I86" s="6327"/>
      <c r="J86" s="6337"/>
      <c r="K86" s="6335"/>
      <c r="L86" s="6336"/>
      <c r="M86" s="6337"/>
      <c r="N86" s="6335"/>
      <c r="O86" s="6335"/>
      <c r="P86" s="6336"/>
      <c r="Q86" s="6337"/>
      <c r="R86" s="6335"/>
      <c r="S86" s="6335"/>
      <c r="T86" s="6336"/>
      <c r="U86" s="5274"/>
      <c r="V86" s="6359"/>
      <c r="W86" s="6359"/>
      <c r="X86" s="6360"/>
      <c r="Y86" s="6311" t="s">
        <v>1453</v>
      </c>
      <c r="Z86" s="6312"/>
      <c r="AA86" s="6314" t="s">
        <v>1454</v>
      </c>
      <c r="AB86" s="6315"/>
      <c r="AC86" s="5274"/>
      <c r="AD86" s="6359"/>
      <c r="AE86" s="6359"/>
      <c r="AF86" s="6359"/>
      <c r="AG86" s="1706"/>
      <c r="AJ86" s="6410"/>
      <c r="AK86" s="6410"/>
      <c r="AL86" s="6410"/>
      <c r="AM86" s="6410"/>
      <c r="AN86" s="6412"/>
      <c r="AO86" s="6414" t="s">
        <v>1463</v>
      </c>
      <c r="AP86" s="6413" t="s">
        <v>1454</v>
      </c>
      <c r="AQ86" s="6410"/>
      <c r="BA86" s="6422"/>
      <c r="BB86" s="6422"/>
      <c r="BC86" s="6422"/>
    </row>
    <row r="87" spans="1:55" ht="18" customHeight="1">
      <c r="A87" s="1706"/>
      <c r="B87" s="6321"/>
      <c r="C87" s="6329"/>
      <c r="D87" s="6329"/>
      <c r="E87" s="6329"/>
      <c r="F87" s="6329"/>
      <c r="G87" s="6329"/>
      <c r="H87" s="6329"/>
      <c r="I87" s="6330"/>
      <c r="J87" s="6338"/>
      <c r="K87" s="6339"/>
      <c r="L87" s="6340"/>
      <c r="M87" s="6338"/>
      <c r="N87" s="6339"/>
      <c r="O87" s="6339"/>
      <c r="P87" s="6340"/>
      <c r="Q87" s="6338"/>
      <c r="R87" s="6339"/>
      <c r="S87" s="6339"/>
      <c r="T87" s="6340"/>
      <c r="U87" s="5276"/>
      <c r="V87" s="5277"/>
      <c r="W87" s="5277"/>
      <c r="X87" s="6313"/>
      <c r="Y87" s="5276"/>
      <c r="Z87" s="6313"/>
      <c r="AA87" s="5411"/>
      <c r="AB87" s="5342"/>
      <c r="AC87" s="5276"/>
      <c r="AD87" s="5277"/>
      <c r="AE87" s="5277"/>
      <c r="AF87" s="5277"/>
      <c r="AG87" s="1706"/>
      <c r="AJ87" s="6410"/>
      <c r="AK87" s="6410"/>
      <c r="AL87" s="6410"/>
      <c r="AM87" s="6410"/>
      <c r="AN87" s="6412"/>
      <c r="AO87" s="5244"/>
      <c r="AP87" s="5244"/>
      <c r="AQ87" s="6410"/>
      <c r="BA87" s="6422"/>
      <c r="BB87" s="6422"/>
      <c r="BC87" s="6422"/>
    </row>
    <row r="88" spans="1:55" s="2459" customFormat="1" ht="19.5" customHeight="1">
      <c r="A88" s="1706">
        <f>IF(OR(U88&lt;&gt;"",Y88&lt;&gt;""),1,0)</f>
        <v>0</v>
      </c>
      <c r="B88" s="6301" t="str">
        <f t="shared" ref="B88:B115" si="20">IF(AJ88="","",AJ88)</f>
        <v/>
      </c>
      <c r="C88" s="6302"/>
      <c r="D88" s="6302"/>
      <c r="E88" s="6302"/>
      <c r="F88" s="6302"/>
      <c r="G88" s="6302"/>
      <c r="H88" s="6302"/>
      <c r="I88" s="6303"/>
      <c r="J88" s="6304" t="str">
        <f t="shared" ref="J88:J115" si="21">IF(AK88="","",AK88)</f>
        <v/>
      </c>
      <c r="K88" s="6305"/>
      <c r="L88" s="6305"/>
      <c r="M88" s="6304" t="str">
        <f t="shared" ref="M88:M115" si="22">IF(AL88="","",AL88)</f>
        <v/>
      </c>
      <c r="N88" s="6305"/>
      <c r="O88" s="6305"/>
      <c r="P88" s="6306"/>
      <c r="Q88" s="4641" t="str">
        <f t="shared" ref="Q88:Q115" si="23">IF(AM88="","",AM88)</f>
        <v/>
      </c>
      <c r="R88" s="6307"/>
      <c r="S88" s="6307"/>
      <c r="T88" s="6308"/>
      <c r="U88" s="4641" t="str">
        <f t="shared" ref="U88:U115" si="24">IF(AN88="","",AN88)</f>
        <v/>
      </c>
      <c r="V88" s="6307"/>
      <c r="W88" s="6307"/>
      <c r="X88" s="6308"/>
      <c r="Y88" s="6300" t="str">
        <f>IF(AO88&lt;&gt;"",AO88,"")</f>
        <v/>
      </c>
      <c r="Z88" s="4756"/>
      <c r="AA88" s="6300" t="str">
        <f>IF(AP88="","",AP88)</f>
        <v/>
      </c>
      <c r="AB88" s="4756"/>
      <c r="AC88" s="6309" t="str">
        <f>IF(AQ88&lt;&gt;"",AQ88,IF(AND(Q88&lt;&gt;"",U88&lt;&gt;""),SUM(Q88,-U88,AA88),""))</f>
        <v/>
      </c>
      <c r="AD88" s="6310"/>
      <c r="AE88" s="6310"/>
      <c r="AF88" s="6310"/>
      <c r="AG88" s="2631">
        <f>IF(OR(J88="",M88=""),0,IF(OR(BA88,BB88,BC88),1,0))</f>
        <v>0</v>
      </c>
      <c r="AH88" s="1644"/>
      <c r="AI88" s="1644" t="e">
        <f>M88-J88</f>
        <v>#VALUE!</v>
      </c>
      <c r="AJ88" s="2467"/>
      <c r="AK88" s="2471"/>
      <c r="AL88" s="2471"/>
      <c r="AM88" s="2469"/>
      <c r="AN88" s="2469"/>
      <c r="AO88" s="2470"/>
      <c r="AP88" s="2469"/>
      <c r="AQ88" s="2468"/>
      <c r="AS88" s="2620" t="e">
        <f>YEAR(J88)</f>
        <v>#VALUE!</v>
      </c>
      <c r="AT88" s="2620" t="e">
        <f>MONTH(J88)</f>
        <v>#VALUE!</v>
      </c>
      <c r="AU88" s="2620" t="e">
        <f>DAY(J88)</f>
        <v>#VALUE!</v>
      </c>
      <c r="AV88" s="2620"/>
      <c r="AW88" s="2620" t="e">
        <f>YEAR(M88)</f>
        <v>#VALUE!</v>
      </c>
      <c r="AX88" s="2620" t="e">
        <f>MONTH(M88)</f>
        <v>#VALUE!</v>
      </c>
      <c r="AY88" s="2620" t="e">
        <f>DAY(M88)</f>
        <v>#VALUE!</v>
      </c>
      <c r="AZ88" s="2620"/>
      <c r="BA88" s="2620" t="e">
        <f>IF(AW88=AS88,TRUE,FALSE)</f>
        <v>#VALUE!</v>
      </c>
      <c r="BB88" s="2620" t="e">
        <f>IF(AND(AW88=AS88+1,AX88&lt;AT88),TRUE,FALSE)</f>
        <v>#VALUE!</v>
      </c>
      <c r="BC88" s="2620" t="e">
        <f>IF(AND(AW88=AS88+1,AX88=AT88,AY88&lt;=AU88),TRUE,FALSE)</f>
        <v>#VALUE!</v>
      </c>
    </row>
    <row r="89" spans="1:55" s="2459" customFormat="1" ht="19.5" customHeight="1">
      <c r="A89" s="1706">
        <f t="shared" ref="A89:A115" si="25">IF(OR(U89&lt;&gt;"",Y89&lt;&gt;""),1,0)</f>
        <v>0</v>
      </c>
      <c r="B89" s="6301" t="str">
        <f t="shared" si="20"/>
        <v/>
      </c>
      <c r="C89" s="6302"/>
      <c r="D89" s="6302"/>
      <c r="E89" s="6302"/>
      <c r="F89" s="6302"/>
      <c r="G89" s="6302"/>
      <c r="H89" s="6302"/>
      <c r="I89" s="6303"/>
      <c r="J89" s="6304" t="str">
        <f t="shared" si="21"/>
        <v/>
      </c>
      <c r="K89" s="6305"/>
      <c r="L89" s="6305"/>
      <c r="M89" s="6304" t="str">
        <f t="shared" si="22"/>
        <v/>
      </c>
      <c r="N89" s="6305"/>
      <c r="O89" s="6305"/>
      <c r="P89" s="6306"/>
      <c r="Q89" s="4641" t="str">
        <f t="shared" si="23"/>
        <v/>
      </c>
      <c r="R89" s="6307"/>
      <c r="S89" s="6307"/>
      <c r="T89" s="6308"/>
      <c r="U89" s="4641" t="str">
        <f t="shared" si="24"/>
        <v/>
      </c>
      <c r="V89" s="6307"/>
      <c r="W89" s="6307"/>
      <c r="X89" s="6308"/>
      <c r="Y89" s="6300" t="str">
        <f t="shared" ref="Y89:Y115" si="26">IF(AO89&lt;&gt;"",AO89,"")</f>
        <v/>
      </c>
      <c r="Z89" s="4756"/>
      <c r="AA89" s="6300" t="str">
        <f t="shared" ref="AA89:AA115" si="27">IF(AP89="","",AP89)</f>
        <v/>
      </c>
      <c r="AB89" s="4756"/>
      <c r="AC89" s="6309" t="str">
        <f t="shared" ref="AC89:AC115" si="28">IF(AQ89&lt;&gt;"",AQ89,IF(AND(Q89&lt;&gt;"",U89&lt;&gt;""),SUM(Q89,-U89,AA89),""))</f>
        <v/>
      </c>
      <c r="AD89" s="6310"/>
      <c r="AE89" s="6310"/>
      <c r="AF89" s="6310"/>
      <c r="AG89" s="2631">
        <f t="shared" ref="AG89:AG115" si="29">IF(OR(J89="",M89=""),0,IF(OR(BA89,BB89,BC89),1,0))</f>
        <v>0</v>
      </c>
      <c r="AH89" s="1644"/>
      <c r="AI89" s="1644" t="e">
        <f t="shared" ref="AI89:AI115" si="30">M89-J89</f>
        <v>#VALUE!</v>
      </c>
      <c r="AJ89" s="2467"/>
      <c r="AK89" s="2471"/>
      <c r="AL89" s="2471"/>
      <c r="AM89" s="2469"/>
      <c r="AN89" s="2469"/>
      <c r="AO89" s="2470"/>
      <c r="AP89" s="2469"/>
      <c r="AQ89" s="2468"/>
      <c r="AS89" s="2620" t="e">
        <f t="shared" ref="AS89:AS115" si="31">YEAR(J89)</f>
        <v>#VALUE!</v>
      </c>
      <c r="AT89" s="2620" t="e">
        <f t="shared" ref="AT89:AT115" si="32">MONTH(J89)</f>
        <v>#VALUE!</v>
      </c>
      <c r="AU89" s="2620" t="e">
        <f t="shared" ref="AU89:AU115" si="33">DAY(J89)</f>
        <v>#VALUE!</v>
      </c>
      <c r="AV89" s="2620"/>
      <c r="AW89" s="2620" t="e">
        <f t="shared" ref="AW89:AW115" si="34">YEAR(M89)</f>
        <v>#VALUE!</v>
      </c>
      <c r="AX89" s="2620" t="e">
        <f t="shared" ref="AX89:AX115" si="35">MONTH(M89)</f>
        <v>#VALUE!</v>
      </c>
      <c r="AY89" s="2620" t="e">
        <f t="shared" ref="AY89:AY115" si="36">DAY(M89)</f>
        <v>#VALUE!</v>
      </c>
      <c r="AZ89" s="2620"/>
      <c r="BA89" s="2620" t="e">
        <f t="shared" ref="BA89:BA115" si="37">IF(AW89=AS89,TRUE,FALSE)</f>
        <v>#VALUE!</v>
      </c>
      <c r="BB89" s="2620" t="e">
        <f t="shared" ref="BB89:BB115" si="38">IF(AND(AW89=AS89+1,AX89&lt;AT89),TRUE,FALSE)</f>
        <v>#VALUE!</v>
      </c>
      <c r="BC89" s="2620" t="e">
        <f t="shared" ref="BC89:BC115" si="39">IF(AND(AW89=AS89+1,AX89=AT89,AY89&lt;=AU89),TRUE,FALSE)</f>
        <v>#VALUE!</v>
      </c>
    </row>
    <row r="90" spans="1:55" s="2459" customFormat="1" ht="19.5" customHeight="1">
      <c r="A90" s="1706">
        <f t="shared" si="25"/>
        <v>0</v>
      </c>
      <c r="B90" s="6301" t="str">
        <f t="shared" si="20"/>
        <v/>
      </c>
      <c r="C90" s="6302"/>
      <c r="D90" s="6302"/>
      <c r="E90" s="6302"/>
      <c r="F90" s="6302"/>
      <c r="G90" s="6302"/>
      <c r="H90" s="6302"/>
      <c r="I90" s="6303"/>
      <c r="J90" s="6304" t="str">
        <f t="shared" si="21"/>
        <v/>
      </c>
      <c r="K90" s="6305"/>
      <c r="L90" s="6305"/>
      <c r="M90" s="6304" t="str">
        <f t="shared" si="22"/>
        <v/>
      </c>
      <c r="N90" s="6305"/>
      <c r="O90" s="6305"/>
      <c r="P90" s="6306"/>
      <c r="Q90" s="4641" t="str">
        <f t="shared" si="23"/>
        <v/>
      </c>
      <c r="R90" s="6307"/>
      <c r="S90" s="6307"/>
      <c r="T90" s="6308"/>
      <c r="U90" s="4641" t="str">
        <f t="shared" si="24"/>
        <v/>
      </c>
      <c r="V90" s="6307"/>
      <c r="W90" s="6307"/>
      <c r="X90" s="6308"/>
      <c r="Y90" s="6300" t="str">
        <f t="shared" si="26"/>
        <v/>
      </c>
      <c r="Z90" s="4756"/>
      <c r="AA90" s="6300" t="str">
        <f t="shared" si="27"/>
        <v/>
      </c>
      <c r="AB90" s="4756"/>
      <c r="AC90" s="6309" t="str">
        <f t="shared" si="28"/>
        <v/>
      </c>
      <c r="AD90" s="6310"/>
      <c r="AE90" s="6310"/>
      <c r="AF90" s="6310"/>
      <c r="AG90" s="2631">
        <f t="shared" si="29"/>
        <v>0</v>
      </c>
      <c r="AH90" s="1644"/>
      <c r="AI90" s="1644" t="e">
        <f t="shared" si="30"/>
        <v>#VALUE!</v>
      </c>
      <c r="AJ90" s="2467"/>
      <c r="AK90" s="2471"/>
      <c r="AL90" s="2471"/>
      <c r="AM90" s="2469"/>
      <c r="AN90" s="2469"/>
      <c r="AO90" s="2470"/>
      <c r="AP90" s="2469"/>
      <c r="AQ90" s="2468"/>
      <c r="AS90" s="2620" t="e">
        <f t="shared" si="31"/>
        <v>#VALUE!</v>
      </c>
      <c r="AT90" s="2620" t="e">
        <f t="shared" si="32"/>
        <v>#VALUE!</v>
      </c>
      <c r="AU90" s="2620" t="e">
        <f t="shared" si="33"/>
        <v>#VALUE!</v>
      </c>
      <c r="AV90" s="2620"/>
      <c r="AW90" s="2620" t="e">
        <f t="shared" si="34"/>
        <v>#VALUE!</v>
      </c>
      <c r="AX90" s="2620" t="e">
        <f t="shared" si="35"/>
        <v>#VALUE!</v>
      </c>
      <c r="AY90" s="2620" t="e">
        <f t="shared" si="36"/>
        <v>#VALUE!</v>
      </c>
      <c r="AZ90" s="2620"/>
      <c r="BA90" s="2620" t="e">
        <f t="shared" si="37"/>
        <v>#VALUE!</v>
      </c>
      <c r="BB90" s="2620" t="e">
        <f t="shared" si="38"/>
        <v>#VALUE!</v>
      </c>
      <c r="BC90" s="2620" t="e">
        <f t="shared" si="39"/>
        <v>#VALUE!</v>
      </c>
    </row>
    <row r="91" spans="1:55" s="2459" customFormat="1" ht="19.5" customHeight="1">
      <c r="A91" s="1706">
        <f t="shared" si="25"/>
        <v>0</v>
      </c>
      <c r="B91" s="6301" t="str">
        <f t="shared" si="20"/>
        <v/>
      </c>
      <c r="C91" s="6302"/>
      <c r="D91" s="6302"/>
      <c r="E91" s="6302"/>
      <c r="F91" s="6302"/>
      <c r="G91" s="6302"/>
      <c r="H91" s="6302"/>
      <c r="I91" s="6303"/>
      <c r="J91" s="6304" t="str">
        <f t="shared" si="21"/>
        <v/>
      </c>
      <c r="K91" s="6305"/>
      <c r="L91" s="6305"/>
      <c r="M91" s="6304" t="str">
        <f t="shared" si="22"/>
        <v/>
      </c>
      <c r="N91" s="6305"/>
      <c r="O91" s="6305"/>
      <c r="P91" s="6306"/>
      <c r="Q91" s="4641" t="str">
        <f t="shared" si="23"/>
        <v/>
      </c>
      <c r="R91" s="6307"/>
      <c r="S91" s="6307"/>
      <c r="T91" s="6308"/>
      <c r="U91" s="4641" t="str">
        <f t="shared" si="24"/>
        <v/>
      </c>
      <c r="V91" s="6307"/>
      <c r="W91" s="6307"/>
      <c r="X91" s="6308"/>
      <c r="Y91" s="6300" t="str">
        <f t="shared" si="26"/>
        <v/>
      </c>
      <c r="Z91" s="4756"/>
      <c r="AA91" s="6300" t="str">
        <f t="shared" si="27"/>
        <v/>
      </c>
      <c r="AB91" s="4756"/>
      <c r="AC91" s="6309" t="str">
        <f t="shared" si="28"/>
        <v/>
      </c>
      <c r="AD91" s="6310"/>
      <c r="AE91" s="6310"/>
      <c r="AF91" s="6310"/>
      <c r="AG91" s="2631">
        <f t="shared" si="29"/>
        <v>0</v>
      </c>
      <c r="AH91" s="1644"/>
      <c r="AI91" s="1644" t="e">
        <f t="shared" si="30"/>
        <v>#VALUE!</v>
      </c>
      <c r="AJ91" s="2467"/>
      <c r="AK91" s="2471"/>
      <c r="AL91" s="2471"/>
      <c r="AM91" s="2469"/>
      <c r="AN91" s="2469"/>
      <c r="AO91" s="2470"/>
      <c r="AP91" s="2469"/>
      <c r="AQ91" s="2468"/>
      <c r="AS91" s="2620" t="e">
        <f t="shared" si="31"/>
        <v>#VALUE!</v>
      </c>
      <c r="AT91" s="2620" t="e">
        <f t="shared" si="32"/>
        <v>#VALUE!</v>
      </c>
      <c r="AU91" s="2620" t="e">
        <f t="shared" si="33"/>
        <v>#VALUE!</v>
      </c>
      <c r="AV91" s="2620"/>
      <c r="AW91" s="2620" t="e">
        <f t="shared" si="34"/>
        <v>#VALUE!</v>
      </c>
      <c r="AX91" s="2620" t="e">
        <f t="shared" si="35"/>
        <v>#VALUE!</v>
      </c>
      <c r="AY91" s="2620" t="e">
        <f t="shared" si="36"/>
        <v>#VALUE!</v>
      </c>
      <c r="AZ91" s="2620"/>
      <c r="BA91" s="2620" t="e">
        <f t="shared" si="37"/>
        <v>#VALUE!</v>
      </c>
      <c r="BB91" s="2620" t="e">
        <f t="shared" si="38"/>
        <v>#VALUE!</v>
      </c>
      <c r="BC91" s="2620" t="e">
        <f t="shared" si="39"/>
        <v>#VALUE!</v>
      </c>
    </row>
    <row r="92" spans="1:55" s="2459" customFormat="1" ht="19.5" customHeight="1">
      <c r="A92" s="1706">
        <f t="shared" si="25"/>
        <v>0</v>
      </c>
      <c r="B92" s="6301" t="str">
        <f t="shared" si="20"/>
        <v/>
      </c>
      <c r="C92" s="6302"/>
      <c r="D92" s="6302"/>
      <c r="E92" s="6302"/>
      <c r="F92" s="6302"/>
      <c r="G92" s="6302"/>
      <c r="H92" s="6302"/>
      <c r="I92" s="6303"/>
      <c r="J92" s="6304" t="str">
        <f t="shared" si="21"/>
        <v/>
      </c>
      <c r="K92" s="6305"/>
      <c r="L92" s="6305"/>
      <c r="M92" s="6304" t="str">
        <f t="shared" si="22"/>
        <v/>
      </c>
      <c r="N92" s="6305"/>
      <c r="O92" s="6305"/>
      <c r="P92" s="6306"/>
      <c r="Q92" s="4641" t="str">
        <f t="shared" si="23"/>
        <v/>
      </c>
      <c r="R92" s="6307"/>
      <c r="S92" s="6307"/>
      <c r="T92" s="6308"/>
      <c r="U92" s="4641" t="str">
        <f t="shared" si="24"/>
        <v/>
      </c>
      <c r="V92" s="6307"/>
      <c r="W92" s="6307"/>
      <c r="X92" s="6308"/>
      <c r="Y92" s="6300" t="str">
        <f t="shared" si="26"/>
        <v/>
      </c>
      <c r="Z92" s="4756"/>
      <c r="AA92" s="6300" t="str">
        <f t="shared" si="27"/>
        <v/>
      </c>
      <c r="AB92" s="4756"/>
      <c r="AC92" s="6309" t="str">
        <f t="shared" si="28"/>
        <v/>
      </c>
      <c r="AD92" s="6310"/>
      <c r="AE92" s="6310"/>
      <c r="AF92" s="6310"/>
      <c r="AG92" s="2631">
        <f t="shared" si="29"/>
        <v>0</v>
      </c>
      <c r="AH92" s="1644"/>
      <c r="AI92" s="1644" t="e">
        <f t="shared" si="30"/>
        <v>#VALUE!</v>
      </c>
      <c r="AJ92" s="2467"/>
      <c r="AK92" s="2471"/>
      <c r="AL92" s="2471"/>
      <c r="AM92" s="2469"/>
      <c r="AN92" s="2469"/>
      <c r="AO92" s="2470"/>
      <c r="AP92" s="2469"/>
      <c r="AQ92" s="2468"/>
      <c r="AS92" s="2620" t="e">
        <f t="shared" si="31"/>
        <v>#VALUE!</v>
      </c>
      <c r="AT92" s="2620" t="e">
        <f t="shared" si="32"/>
        <v>#VALUE!</v>
      </c>
      <c r="AU92" s="2620" t="e">
        <f t="shared" si="33"/>
        <v>#VALUE!</v>
      </c>
      <c r="AV92" s="2620"/>
      <c r="AW92" s="2620" t="e">
        <f t="shared" si="34"/>
        <v>#VALUE!</v>
      </c>
      <c r="AX92" s="2620" t="e">
        <f t="shared" si="35"/>
        <v>#VALUE!</v>
      </c>
      <c r="AY92" s="2620" t="e">
        <f t="shared" si="36"/>
        <v>#VALUE!</v>
      </c>
      <c r="AZ92" s="2620"/>
      <c r="BA92" s="2620" t="e">
        <f t="shared" si="37"/>
        <v>#VALUE!</v>
      </c>
      <c r="BB92" s="2620" t="e">
        <f t="shared" si="38"/>
        <v>#VALUE!</v>
      </c>
      <c r="BC92" s="2620" t="e">
        <f t="shared" si="39"/>
        <v>#VALUE!</v>
      </c>
    </row>
    <row r="93" spans="1:55" s="2459" customFormat="1" ht="19.5" customHeight="1">
      <c r="A93" s="1706">
        <f t="shared" si="25"/>
        <v>0</v>
      </c>
      <c r="B93" s="6301" t="str">
        <f t="shared" si="20"/>
        <v/>
      </c>
      <c r="C93" s="6302"/>
      <c r="D93" s="6302"/>
      <c r="E93" s="6302"/>
      <c r="F93" s="6302"/>
      <c r="G93" s="6302"/>
      <c r="H93" s="6302"/>
      <c r="I93" s="6303"/>
      <c r="J93" s="6304" t="str">
        <f t="shared" si="21"/>
        <v/>
      </c>
      <c r="K93" s="6305"/>
      <c r="L93" s="6305"/>
      <c r="M93" s="6304" t="str">
        <f t="shared" si="22"/>
        <v/>
      </c>
      <c r="N93" s="6305"/>
      <c r="O93" s="6305"/>
      <c r="P93" s="6306"/>
      <c r="Q93" s="4641" t="str">
        <f t="shared" si="23"/>
        <v/>
      </c>
      <c r="R93" s="6307"/>
      <c r="S93" s="6307"/>
      <c r="T93" s="6308"/>
      <c r="U93" s="4641" t="str">
        <f t="shared" si="24"/>
        <v/>
      </c>
      <c r="V93" s="6307"/>
      <c r="W93" s="6307"/>
      <c r="X93" s="6308"/>
      <c r="Y93" s="6300" t="str">
        <f t="shared" si="26"/>
        <v/>
      </c>
      <c r="Z93" s="4756"/>
      <c r="AA93" s="6300" t="str">
        <f t="shared" si="27"/>
        <v/>
      </c>
      <c r="AB93" s="4756"/>
      <c r="AC93" s="6309" t="str">
        <f t="shared" si="28"/>
        <v/>
      </c>
      <c r="AD93" s="6310"/>
      <c r="AE93" s="6310"/>
      <c r="AF93" s="6310"/>
      <c r="AG93" s="2631">
        <f t="shared" si="29"/>
        <v>0</v>
      </c>
      <c r="AH93" s="1644"/>
      <c r="AI93" s="1644" t="e">
        <f t="shared" si="30"/>
        <v>#VALUE!</v>
      </c>
      <c r="AJ93" s="2467"/>
      <c r="AK93" s="2471"/>
      <c r="AL93" s="2471"/>
      <c r="AM93" s="2469"/>
      <c r="AN93" s="2469"/>
      <c r="AO93" s="2470"/>
      <c r="AP93" s="2469"/>
      <c r="AQ93" s="2468"/>
      <c r="AS93" s="2620" t="e">
        <f t="shared" si="31"/>
        <v>#VALUE!</v>
      </c>
      <c r="AT93" s="2620" t="e">
        <f t="shared" si="32"/>
        <v>#VALUE!</v>
      </c>
      <c r="AU93" s="2620" t="e">
        <f t="shared" si="33"/>
        <v>#VALUE!</v>
      </c>
      <c r="AV93" s="2620"/>
      <c r="AW93" s="2620" t="e">
        <f t="shared" si="34"/>
        <v>#VALUE!</v>
      </c>
      <c r="AX93" s="2620" t="e">
        <f t="shared" si="35"/>
        <v>#VALUE!</v>
      </c>
      <c r="AY93" s="2620" t="e">
        <f t="shared" si="36"/>
        <v>#VALUE!</v>
      </c>
      <c r="AZ93" s="2620"/>
      <c r="BA93" s="2620" t="e">
        <f t="shared" si="37"/>
        <v>#VALUE!</v>
      </c>
      <c r="BB93" s="2620" t="e">
        <f t="shared" si="38"/>
        <v>#VALUE!</v>
      </c>
      <c r="BC93" s="2620" t="e">
        <f t="shared" si="39"/>
        <v>#VALUE!</v>
      </c>
    </row>
    <row r="94" spans="1:55" s="2459" customFormat="1" ht="19.5" customHeight="1">
      <c r="A94" s="1706">
        <f t="shared" si="25"/>
        <v>0</v>
      </c>
      <c r="B94" s="6301" t="str">
        <f t="shared" si="20"/>
        <v/>
      </c>
      <c r="C94" s="6302"/>
      <c r="D94" s="6302"/>
      <c r="E94" s="6302"/>
      <c r="F94" s="6302"/>
      <c r="G94" s="6302"/>
      <c r="H94" s="6302"/>
      <c r="I94" s="6303"/>
      <c r="J94" s="6304" t="str">
        <f t="shared" si="21"/>
        <v/>
      </c>
      <c r="K94" s="6305"/>
      <c r="L94" s="6305"/>
      <c r="M94" s="6304" t="str">
        <f t="shared" si="22"/>
        <v/>
      </c>
      <c r="N94" s="6305"/>
      <c r="O94" s="6305"/>
      <c r="P94" s="6306"/>
      <c r="Q94" s="4641" t="str">
        <f t="shared" si="23"/>
        <v/>
      </c>
      <c r="R94" s="6307"/>
      <c r="S94" s="6307"/>
      <c r="T94" s="6308"/>
      <c r="U94" s="4641" t="str">
        <f t="shared" si="24"/>
        <v/>
      </c>
      <c r="V94" s="6307"/>
      <c r="W94" s="6307"/>
      <c r="X94" s="6308"/>
      <c r="Y94" s="6300" t="str">
        <f t="shared" si="26"/>
        <v/>
      </c>
      <c r="Z94" s="4756"/>
      <c r="AA94" s="6300" t="str">
        <f t="shared" si="27"/>
        <v/>
      </c>
      <c r="AB94" s="4756"/>
      <c r="AC94" s="6309" t="str">
        <f t="shared" si="28"/>
        <v/>
      </c>
      <c r="AD94" s="6310"/>
      <c r="AE94" s="6310"/>
      <c r="AF94" s="6310"/>
      <c r="AG94" s="2631">
        <f t="shared" si="29"/>
        <v>0</v>
      </c>
      <c r="AH94" s="1644"/>
      <c r="AI94" s="1644" t="e">
        <f t="shared" si="30"/>
        <v>#VALUE!</v>
      </c>
      <c r="AJ94" s="2467"/>
      <c r="AK94" s="2471"/>
      <c r="AL94" s="2471"/>
      <c r="AM94" s="2469"/>
      <c r="AN94" s="2469"/>
      <c r="AO94" s="2470"/>
      <c r="AP94" s="2469"/>
      <c r="AQ94" s="2468"/>
      <c r="AS94" s="2620" t="e">
        <f t="shared" si="31"/>
        <v>#VALUE!</v>
      </c>
      <c r="AT94" s="2620" t="e">
        <f t="shared" si="32"/>
        <v>#VALUE!</v>
      </c>
      <c r="AU94" s="2620" t="e">
        <f t="shared" si="33"/>
        <v>#VALUE!</v>
      </c>
      <c r="AV94" s="2620"/>
      <c r="AW94" s="2620" t="e">
        <f t="shared" si="34"/>
        <v>#VALUE!</v>
      </c>
      <c r="AX94" s="2620" t="e">
        <f t="shared" si="35"/>
        <v>#VALUE!</v>
      </c>
      <c r="AY94" s="2620" t="e">
        <f t="shared" si="36"/>
        <v>#VALUE!</v>
      </c>
      <c r="AZ94" s="2620"/>
      <c r="BA94" s="2620" t="e">
        <f t="shared" si="37"/>
        <v>#VALUE!</v>
      </c>
      <c r="BB94" s="2620" t="e">
        <f t="shared" si="38"/>
        <v>#VALUE!</v>
      </c>
      <c r="BC94" s="2620" t="e">
        <f t="shared" si="39"/>
        <v>#VALUE!</v>
      </c>
    </row>
    <row r="95" spans="1:55" s="2459" customFormat="1" ht="19.5" customHeight="1">
      <c r="A95" s="1706">
        <f t="shared" si="25"/>
        <v>0</v>
      </c>
      <c r="B95" s="6301" t="str">
        <f t="shared" si="20"/>
        <v/>
      </c>
      <c r="C95" s="6302"/>
      <c r="D95" s="6302"/>
      <c r="E95" s="6302"/>
      <c r="F95" s="6302"/>
      <c r="G95" s="6302"/>
      <c r="H95" s="6302"/>
      <c r="I95" s="6303"/>
      <c r="J95" s="6304" t="str">
        <f t="shared" si="21"/>
        <v/>
      </c>
      <c r="K95" s="6305"/>
      <c r="L95" s="6305"/>
      <c r="M95" s="6304" t="str">
        <f t="shared" si="22"/>
        <v/>
      </c>
      <c r="N95" s="6305"/>
      <c r="O95" s="6305"/>
      <c r="P95" s="6306"/>
      <c r="Q95" s="4641" t="str">
        <f t="shared" si="23"/>
        <v/>
      </c>
      <c r="R95" s="6307"/>
      <c r="S95" s="6307"/>
      <c r="T95" s="6308"/>
      <c r="U95" s="4641" t="str">
        <f t="shared" si="24"/>
        <v/>
      </c>
      <c r="V95" s="6307"/>
      <c r="W95" s="6307"/>
      <c r="X95" s="6308"/>
      <c r="Y95" s="6300" t="str">
        <f t="shared" si="26"/>
        <v/>
      </c>
      <c r="Z95" s="4756"/>
      <c r="AA95" s="6300" t="str">
        <f t="shared" si="27"/>
        <v/>
      </c>
      <c r="AB95" s="4756"/>
      <c r="AC95" s="6309" t="str">
        <f t="shared" si="28"/>
        <v/>
      </c>
      <c r="AD95" s="6310"/>
      <c r="AE95" s="6310"/>
      <c r="AF95" s="6310"/>
      <c r="AG95" s="2631">
        <f t="shared" si="29"/>
        <v>0</v>
      </c>
      <c r="AH95" s="1644"/>
      <c r="AI95" s="1644" t="e">
        <f t="shared" si="30"/>
        <v>#VALUE!</v>
      </c>
      <c r="AJ95" s="2467"/>
      <c r="AK95" s="2471"/>
      <c r="AL95" s="2471"/>
      <c r="AM95" s="2469"/>
      <c r="AN95" s="2469"/>
      <c r="AO95" s="2470"/>
      <c r="AP95" s="2469"/>
      <c r="AQ95" s="2468"/>
      <c r="AS95" s="2620" t="e">
        <f t="shared" si="31"/>
        <v>#VALUE!</v>
      </c>
      <c r="AT95" s="2620" t="e">
        <f t="shared" si="32"/>
        <v>#VALUE!</v>
      </c>
      <c r="AU95" s="2620" t="e">
        <f t="shared" si="33"/>
        <v>#VALUE!</v>
      </c>
      <c r="AV95" s="2620"/>
      <c r="AW95" s="2620" t="e">
        <f t="shared" si="34"/>
        <v>#VALUE!</v>
      </c>
      <c r="AX95" s="2620" t="e">
        <f t="shared" si="35"/>
        <v>#VALUE!</v>
      </c>
      <c r="AY95" s="2620" t="e">
        <f t="shared" si="36"/>
        <v>#VALUE!</v>
      </c>
      <c r="AZ95" s="2620"/>
      <c r="BA95" s="2620" t="e">
        <f t="shared" si="37"/>
        <v>#VALUE!</v>
      </c>
      <c r="BB95" s="2620" t="e">
        <f t="shared" si="38"/>
        <v>#VALUE!</v>
      </c>
      <c r="BC95" s="2620" t="e">
        <f t="shared" si="39"/>
        <v>#VALUE!</v>
      </c>
    </row>
    <row r="96" spans="1:55" s="2459" customFormat="1" ht="19.5" customHeight="1">
      <c r="A96" s="1706">
        <f t="shared" si="25"/>
        <v>0</v>
      </c>
      <c r="B96" s="6301" t="str">
        <f t="shared" si="20"/>
        <v/>
      </c>
      <c r="C96" s="6302"/>
      <c r="D96" s="6302"/>
      <c r="E96" s="6302"/>
      <c r="F96" s="6302"/>
      <c r="G96" s="6302"/>
      <c r="H96" s="6302"/>
      <c r="I96" s="6303"/>
      <c r="J96" s="6304" t="str">
        <f t="shared" si="21"/>
        <v/>
      </c>
      <c r="K96" s="6305"/>
      <c r="L96" s="6305"/>
      <c r="M96" s="6304" t="str">
        <f t="shared" si="22"/>
        <v/>
      </c>
      <c r="N96" s="6305"/>
      <c r="O96" s="6305"/>
      <c r="P96" s="6306"/>
      <c r="Q96" s="4641" t="str">
        <f t="shared" si="23"/>
        <v/>
      </c>
      <c r="R96" s="6307"/>
      <c r="S96" s="6307"/>
      <c r="T96" s="6308"/>
      <c r="U96" s="4641" t="str">
        <f t="shared" si="24"/>
        <v/>
      </c>
      <c r="V96" s="6307"/>
      <c r="W96" s="6307"/>
      <c r="X96" s="6308"/>
      <c r="Y96" s="6300" t="str">
        <f t="shared" si="26"/>
        <v/>
      </c>
      <c r="Z96" s="4756"/>
      <c r="AA96" s="6300" t="str">
        <f t="shared" si="27"/>
        <v/>
      </c>
      <c r="AB96" s="4756"/>
      <c r="AC96" s="6309" t="str">
        <f t="shared" si="28"/>
        <v/>
      </c>
      <c r="AD96" s="6310"/>
      <c r="AE96" s="6310"/>
      <c r="AF96" s="6310"/>
      <c r="AG96" s="2631">
        <f t="shared" si="29"/>
        <v>0</v>
      </c>
      <c r="AH96" s="1644"/>
      <c r="AI96" s="1644" t="e">
        <f t="shared" si="30"/>
        <v>#VALUE!</v>
      </c>
      <c r="AJ96" s="2467"/>
      <c r="AK96" s="2471"/>
      <c r="AL96" s="2471"/>
      <c r="AM96" s="2469"/>
      <c r="AN96" s="2469"/>
      <c r="AO96" s="2470"/>
      <c r="AP96" s="2469"/>
      <c r="AQ96" s="2468"/>
      <c r="AS96" s="2620" t="e">
        <f t="shared" si="31"/>
        <v>#VALUE!</v>
      </c>
      <c r="AT96" s="2620" t="e">
        <f t="shared" si="32"/>
        <v>#VALUE!</v>
      </c>
      <c r="AU96" s="2620" t="e">
        <f t="shared" si="33"/>
        <v>#VALUE!</v>
      </c>
      <c r="AV96" s="2620"/>
      <c r="AW96" s="2620" t="e">
        <f t="shared" si="34"/>
        <v>#VALUE!</v>
      </c>
      <c r="AX96" s="2620" t="e">
        <f t="shared" si="35"/>
        <v>#VALUE!</v>
      </c>
      <c r="AY96" s="2620" t="e">
        <f t="shared" si="36"/>
        <v>#VALUE!</v>
      </c>
      <c r="AZ96" s="2620"/>
      <c r="BA96" s="2620" t="e">
        <f t="shared" si="37"/>
        <v>#VALUE!</v>
      </c>
      <c r="BB96" s="2620" t="e">
        <f t="shared" si="38"/>
        <v>#VALUE!</v>
      </c>
      <c r="BC96" s="2620" t="e">
        <f t="shared" si="39"/>
        <v>#VALUE!</v>
      </c>
    </row>
    <row r="97" spans="1:55" s="2459" customFormat="1" ht="19.5" customHeight="1">
      <c r="A97" s="1706">
        <f t="shared" si="25"/>
        <v>0</v>
      </c>
      <c r="B97" s="6301" t="str">
        <f t="shared" si="20"/>
        <v/>
      </c>
      <c r="C97" s="6302"/>
      <c r="D97" s="6302"/>
      <c r="E97" s="6302"/>
      <c r="F97" s="6302"/>
      <c r="G97" s="6302"/>
      <c r="H97" s="6302"/>
      <c r="I97" s="6303"/>
      <c r="J97" s="6304" t="str">
        <f t="shared" si="21"/>
        <v/>
      </c>
      <c r="K97" s="6305"/>
      <c r="L97" s="6305"/>
      <c r="M97" s="6304" t="str">
        <f t="shared" si="22"/>
        <v/>
      </c>
      <c r="N97" s="6305"/>
      <c r="O97" s="6305"/>
      <c r="P97" s="6306"/>
      <c r="Q97" s="4641" t="str">
        <f t="shared" si="23"/>
        <v/>
      </c>
      <c r="R97" s="6307"/>
      <c r="S97" s="6307"/>
      <c r="T97" s="6308"/>
      <c r="U97" s="4641" t="str">
        <f t="shared" si="24"/>
        <v/>
      </c>
      <c r="V97" s="6307"/>
      <c r="W97" s="6307"/>
      <c r="X97" s="6308"/>
      <c r="Y97" s="6300" t="str">
        <f t="shared" si="26"/>
        <v/>
      </c>
      <c r="Z97" s="4756"/>
      <c r="AA97" s="6300" t="str">
        <f t="shared" si="27"/>
        <v/>
      </c>
      <c r="AB97" s="4756"/>
      <c r="AC97" s="6309" t="str">
        <f t="shared" si="28"/>
        <v/>
      </c>
      <c r="AD97" s="6310"/>
      <c r="AE97" s="6310"/>
      <c r="AF97" s="6310"/>
      <c r="AG97" s="2631">
        <f t="shared" si="29"/>
        <v>0</v>
      </c>
      <c r="AH97" s="1644"/>
      <c r="AI97" s="1644" t="e">
        <f t="shared" si="30"/>
        <v>#VALUE!</v>
      </c>
      <c r="AJ97" s="2467"/>
      <c r="AK97" s="2471"/>
      <c r="AL97" s="2471"/>
      <c r="AM97" s="2469"/>
      <c r="AN97" s="2469"/>
      <c r="AO97" s="2470"/>
      <c r="AP97" s="2469"/>
      <c r="AQ97" s="2468"/>
      <c r="AS97" s="2620" t="e">
        <f t="shared" si="31"/>
        <v>#VALUE!</v>
      </c>
      <c r="AT97" s="2620" t="e">
        <f t="shared" si="32"/>
        <v>#VALUE!</v>
      </c>
      <c r="AU97" s="2620" t="e">
        <f t="shared" si="33"/>
        <v>#VALUE!</v>
      </c>
      <c r="AV97" s="2620"/>
      <c r="AW97" s="2620" t="e">
        <f t="shared" si="34"/>
        <v>#VALUE!</v>
      </c>
      <c r="AX97" s="2620" t="e">
        <f t="shared" si="35"/>
        <v>#VALUE!</v>
      </c>
      <c r="AY97" s="2620" t="e">
        <f t="shared" si="36"/>
        <v>#VALUE!</v>
      </c>
      <c r="AZ97" s="2620"/>
      <c r="BA97" s="2620" t="e">
        <f t="shared" si="37"/>
        <v>#VALUE!</v>
      </c>
      <c r="BB97" s="2620" t="e">
        <f t="shared" si="38"/>
        <v>#VALUE!</v>
      </c>
      <c r="BC97" s="2620" t="e">
        <f t="shared" si="39"/>
        <v>#VALUE!</v>
      </c>
    </row>
    <row r="98" spans="1:55" s="2459" customFormat="1" ht="19.5" customHeight="1">
      <c r="A98" s="1706">
        <f t="shared" si="25"/>
        <v>0</v>
      </c>
      <c r="B98" s="6301" t="str">
        <f t="shared" si="20"/>
        <v/>
      </c>
      <c r="C98" s="6302"/>
      <c r="D98" s="6302"/>
      <c r="E98" s="6302"/>
      <c r="F98" s="6302"/>
      <c r="G98" s="6302"/>
      <c r="H98" s="6302"/>
      <c r="I98" s="6303"/>
      <c r="J98" s="6304" t="str">
        <f t="shared" si="21"/>
        <v/>
      </c>
      <c r="K98" s="6305"/>
      <c r="L98" s="6305"/>
      <c r="M98" s="6304" t="str">
        <f t="shared" si="22"/>
        <v/>
      </c>
      <c r="N98" s="6305"/>
      <c r="O98" s="6305"/>
      <c r="P98" s="6306"/>
      <c r="Q98" s="4641" t="str">
        <f t="shared" si="23"/>
        <v/>
      </c>
      <c r="R98" s="6307"/>
      <c r="S98" s="6307"/>
      <c r="T98" s="6308"/>
      <c r="U98" s="4641" t="str">
        <f t="shared" si="24"/>
        <v/>
      </c>
      <c r="V98" s="6307"/>
      <c r="W98" s="6307"/>
      <c r="X98" s="6308"/>
      <c r="Y98" s="6300" t="str">
        <f t="shared" si="26"/>
        <v/>
      </c>
      <c r="Z98" s="4756"/>
      <c r="AA98" s="6300" t="str">
        <f t="shared" si="27"/>
        <v/>
      </c>
      <c r="AB98" s="4756"/>
      <c r="AC98" s="6309" t="str">
        <f t="shared" si="28"/>
        <v/>
      </c>
      <c r="AD98" s="6310"/>
      <c r="AE98" s="6310"/>
      <c r="AF98" s="6310"/>
      <c r="AG98" s="2631">
        <f t="shared" si="29"/>
        <v>0</v>
      </c>
      <c r="AH98" s="1644"/>
      <c r="AI98" s="1644" t="e">
        <f t="shared" si="30"/>
        <v>#VALUE!</v>
      </c>
      <c r="AJ98" s="2467"/>
      <c r="AK98" s="2471"/>
      <c r="AL98" s="2471"/>
      <c r="AM98" s="2469"/>
      <c r="AN98" s="2469"/>
      <c r="AO98" s="2470"/>
      <c r="AP98" s="2469"/>
      <c r="AQ98" s="2468"/>
      <c r="AS98" s="2620" t="e">
        <f t="shared" si="31"/>
        <v>#VALUE!</v>
      </c>
      <c r="AT98" s="2620" t="e">
        <f t="shared" si="32"/>
        <v>#VALUE!</v>
      </c>
      <c r="AU98" s="2620" t="e">
        <f t="shared" si="33"/>
        <v>#VALUE!</v>
      </c>
      <c r="AV98" s="2620"/>
      <c r="AW98" s="2620" t="e">
        <f t="shared" si="34"/>
        <v>#VALUE!</v>
      </c>
      <c r="AX98" s="2620" t="e">
        <f t="shared" si="35"/>
        <v>#VALUE!</v>
      </c>
      <c r="AY98" s="2620" t="e">
        <f t="shared" si="36"/>
        <v>#VALUE!</v>
      </c>
      <c r="AZ98" s="2620"/>
      <c r="BA98" s="2620" t="e">
        <f t="shared" si="37"/>
        <v>#VALUE!</v>
      </c>
      <c r="BB98" s="2620" t="e">
        <f t="shared" si="38"/>
        <v>#VALUE!</v>
      </c>
      <c r="BC98" s="2620" t="e">
        <f t="shared" si="39"/>
        <v>#VALUE!</v>
      </c>
    </row>
    <row r="99" spans="1:55" s="2459" customFormat="1" ht="19.5" customHeight="1">
      <c r="A99" s="1706">
        <f t="shared" si="25"/>
        <v>0</v>
      </c>
      <c r="B99" s="6301" t="str">
        <f t="shared" si="20"/>
        <v/>
      </c>
      <c r="C99" s="6302"/>
      <c r="D99" s="6302"/>
      <c r="E99" s="6302"/>
      <c r="F99" s="6302"/>
      <c r="G99" s="6302"/>
      <c r="H99" s="6302"/>
      <c r="I99" s="6303"/>
      <c r="J99" s="6304" t="str">
        <f t="shared" si="21"/>
        <v/>
      </c>
      <c r="K99" s="6305"/>
      <c r="L99" s="6305"/>
      <c r="M99" s="6304" t="str">
        <f t="shared" si="22"/>
        <v/>
      </c>
      <c r="N99" s="6305"/>
      <c r="O99" s="6305"/>
      <c r="P99" s="6306"/>
      <c r="Q99" s="4641" t="str">
        <f t="shared" si="23"/>
        <v/>
      </c>
      <c r="R99" s="6307"/>
      <c r="S99" s="6307"/>
      <c r="T99" s="6308"/>
      <c r="U99" s="4641" t="str">
        <f t="shared" si="24"/>
        <v/>
      </c>
      <c r="V99" s="6307"/>
      <c r="W99" s="6307"/>
      <c r="X99" s="6308"/>
      <c r="Y99" s="6300" t="str">
        <f t="shared" si="26"/>
        <v/>
      </c>
      <c r="Z99" s="4756"/>
      <c r="AA99" s="6300" t="str">
        <f t="shared" si="27"/>
        <v/>
      </c>
      <c r="AB99" s="4756"/>
      <c r="AC99" s="6309" t="str">
        <f t="shared" si="28"/>
        <v/>
      </c>
      <c r="AD99" s="6310"/>
      <c r="AE99" s="6310"/>
      <c r="AF99" s="6310"/>
      <c r="AG99" s="2631">
        <f t="shared" si="29"/>
        <v>0</v>
      </c>
      <c r="AH99" s="1644"/>
      <c r="AI99" s="1644" t="e">
        <f t="shared" si="30"/>
        <v>#VALUE!</v>
      </c>
      <c r="AJ99" s="2467"/>
      <c r="AK99" s="2471"/>
      <c r="AL99" s="2471"/>
      <c r="AM99" s="2469"/>
      <c r="AN99" s="2469"/>
      <c r="AO99" s="2470"/>
      <c r="AP99" s="2469"/>
      <c r="AQ99" s="2468"/>
      <c r="AS99" s="2620" t="e">
        <f t="shared" si="31"/>
        <v>#VALUE!</v>
      </c>
      <c r="AT99" s="2620" t="e">
        <f t="shared" si="32"/>
        <v>#VALUE!</v>
      </c>
      <c r="AU99" s="2620" t="e">
        <f t="shared" si="33"/>
        <v>#VALUE!</v>
      </c>
      <c r="AV99" s="2620"/>
      <c r="AW99" s="2620" t="e">
        <f t="shared" si="34"/>
        <v>#VALUE!</v>
      </c>
      <c r="AX99" s="2620" t="e">
        <f t="shared" si="35"/>
        <v>#VALUE!</v>
      </c>
      <c r="AY99" s="2620" t="e">
        <f t="shared" si="36"/>
        <v>#VALUE!</v>
      </c>
      <c r="AZ99" s="2620"/>
      <c r="BA99" s="2620" t="e">
        <f t="shared" si="37"/>
        <v>#VALUE!</v>
      </c>
      <c r="BB99" s="2620" t="e">
        <f t="shared" si="38"/>
        <v>#VALUE!</v>
      </c>
      <c r="BC99" s="2620" t="e">
        <f t="shared" si="39"/>
        <v>#VALUE!</v>
      </c>
    </row>
    <row r="100" spans="1:55" s="2459" customFormat="1" ht="19.5" customHeight="1">
      <c r="A100" s="1706">
        <f t="shared" si="25"/>
        <v>0</v>
      </c>
      <c r="B100" s="6301" t="str">
        <f t="shared" si="20"/>
        <v/>
      </c>
      <c r="C100" s="6302"/>
      <c r="D100" s="6302"/>
      <c r="E100" s="6302"/>
      <c r="F100" s="6302"/>
      <c r="G100" s="6302"/>
      <c r="H100" s="6302"/>
      <c r="I100" s="6303"/>
      <c r="J100" s="6304" t="str">
        <f t="shared" si="21"/>
        <v/>
      </c>
      <c r="K100" s="6305"/>
      <c r="L100" s="6305"/>
      <c r="M100" s="6304" t="str">
        <f t="shared" si="22"/>
        <v/>
      </c>
      <c r="N100" s="6305"/>
      <c r="O100" s="6305"/>
      <c r="P100" s="6306"/>
      <c r="Q100" s="4641" t="str">
        <f t="shared" si="23"/>
        <v/>
      </c>
      <c r="R100" s="6307"/>
      <c r="S100" s="6307"/>
      <c r="T100" s="6308"/>
      <c r="U100" s="4641" t="str">
        <f t="shared" si="24"/>
        <v/>
      </c>
      <c r="V100" s="6307"/>
      <c r="W100" s="6307"/>
      <c r="X100" s="6308"/>
      <c r="Y100" s="6300" t="str">
        <f t="shared" si="26"/>
        <v/>
      </c>
      <c r="Z100" s="4756"/>
      <c r="AA100" s="6300" t="str">
        <f t="shared" si="27"/>
        <v/>
      </c>
      <c r="AB100" s="4756"/>
      <c r="AC100" s="6309" t="str">
        <f t="shared" si="28"/>
        <v/>
      </c>
      <c r="AD100" s="6310"/>
      <c r="AE100" s="6310"/>
      <c r="AF100" s="6310"/>
      <c r="AG100" s="2631">
        <f t="shared" si="29"/>
        <v>0</v>
      </c>
      <c r="AH100" s="1644"/>
      <c r="AI100" s="1644" t="e">
        <f t="shared" si="30"/>
        <v>#VALUE!</v>
      </c>
      <c r="AJ100" s="2467"/>
      <c r="AK100" s="2471"/>
      <c r="AL100" s="2471"/>
      <c r="AM100" s="2469"/>
      <c r="AN100" s="2469"/>
      <c r="AO100" s="2470"/>
      <c r="AP100" s="2469"/>
      <c r="AQ100" s="2468"/>
      <c r="AS100" s="2620" t="e">
        <f t="shared" si="31"/>
        <v>#VALUE!</v>
      </c>
      <c r="AT100" s="2620" t="e">
        <f t="shared" si="32"/>
        <v>#VALUE!</v>
      </c>
      <c r="AU100" s="2620" t="e">
        <f t="shared" si="33"/>
        <v>#VALUE!</v>
      </c>
      <c r="AV100" s="2620"/>
      <c r="AW100" s="2620" t="e">
        <f t="shared" si="34"/>
        <v>#VALUE!</v>
      </c>
      <c r="AX100" s="2620" t="e">
        <f t="shared" si="35"/>
        <v>#VALUE!</v>
      </c>
      <c r="AY100" s="2620" t="e">
        <f t="shared" si="36"/>
        <v>#VALUE!</v>
      </c>
      <c r="AZ100" s="2620"/>
      <c r="BA100" s="2620" t="e">
        <f t="shared" si="37"/>
        <v>#VALUE!</v>
      </c>
      <c r="BB100" s="2620" t="e">
        <f t="shared" si="38"/>
        <v>#VALUE!</v>
      </c>
      <c r="BC100" s="2620" t="e">
        <f t="shared" si="39"/>
        <v>#VALUE!</v>
      </c>
    </row>
    <row r="101" spans="1:55" s="2459" customFormat="1" ht="19.5" customHeight="1">
      <c r="A101" s="1706">
        <f t="shared" si="25"/>
        <v>0</v>
      </c>
      <c r="B101" s="6301" t="str">
        <f t="shared" si="20"/>
        <v/>
      </c>
      <c r="C101" s="6302"/>
      <c r="D101" s="6302"/>
      <c r="E101" s="6302"/>
      <c r="F101" s="6302"/>
      <c r="G101" s="6302"/>
      <c r="H101" s="6302"/>
      <c r="I101" s="6303"/>
      <c r="J101" s="6304" t="str">
        <f t="shared" si="21"/>
        <v/>
      </c>
      <c r="K101" s="6305"/>
      <c r="L101" s="6305"/>
      <c r="M101" s="6304" t="str">
        <f t="shared" si="22"/>
        <v/>
      </c>
      <c r="N101" s="6305"/>
      <c r="O101" s="6305"/>
      <c r="P101" s="6306"/>
      <c r="Q101" s="4641" t="str">
        <f t="shared" si="23"/>
        <v/>
      </c>
      <c r="R101" s="6307"/>
      <c r="S101" s="6307"/>
      <c r="T101" s="6308"/>
      <c r="U101" s="4641" t="str">
        <f t="shared" si="24"/>
        <v/>
      </c>
      <c r="V101" s="6307"/>
      <c r="W101" s="6307"/>
      <c r="X101" s="6308"/>
      <c r="Y101" s="6300" t="str">
        <f t="shared" si="26"/>
        <v/>
      </c>
      <c r="Z101" s="4756"/>
      <c r="AA101" s="6300" t="str">
        <f t="shared" si="27"/>
        <v/>
      </c>
      <c r="AB101" s="4756"/>
      <c r="AC101" s="6309" t="str">
        <f t="shared" si="28"/>
        <v/>
      </c>
      <c r="AD101" s="6310"/>
      <c r="AE101" s="6310"/>
      <c r="AF101" s="6310"/>
      <c r="AG101" s="2631">
        <f t="shared" si="29"/>
        <v>0</v>
      </c>
      <c r="AH101" s="1644"/>
      <c r="AI101" s="1644" t="e">
        <f t="shared" si="30"/>
        <v>#VALUE!</v>
      </c>
      <c r="AJ101" s="2467"/>
      <c r="AK101" s="2471"/>
      <c r="AL101" s="2471"/>
      <c r="AM101" s="2469"/>
      <c r="AN101" s="2469"/>
      <c r="AO101" s="2470"/>
      <c r="AP101" s="2469"/>
      <c r="AQ101" s="2468"/>
      <c r="AS101" s="2620" t="e">
        <f t="shared" si="31"/>
        <v>#VALUE!</v>
      </c>
      <c r="AT101" s="2620" t="e">
        <f t="shared" si="32"/>
        <v>#VALUE!</v>
      </c>
      <c r="AU101" s="2620" t="e">
        <f t="shared" si="33"/>
        <v>#VALUE!</v>
      </c>
      <c r="AV101" s="2620"/>
      <c r="AW101" s="2620" t="e">
        <f t="shared" si="34"/>
        <v>#VALUE!</v>
      </c>
      <c r="AX101" s="2620" t="e">
        <f t="shared" si="35"/>
        <v>#VALUE!</v>
      </c>
      <c r="AY101" s="2620" t="e">
        <f t="shared" si="36"/>
        <v>#VALUE!</v>
      </c>
      <c r="AZ101" s="2620"/>
      <c r="BA101" s="2620" t="e">
        <f t="shared" si="37"/>
        <v>#VALUE!</v>
      </c>
      <c r="BB101" s="2620" t="e">
        <f t="shared" si="38"/>
        <v>#VALUE!</v>
      </c>
      <c r="BC101" s="2620" t="e">
        <f t="shared" si="39"/>
        <v>#VALUE!</v>
      </c>
    </row>
    <row r="102" spans="1:55" s="2459" customFormat="1" ht="19.5" customHeight="1">
      <c r="A102" s="1706">
        <f t="shared" si="25"/>
        <v>0</v>
      </c>
      <c r="B102" s="6301" t="str">
        <f t="shared" si="20"/>
        <v/>
      </c>
      <c r="C102" s="6302"/>
      <c r="D102" s="6302"/>
      <c r="E102" s="6302"/>
      <c r="F102" s="6302"/>
      <c r="G102" s="6302"/>
      <c r="H102" s="6302"/>
      <c r="I102" s="6303"/>
      <c r="J102" s="6304" t="str">
        <f t="shared" si="21"/>
        <v/>
      </c>
      <c r="K102" s="6305"/>
      <c r="L102" s="6305"/>
      <c r="M102" s="6304" t="str">
        <f t="shared" si="22"/>
        <v/>
      </c>
      <c r="N102" s="6305"/>
      <c r="O102" s="6305"/>
      <c r="P102" s="6306"/>
      <c r="Q102" s="4641" t="str">
        <f t="shared" si="23"/>
        <v/>
      </c>
      <c r="R102" s="6307"/>
      <c r="S102" s="6307"/>
      <c r="T102" s="6308"/>
      <c r="U102" s="4641" t="str">
        <f t="shared" si="24"/>
        <v/>
      </c>
      <c r="V102" s="6307"/>
      <c r="W102" s="6307"/>
      <c r="X102" s="6308"/>
      <c r="Y102" s="6300" t="str">
        <f t="shared" si="26"/>
        <v/>
      </c>
      <c r="Z102" s="4756"/>
      <c r="AA102" s="6300" t="str">
        <f t="shared" si="27"/>
        <v/>
      </c>
      <c r="AB102" s="4756"/>
      <c r="AC102" s="6309" t="str">
        <f t="shared" si="28"/>
        <v/>
      </c>
      <c r="AD102" s="6310"/>
      <c r="AE102" s="6310"/>
      <c r="AF102" s="6310"/>
      <c r="AG102" s="2631">
        <f t="shared" si="29"/>
        <v>0</v>
      </c>
      <c r="AH102" s="1644"/>
      <c r="AI102" s="1644" t="e">
        <f t="shared" si="30"/>
        <v>#VALUE!</v>
      </c>
      <c r="AJ102" s="2467"/>
      <c r="AK102" s="2471"/>
      <c r="AL102" s="2471"/>
      <c r="AM102" s="2469"/>
      <c r="AN102" s="2469"/>
      <c r="AO102" s="2470"/>
      <c r="AP102" s="2469"/>
      <c r="AQ102" s="2468"/>
      <c r="AS102" s="2620" t="e">
        <f t="shared" si="31"/>
        <v>#VALUE!</v>
      </c>
      <c r="AT102" s="2620" t="e">
        <f t="shared" si="32"/>
        <v>#VALUE!</v>
      </c>
      <c r="AU102" s="2620" t="e">
        <f t="shared" si="33"/>
        <v>#VALUE!</v>
      </c>
      <c r="AV102" s="2620"/>
      <c r="AW102" s="2620" t="e">
        <f t="shared" si="34"/>
        <v>#VALUE!</v>
      </c>
      <c r="AX102" s="2620" t="e">
        <f t="shared" si="35"/>
        <v>#VALUE!</v>
      </c>
      <c r="AY102" s="2620" t="e">
        <f t="shared" si="36"/>
        <v>#VALUE!</v>
      </c>
      <c r="AZ102" s="2620"/>
      <c r="BA102" s="2620" t="e">
        <f t="shared" si="37"/>
        <v>#VALUE!</v>
      </c>
      <c r="BB102" s="2620" t="e">
        <f t="shared" si="38"/>
        <v>#VALUE!</v>
      </c>
      <c r="BC102" s="2620" t="e">
        <f t="shared" si="39"/>
        <v>#VALUE!</v>
      </c>
    </row>
    <row r="103" spans="1:55" s="2459" customFormat="1" ht="19.5" customHeight="1">
      <c r="A103" s="1706">
        <f t="shared" si="25"/>
        <v>0</v>
      </c>
      <c r="B103" s="6301" t="str">
        <f t="shared" si="20"/>
        <v/>
      </c>
      <c r="C103" s="6302"/>
      <c r="D103" s="6302"/>
      <c r="E103" s="6302"/>
      <c r="F103" s="6302"/>
      <c r="G103" s="6302"/>
      <c r="H103" s="6302"/>
      <c r="I103" s="6303"/>
      <c r="J103" s="6304" t="str">
        <f t="shared" si="21"/>
        <v/>
      </c>
      <c r="K103" s="6305"/>
      <c r="L103" s="6305"/>
      <c r="M103" s="6304" t="str">
        <f t="shared" si="22"/>
        <v/>
      </c>
      <c r="N103" s="6305"/>
      <c r="O103" s="6305"/>
      <c r="P103" s="6306"/>
      <c r="Q103" s="4641" t="str">
        <f t="shared" si="23"/>
        <v/>
      </c>
      <c r="R103" s="6307"/>
      <c r="S103" s="6307"/>
      <c r="T103" s="6308"/>
      <c r="U103" s="4641" t="str">
        <f t="shared" si="24"/>
        <v/>
      </c>
      <c r="V103" s="6307"/>
      <c r="W103" s="6307"/>
      <c r="X103" s="6308"/>
      <c r="Y103" s="6300" t="str">
        <f t="shared" si="26"/>
        <v/>
      </c>
      <c r="Z103" s="4756"/>
      <c r="AA103" s="6300" t="str">
        <f t="shared" si="27"/>
        <v/>
      </c>
      <c r="AB103" s="4756"/>
      <c r="AC103" s="6309" t="str">
        <f t="shared" si="28"/>
        <v/>
      </c>
      <c r="AD103" s="6310"/>
      <c r="AE103" s="6310"/>
      <c r="AF103" s="6310"/>
      <c r="AG103" s="2631">
        <f t="shared" si="29"/>
        <v>0</v>
      </c>
      <c r="AH103" s="1644"/>
      <c r="AI103" s="1644" t="e">
        <f t="shared" si="30"/>
        <v>#VALUE!</v>
      </c>
      <c r="AJ103" s="2467"/>
      <c r="AK103" s="2471"/>
      <c r="AL103" s="2471"/>
      <c r="AM103" s="2469"/>
      <c r="AN103" s="2469"/>
      <c r="AO103" s="2470"/>
      <c r="AP103" s="2469"/>
      <c r="AQ103" s="2468"/>
      <c r="AS103" s="2620" t="e">
        <f t="shared" si="31"/>
        <v>#VALUE!</v>
      </c>
      <c r="AT103" s="2620" t="e">
        <f t="shared" si="32"/>
        <v>#VALUE!</v>
      </c>
      <c r="AU103" s="2620" t="e">
        <f t="shared" si="33"/>
        <v>#VALUE!</v>
      </c>
      <c r="AV103" s="2620"/>
      <c r="AW103" s="2620" t="e">
        <f t="shared" si="34"/>
        <v>#VALUE!</v>
      </c>
      <c r="AX103" s="2620" t="e">
        <f t="shared" si="35"/>
        <v>#VALUE!</v>
      </c>
      <c r="AY103" s="2620" t="e">
        <f t="shared" si="36"/>
        <v>#VALUE!</v>
      </c>
      <c r="AZ103" s="2620"/>
      <c r="BA103" s="2620" t="e">
        <f t="shared" si="37"/>
        <v>#VALUE!</v>
      </c>
      <c r="BB103" s="2620" t="e">
        <f t="shared" si="38"/>
        <v>#VALUE!</v>
      </c>
      <c r="BC103" s="2620" t="e">
        <f t="shared" si="39"/>
        <v>#VALUE!</v>
      </c>
    </row>
    <row r="104" spans="1:55" s="2459" customFormat="1" ht="19.5" customHeight="1">
      <c r="A104" s="1706">
        <f t="shared" si="25"/>
        <v>0</v>
      </c>
      <c r="B104" s="6301" t="str">
        <f t="shared" si="20"/>
        <v/>
      </c>
      <c r="C104" s="6302"/>
      <c r="D104" s="6302"/>
      <c r="E104" s="6302"/>
      <c r="F104" s="6302"/>
      <c r="G104" s="6302"/>
      <c r="H104" s="6302"/>
      <c r="I104" s="6303"/>
      <c r="J104" s="6304" t="str">
        <f t="shared" si="21"/>
        <v/>
      </c>
      <c r="K104" s="6305"/>
      <c r="L104" s="6305"/>
      <c r="M104" s="6304" t="str">
        <f t="shared" si="22"/>
        <v/>
      </c>
      <c r="N104" s="6305"/>
      <c r="O104" s="6305"/>
      <c r="P104" s="6306"/>
      <c r="Q104" s="4641" t="str">
        <f t="shared" si="23"/>
        <v/>
      </c>
      <c r="R104" s="6307"/>
      <c r="S104" s="6307"/>
      <c r="T104" s="6308"/>
      <c r="U104" s="4641" t="str">
        <f t="shared" si="24"/>
        <v/>
      </c>
      <c r="V104" s="6307"/>
      <c r="W104" s="6307"/>
      <c r="X104" s="6308"/>
      <c r="Y104" s="6300" t="str">
        <f t="shared" si="26"/>
        <v/>
      </c>
      <c r="Z104" s="4756"/>
      <c r="AA104" s="6300" t="str">
        <f t="shared" si="27"/>
        <v/>
      </c>
      <c r="AB104" s="4756"/>
      <c r="AC104" s="6309" t="str">
        <f t="shared" si="28"/>
        <v/>
      </c>
      <c r="AD104" s="6310"/>
      <c r="AE104" s="6310"/>
      <c r="AF104" s="6310"/>
      <c r="AG104" s="2631">
        <f t="shared" si="29"/>
        <v>0</v>
      </c>
      <c r="AH104" s="1644"/>
      <c r="AI104" s="1644" t="e">
        <f t="shared" si="30"/>
        <v>#VALUE!</v>
      </c>
      <c r="AJ104" s="2467"/>
      <c r="AK104" s="2471"/>
      <c r="AL104" s="2471"/>
      <c r="AM104" s="2469"/>
      <c r="AN104" s="2469"/>
      <c r="AO104" s="2470"/>
      <c r="AP104" s="2469"/>
      <c r="AQ104" s="2468"/>
      <c r="AS104" s="2620" t="e">
        <f t="shared" si="31"/>
        <v>#VALUE!</v>
      </c>
      <c r="AT104" s="2620" t="e">
        <f t="shared" si="32"/>
        <v>#VALUE!</v>
      </c>
      <c r="AU104" s="2620" t="e">
        <f t="shared" si="33"/>
        <v>#VALUE!</v>
      </c>
      <c r="AV104" s="2620"/>
      <c r="AW104" s="2620" t="e">
        <f t="shared" si="34"/>
        <v>#VALUE!</v>
      </c>
      <c r="AX104" s="2620" t="e">
        <f t="shared" si="35"/>
        <v>#VALUE!</v>
      </c>
      <c r="AY104" s="2620" t="e">
        <f t="shared" si="36"/>
        <v>#VALUE!</v>
      </c>
      <c r="AZ104" s="2620"/>
      <c r="BA104" s="2620" t="e">
        <f t="shared" si="37"/>
        <v>#VALUE!</v>
      </c>
      <c r="BB104" s="2620" t="e">
        <f t="shared" si="38"/>
        <v>#VALUE!</v>
      </c>
      <c r="BC104" s="2620" t="e">
        <f t="shared" si="39"/>
        <v>#VALUE!</v>
      </c>
    </row>
    <row r="105" spans="1:55" s="2459" customFormat="1" ht="19.5" customHeight="1">
      <c r="A105" s="1706">
        <f t="shared" si="25"/>
        <v>0</v>
      </c>
      <c r="B105" s="6301" t="str">
        <f t="shared" si="20"/>
        <v/>
      </c>
      <c r="C105" s="6302"/>
      <c r="D105" s="6302"/>
      <c r="E105" s="6302"/>
      <c r="F105" s="6302"/>
      <c r="G105" s="6302"/>
      <c r="H105" s="6302"/>
      <c r="I105" s="6303"/>
      <c r="J105" s="6304" t="str">
        <f t="shared" si="21"/>
        <v/>
      </c>
      <c r="K105" s="6305"/>
      <c r="L105" s="6305"/>
      <c r="M105" s="6304" t="str">
        <f t="shared" si="22"/>
        <v/>
      </c>
      <c r="N105" s="6305"/>
      <c r="O105" s="6305"/>
      <c r="P105" s="6306"/>
      <c r="Q105" s="4641" t="str">
        <f t="shared" si="23"/>
        <v/>
      </c>
      <c r="R105" s="6307"/>
      <c r="S105" s="6307"/>
      <c r="T105" s="6308"/>
      <c r="U105" s="4641" t="str">
        <f t="shared" si="24"/>
        <v/>
      </c>
      <c r="V105" s="6307"/>
      <c r="W105" s="6307"/>
      <c r="X105" s="6308"/>
      <c r="Y105" s="6300" t="str">
        <f t="shared" si="26"/>
        <v/>
      </c>
      <c r="Z105" s="4756"/>
      <c r="AA105" s="6300" t="str">
        <f t="shared" si="27"/>
        <v/>
      </c>
      <c r="AB105" s="4756"/>
      <c r="AC105" s="6309" t="str">
        <f t="shared" si="28"/>
        <v/>
      </c>
      <c r="AD105" s="6310"/>
      <c r="AE105" s="6310"/>
      <c r="AF105" s="6310"/>
      <c r="AG105" s="2631">
        <f t="shared" si="29"/>
        <v>0</v>
      </c>
      <c r="AH105" s="1644"/>
      <c r="AI105" s="1644" t="e">
        <f t="shared" si="30"/>
        <v>#VALUE!</v>
      </c>
      <c r="AJ105" s="2467"/>
      <c r="AK105" s="2471"/>
      <c r="AL105" s="2471"/>
      <c r="AM105" s="2469"/>
      <c r="AN105" s="2469"/>
      <c r="AO105" s="2470"/>
      <c r="AP105" s="2469"/>
      <c r="AQ105" s="2468"/>
      <c r="AS105" s="2620" t="e">
        <f t="shared" si="31"/>
        <v>#VALUE!</v>
      </c>
      <c r="AT105" s="2620" t="e">
        <f t="shared" si="32"/>
        <v>#VALUE!</v>
      </c>
      <c r="AU105" s="2620" t="e">
        <f t="shared" si="33"/>
        <v>#VALUE!</v>
      </c>
      <c r="AV105" s="2620"/>
      <c r="AW105" s="2620" t="e">
        <f t="shared" si="34"/>
        <v>#VALUE!</v>
      </c>
      <c r="AX105" s="2620" t="e">
        <f t="shared" si="35"/>
        <v>#VALUE!</v>
      </c>
      <c r="AY105" s="2620" t="e">
        <f t="shared" si="36"/>
        <v>#VALUE!</v>
      </c>
      <c r="AZ105" s="2620"/>
      <c r="BA105" s="2620" t="e">
        <f t="shared" si="37"/>
        <v>#VALUE!</v>
      </c>
      <c r="BB105" s="2620" t="e">
        <f t="shared" si="38"/>
        <v>#VALUE!</v>
      </c>
      <c r="BC105" s="2620" t="e">
        <f t="shared" si="39"/>
        <v>#VALUE!</v>
      </c>
    </row>
    <row r="106" spans="1:55" s="2459" customFormat="1" ht="19.5" customHeight="1">
      <c r="A106" s="1706">
        <f t="shared" si="25"/>
        <v>0</v>
      </c>
      <c r="B106" s="6301" t="str">
        <f t="shared" si="20"/>
        <v/>
      </c>
      <c r="C106" s="6302"/>
      <c r="D106" s="6302"/>
      <c r="E106" s="6302"/>
      <c r="F106" s="6302"/>
      <c r="G106" s="6302"/>
      <c r="H106" s="6302"/>
      <c r="I106" s="6303"/>
      <c r="J106" s="6304" t="str">
        <f t="shared" si="21"/>
        <v/>
      </c>
      <c r="K106" s="6305"/>
      <c r="L106" s="6305"/>
      <c r="M106" s="6304" t="str">
        <f t="shared" si="22"/>
        <v/>
      </c>
      <c r="N106" s="6305"/>
      <c r="O106" s="6305"/>
      <c r="P106" s="6306"/>
      <c r="Q106" s="4641" t="str">
        <f t="shared" si="23"/>
        <v/>
      </c>
      <c r="R106" s="6307"/>
      <c r="S106" s="6307"/>
      <c r="T106" s="6308"/>
      <c r="U106" s="4641" t="str">
        <f t="shared" si="24"/>
        <v/>
      </c>
      <c r="V106" s="6307"/>
      <c r="W106" s="6307"/>
      <c r="X106" s="6308"/>
      <c r="Y106" s="6300" t="str">
        <f t="shared" si="26"/>
        <v/>
      </c>
      <c r="Z106" s="4756"/>
      <c r="AA106" s="6300" t="str">
        <f t="shared" si="27"/>
        <v/>
      </c>
      <c r="AB106" s="4756"/>
      <c r="AC106" s="6309" t="str">
        <f t="shared" si="28"/>
        <v/>
      </c>
      <c r="AD106" s="6310"/>
      <c r="AE106" s="6310"/>
      <c r="AF106" s="6310"/>
      <c r="AG106" s="2631">
        <f t="shared" si="29"/>
        <v>0</v>
      </c>
      <c r="AH106" s="1644"/>
      <c r="AI106" s="1644" t="e">
        <f t="shared" si="30"/>
        <v>#VALUE!</v>
      </c>
      <c r="AJ106" s="2467"/>
      <c r="AK106" s="2471"/>
      <c r="AL106" s="2471"/>
      <c r="AM106" s="2469"/>
      <c r="AN106" s="2469"/>
      <c r="AO106" s="2470"/>
      <c r="AP106" s="2469"/>
      <c r="AQ106" s="2468"/>
      <c r="AS106" s="2620" t="e">
        <f t="shared" si="31"/>
        <v>#VALUE!</v>
      </c>
      <c r="AT106" s="2620" t="e">
        <f t="shared" si="32"/>
        <v>#VALUE!</v>
      </c>
      <c r="AU106" s="2620" t="e">
        <f t="shared" si="33"/>
        <v>#VALUE!</v>
      </c>
      <c r="AV106" s="2620"/>
      <c r="AW106" s="2620" t="e">
        <f t="shared" si="34"/>
        <v>#VALUE!</v>
      </c>
      <c r="AX106" s="2620" t="e">
        <f t="shared" si="35"/>
        <v>#VALUE!</v>
      </c>
      <c r="AY106" s="2620" t="e">
        <f t="shared" si="36"/>
        <v>#VALUE!</v>
      </c>
      <c r="AZ106" s="2620"/>
      <c r="BA106" s="2620" t="e">
        <f t="shared" si="37"/>
        <v>#VALUE!</v>
      </c>
      <c r="BB106" s="2620" t="e">
        <f t="shared" si="38"/>
        <v>#VALUE!</v>
      </c>
      <c r="BC106" s="2620" t="e">
        <f t="shared" si="39"/>
        <v>#VALUE!</v>
      </c>
    </row>
    <row r="107" spans="1:55" s="2459" customFormat="1" ht="19.5" customHeight="1">
      <c r="A107" s="1706">
        <f t="shared" si="25"/>
        <v>0</v>
      </c>
      <c r="B107" s="6301" t="str">
        <f t="shared" si="20"/>
        <v/>
      </c>
      <c r="C107" s="6302"/>
      <c r="D107" s="6302"/>
      <c r="E107" s="6302"/>
      <c r="F107" s="6302"/>
      <c r="G107" s="6302"/>
      <c r="H107" s="6302"/>
      <c r="I107" s="6303"/>
      <c r="J107" s="6304" t="str">
        <f t="shared" si="21"/>
        <v/>
      </c>
      <c r="K107" s="6305"/>
      <c r="L107" s="6305"/>
      <c r="M107" s="6304" t="str">
        <f t="shared" si="22"/>
        <v/>
      </c>
      <c r="N107" s="6305"/>
      <c r="O107" s="6305"/>
      <c r="P107" s="6306"/>
      <c r="Q107" s="4641" t="str">
        <f t="shared" si="23"/>
        <v/>
      </c>
      <c r="R107" s="6307"/>
      <c r="S107" s="6307"/>
      <c r="T107" s="6308"/>
      <c r="U107" s="4641" t="str">
        <f t="shared" si="24"/>
        <v/>
      </c>
      <c r="V107" s="6307"/>
      <c r="W107" s="6307"/>
      <c r="X107" s="6308"/>
      <c r="Y107" s="6300" t="str">
        <f t="shared" si="26"/>
        <v/>
      </c>
      <c r="Z107" s="4756"/>
      <c r="AA107" s="6300" t="str">
        <f t="shared" si="27"/>
        <v/>
      </c>
      <c r="AB107" s="4756"/>
      <c r="AC107" s="6309" t="str">
        <f t="shared" si="28"/>
        <v/>
      </c>
      <c r="AD107" s="6310"/>
      <c r="AE107" s="6310"/>
      <c r="AF107" s="6310"/>
      <c r="AG107" s="2631">
        <f t="shared" si="29"/>
        <v>0</v>
      </c>
      <c r="AH107" s="1644"/>
      <c r="AI107" s="1644" t="e">
        <f t="shared" si="30"/>
        <v>#VALUE!</v>
      </c>
      <c r="AJ107" s="2467"/>
      <c r="AK107" s="2471"/>
      <c r="AL107" s="2471"/>
      <c r="AM107" s="2469"/>
      <c r="AN107" s="2469"/>
      <c r="AO107" s="2470"/>
      <c r="AP107" s="2469"/>
      <c r="AQ107" s="2468"/>
      <c r="AS107" s="2620" t="e">
        <f t="shared" si="31"/>
        <v>#VALUE!</v>
      </c>
      <c r="AT107" s="2620" t="e">
        <f t="shared" si="32"/>
        <v>#VALUE!</v>
      </c>
      <c r="AU107" s="2620" t="e">
        <f t="shared" si="33"/>
        <v>#VALUE!</v>
      </c>
      <c r="AV107" s="2620"/>
      <c r="AW107" s="2620" t="e">
        <f t="shared" si="34"/>
        <v>#VALUE!</v>
      </c>
      <c r="AX107" s="2620" t="e">
        <f t="shared" si="35"/>
        <v>#VALUE!</v>
      </c>
      <c r="AY107" s="2620" t="e">
        <f t="shared" si="36"/>
        <v>#VALUE!</v>
      </c>
      <c r="AZ107" s="2620"/>
      <c r="BA107" s="2620" t="e">
        <f t="shared" si="37"/>
        <v>#VALUE!</v>
      </c>
      <c r="BB107" s="2620" t="e">
        <f t="shared" si="38"/>
        <v>#VALUE!</v>
      </c>
      <c r="BC107" s="2620" t="e">
        <f t="shared" si="39"/>
        <v>#VALUE!</v>
      </c>
    </row>
    <row r="108" spans="1:55" s="2459" customFormat="1" ht="19.5" customHeight="1">
      <c r="A108" s="1706">
        <f t="shared" si="25"/>
        <v>0</v>
      </c>
      <c r="B108" s="6301" t="str">
        <f t="shared" si="20"/>
        <v/>
      </c>
      <c r="C108" s="6302"/>
      <c r="D108" s="6302"/>
      <c r="E108" s="6302"/>
      <c r="F108" s="6302"/>
      <c r="G108" s="6302"/>
      <c r="H108" s="6302"/>
      <c r="I108" s="6303"/>
      <c r="J108" s="6304" t="str">
        <f t="shared" si="21"/>
        <v/>
      </c>
      <c r="K108" s="6305"/>
      <c r="L108" s="6305"/>
      <c r="M108" s="6304" t="str">
        <f t="shared" si="22"/>
        <v/>
      </c>
      <c r="N108" s="6305"/>
      <c r="O108" s="6305"/>
      <c r="P108" s="6306"/>
      <c r="Q108" s="4641" t="str">
        <f t="shared" si="23"/>
        <v/>
      </c>
      <c r="R108" s="6307"/>
      <c r="S108" s="6307"/>
      <c r="T108" s="6308"/>
      <c r="U108" s="4641" t="str">
        <f t="shared" si="24"/>
        <v/>
      </c>
      <c r="V108" s="6307"/>
      <c r="W108" s="6307"/>
      <c r="X108" s="6308"/>
      <c r="Y108" s="6300" t="str">
        <f t="shared" si="26"/>
        <v/>
      </c>
      <c r="Z108" s="4756"/>
      <c r="AA108" s="6300" t="str">
        <f t="shared" si="27"/>
        <v/>
      </c>
      <c r="AB108" s="4756"/>
      <c r="AC108" s="6309" t="str">
        <f t="shared" si="28"/>
        <v/>
      </c>
      <c r="AD108" s="6310"/>
      <c r="AE108" s="6310"/>
      <c r="AF108" s="6310"/>
      <c r="AG108" s="2631">
        <f t="shared" si="29"/>
        <v>0</v>
      </c>
      <c r="AH108" s="1644"/>
      <c r="AI108" s="1644" t="e">
        <f t="shared" si="30"/>
        <v>#VALUE!</v>
      </c>
      <c r="AJ108" s="2467"/>
      <c r="AK108" s="2471"/>
      <c r="AL108" s="2471"/>
      <c r="AM108" s="2469"/>
      <c r="AN108" s="2469"/>
      <c r="AO108" s="2470"/>
      <c r="AP108" s="2469"/>
      <c r="AQ108" s="2468"/>
      <c r="AS108" s="2620" t="e">
        <f t="shared" si="31"/>
        <v>#VALUE!</v>
      </c>
      <c r="AT108" s="2620" t="e">
        <f t="shared" si="32"/>
        <v>#VALUE!</v>
      </c>
      <c r="AU108" s="2620" t="e">
        <f t="shared" si="33"/>
        <v>#VALUE!</v>
      </c>
      <c r="AV108" s="2620"/>
      <c r="AW108" s="2620" t="e">
        <f t="shared" si="34"/>
        <v>#VALUE!</v>
      </c>
      <c r="AX108" s="2620" t="e">
        <f t="shared" si="35"/>
        <v>#VALUE!</v>
      </c>
      <c r="AY108" s="2620" t="e">
        <f t="shared" si="36"/>
        <v>#VALUE!</v>
      </c>
      <c r="AZ108" s="2620"/>
      <c r="BA108" s="2620" t="e">
        <f t="shared" si="37"/>
        <v>#VALUE!</v>
      </c>
      <c r="BB108" s="2620" t="e">
        <f t="shared" si="38"/>
        <v>#VALUE!</v>
      </c>
      <c r="BC108" s="2620" t="e">
        <f t="shared" si="39"/>
        <v>#VALUE!</v>
      </c>
    </row>
    <row r="109" spans="1:55" s="2459" customFormat="1" ht="19.5" customHeight="1">
      <c r="A109" s="1706">
        <f t="shared" si="25"/>
        <v>0</v>
      </c>
      <c r="B109" s="6301" t="str">
        <f t="shared" si="20"/>
        <v/>
      </c>
      <c r="C109" s="6302"/>
      <c r="D109" s="6302"/>
      <c r="E109" s="6302"/>
      <c r="F109" s="6302"/>
      <c r="G109" s="6302"/>
      <c r="H109" s="6302"/>
      <c r="I109" s="6303"/>
      <c r="J109" s="6304" t="str">
        <f t="shared" si="21"/>
        <v/>
      </c>
      <c r="K109" s="6305"/>
      <c r="L109" s="6305"/>
      <c r="M109" s="6304" t="str">
        <f t="shared" si="22"/>
        <v/>
      </c>
      <c r="N109" s="6305"/>
      <c r="O109" s="6305"/>
      <c r="P109" s="6306"/>
      <c r="Q109" s="4641" t="str">
        <f t="shared" si="23"/>
        <v/>
      </c>
      <c r="R109" s="6307"/>
      <c r="S109" s="6307"/>
      <c r="T109" s="6308"/>
      <c r="U109" s="4641" t="str">
        <f t="shared" si="24"/>
        <v/>
      </c>
      <c r="V109" s="6307"/>
      <c r="W109" s="6307"/>
      <c r="X109" s="6308"/>
      <c r="Y109" s="6300" t="str">
        <f t="shared" si="26"/>
        <v/>
      </c>
      <c r="Z109" s="4756"/>
      <c r="AA109" s="6300" t="str">
        <f t="shared" si="27"/>
        <v/>
      </c>
      <c r="AB109" s="4756"/>
      <c r="AC109" s="6309" t="str">
        <f t="shared" si="28"/>
        <v/>
      </c>
      <c r="AD109" s="6310"/>
      <c r="AE109" s="6310"/>
      <c r="AF109" s="6310"/>
      <c r="AG109" s="2631">
        <f t="shared" si="29"/>
        <v>0</v>
      </c>
      <c r="AH109" s="1644"/>
      <c r="AI109" s="1644" t="e">
        <f t="shared" si="30"/>
        <v>#VALUE!</v>
      </c>
      <c r="AJ109" s="2467"/>
      <c r="AK109" s="2471"/>
      <c r="AL109" s="2471"/>
      <c r="AM109" s="2469"/>
      <c r="AN109" s="2469"/>
      <c r="AO109" s="2470"/>
      <c r="AP109" s="2469"/>
      <c r="AQ109" s="2468"/>
      <c r="AS109" s="2620" t="e">
        <f t="shared" si="31"/>
        <v>#VALUE!</v>
      </c>
      <c r="AT109" s="2620" t="e">
        <f t="shared" si="32"/>
        <v>#VALUE!</v>
      </c>
      <c r="AU109" s="2620" t="e">
        <f t="shared" si="33"/>
        <v>#VALUE!</v>
      </c>
      <c r="AV109" s="2620"/>
      <c r="AW109" s="2620" t="e">
        <f t="shared" si="34"/>
        <v>#VALUE!</v>
      </c>
      <c r="AX109" s="2620" t="e">
        <f t="shared" si="35"/>
        <v>#VALUE!</v>
      </c>
      <c r="AY109" s="2620" t="e">
        <f t="shared" si="36"/>
        <v>#VALUE!</v>
      </c>
      <c r="AZ109" s="2620"/>
      <c r="BA109" s="2620" t="e">
        <f t="shared" si="37"/>
        <v>#VALUE!</v>
      </c>
      <c r="BB109" s="2620" t="e">
        <f t="shared" si="38"/>
        <v>#VALUE!</v>
      </c>
      <c r="BC109" s="2620" t="e">
        <f t="shared" si="39"/>
        <v>#VALUE!</v>
      </c>
    </row>
    <row r="110" spans="1:55" s="2459" customFormat="1" ht="19.5" customHeight="1">
      <c r="A110" s="1706">
        <f t="shared" si="25"/>
        <v>0</v>
      </c>
      <c r="B110" s="6301" t="str">
        <f t="shared" si="20"/>
        <v/>
      </c>
      <c r="C110" s="6302"/>
      <c r="D110" s="6302"/>
      <c r="E110" s="6302"/>
      <c r="F110" s="6302"/>
      <c r="G110" s="6302"/>
      <c r="H110" s="6302"/>
      <c r="I110" s="6303"/>
      <c r="J110" s="6304" t="str">
        <f t="shared" si="21"/>
        <v/>
      </c>
      <c r="K110" s="6305"/>
      <c r="L110" s="6305"/>
      <c r="M110" s="6304" t="str">
        <f t="shared" si="22"/>
        <v/>
      </c>
      <c r="N110" s="6305"/>
      <c r="O110" s="6305"/>
      <c r="P110" s="6306"/>
      <c r="Q110" s="4641" t="str">
        <f t="shared" si="23"/>
        <v/>
      </c>
      <c r="R110" s="6307"/>
      <c r="S110" s="6307"/>
      <c r="T110" s="6308"/>
      <c r="U110" s="4641" t="str">
        <f t="shared" si="24"/>
        <v/>
      </c>
      <c r="V110" s="6307"/>
      <c r="W110" s="6307"/>
      <c r="X110" s="6308"/>
      <c r="Y110" s="6300" t="str">
        <f t="shared" si="26"/>
        <v/>
      </c>
      <c r="Z110" s="4756"/>
      <c r="AA110" s="6300" t="str">
        <f t="shared" si="27"/>
        <v/>
      </c>
      <c r="AB110" s="4756"/>
      <c r="AC110" s="6309" t="str">
        <f t="shared" si="28"/>
        <v/>
      </c>
      <c r="AD110" s="6310"/>
      <c r="AE110" s="6310"/>
      <c r="AF110" s="6310"/>
      <c r="AG110" s="2631">
        <f t="shared" si="29"/>
        <v>0</v>
      </c>
      <c r="AH110" s="1644"/>
      <c r="AI110" s="1644" t="e">
        <f t="shared" si="30"/>
        <v>#VALUE!</v>
      </c>
      <c r="AJ110" s="2467"/>
      <c r="AK110" s="2471"/>
      <c r="AL110" s="2471"/>
      <c r="AM110" s="2469"/>
      <c r="AN110" s="2469"/>
      <c r="AO110" s="2470"/>
      <c r="AP110" s="2469"/>
      <c r="AQ110" s="2468"/>
      <c r="AS110" s="2620" t="e">
        <f t="shared" si="31"/>
        <v>#VALUE!</v>
      </c>
      <c r="AT110" s="2620" t="e">
        <f t="shared" si="32"/>
        <v>#VALUE!</v>
      </c>
      <c r="AU110" s="2620" t="e">
        <f t="shared" si="33"/>
        <v>#VALUE!</v>
      </c>
      <c r="AV110" s="2620"/>
      <c r="AW110" s="2620" t="e">
        <f t="shared" si="34"/>
        <v>#VALUE!</v>
      </c>
      <c r="AX110" s="2620" t="e">
        <f t="shared" si="35"/>
        <v>#VALUE!</v>
      </c>
      <c r="AY110" s="2620" t="e">
        <f t="shared" si="36"/>
        <v>#VALUE!</v>
      </c>
      <c r="AZ110" s="2620"/>
      <c r="BA110" s="2620" t="e">
        <f t="shared" si="37"/>
        <v>#VALUE!</v>
      </c>
      <c r="BB110" s="2620" t="e">
        <f t="shared" si="38"/>
        <v>#VALUE!</v>
      </c>
      <c r="BC110" s="2620" t="e">
        <f t="shared" si="39"/>
        <v>#VALUE!</v>
      </c>
    </row>
    <row r="111" spans="1:55" s="2459" customFormat="1" ht="19.5" customHeight="1">
      <c r="A111" s="1706">
        <f t="shared" si="25"/>
        <v>0</v>
      </c>
      <c r="B111" s="6301" t="str">
        <f t="shared" si="20"/>
        <v/>
      </c>
      <c r="C111" s="6302"/>
      <c r="D111" s="6302"/>
      <c r="E111" s="6302"/>
      <c r="F111" s="6302"/>
      <c r="G111" s="6302"/>
      <c r="H111" s="6302"/>
      <c r="I111" s="6303"/>
      <c r="J111" s="6304" t="str">
        <f t="shared" si="21"/>
        <v/>
      </c>
      <c r="K111" s="6305"/>
      <c r="L111" s="6305"/>
      <c r="M111" s="6304" t="str">
        <f t="shared" si="22"/>
        <v/>
      </c>
      <c r="N111" s="6305"/>
      <c r="O111" s="6305"/>
      <c r="P111" s="6306"/>
      <c r="Q111" s="4641" t="str">
        <f t="shared" si="23"/>
        <v/>
      </c>
      <c r="R111" s="6307"/>
      <c r="S111" s="6307"/>
      <c r="T111" s="6308"/>
      <c r="U111" s="4641" t="str">
        <f t="shared" si="24"/>
        <v/>
      </c>
      <c r="V111" s="6307"/>
      <c r="W111" s="6307"/>
      <c r="X111" s="6308"/>
      <c r="Y111" s="6300" t="str">
        <f t="shared" si="26"/>
        <v/>
      </c>
      <c r="Z111" s="4756"/>
      <c r="AA111" s="6300" t="str">
        <f t="shared" si="27"/>
        <v/>
      </c>
      <c r="AB111" s="4756"/>
      <c r="AC111" s="6309" t="str">
        <f t="shared" si="28"/>
        <v/>
      </c>
      <c r="AD111" s="6310"/>
      <c r="AE111" s="6310"/>
      <c r="AF111" s="6310"/>
      <c r="AG111" s="2631">
        <f t="shared" si="29"/>
        <v>0</v>
      </c>
      <c r="AH111" s="1644"/>
      <c r="AI111" s="1644" t="e">
        <f t="shared" si="30"/>
        <v>#VALUE!</v>
      </c>
      <c r="AJ111" s="2467"/>
      <c r="AK111" s="2471"/>
      <c r="AL111" s="2471"/>
      <c r="AM111" s="2469"/>
      <c r="AN111" s="2469"/>
      <c r="AO111" s="2470"/>
      <c r="AP111" s="2469"/>
      <c r="AQ111" s="2468"/>
      <c r="AS111" s="2620" t="e">
        <f t="shared" si="31"/>
        <v>#VALUE!</v>
      </c>
      <c r="AT111" s="2620" t="e">
        <f t="shared" si="32"/>
        <v>#VALUE!</v>
      </c>
      <c r="AU111" s="2620" t="e">
        <f t="shared" si="33"/>
        <v>#VALUE!</v>
      </c>
      <c r="AV111" s="2620"/>
      <c r="AW111" s="2620" t="e">
        <f t="shared" si="34"/>
        <v>#VALUE!</v>
      </c>
      <c r="AX111" s="2620" t="e">
        <f t="shared" si="35"/>
        <v>#VALUE!</v>
      </c>
      <c r="AY111" s="2620" t="e">
        <f t="shared" si="36"/>
        <v>#VALUE!</v>
      </c>
      <c r="AZ111" s="2620"/>
      <c r="BA111" s="2620" t="e">
        <f t="shared" si="37"/>
        <v>#VALUE!</v>
      </c>
      <c r="BB111" s="2620" t="e">
        <f t="shared" si="38"/>
        <v>#VALUE!</v>
      </c>
      <c r="BC111" s="2620" t="e">
        <f t="shared" si="39"/>
        <v>#VALUE!</v>
      </c>
    </row>
    <row r="112" spans="1:55" s="2459" customFormat="1" ht="19.5" customHeight="1">
      <c r="A112" s="1706">
        <f t="shared" si="25"/>
        <v>0</v>
      </c>
      <c r="B112" s="6301" t="str">
        <f t="shared" si="20"/>
        <v/>
      </c>
      <c r="C112" s="6302"/>
      <c r="D112" s="6302"/>
      <c r="E112" s="6302"/>
      <c r="F112" s="6302"/>
      <c r="G112" s="6302"/>
      <c r="H112" s="6302"/>
      <c r="I112" s="6303"/>
      <c r="J112" s="6304" t="str">
        <f t="shared" si="21"/>
        <v/>
      </c>
      <c r="K112" s="6305"/>
      <c r="L112" s="6305"/>
      <c r="M112" s="6304" t="str">
        <f t="shared" si="22"/>
        <v/>
      </c>
      <c r="N112" s="6305"/>
      <c r="O112" s="6305"/>
      <c r="P112" s="6306"/>
      <c r="Q112" s="4641" t="str">
        <f t="shared" si="23"/>
        <v/>
      </c>
      <c r="R112" s="6307"/>
      <c r="S112" s="6307"/>
      <c r="T112" s="6308"/>
      <c r="U112" s="4641" t="str">
        <f t="shared" si="24"/>
        <v/>
      </c>
      <c r="V112" s="6307"/>
      <c r="W112" s="6307"/>
      <c r="X112" s="6308"/>
      <c r="Y112" s="6300" t="str">
        <f t="shared" si="26"/>
        <v/>
      </c>
      <c r="Z112" s="4756"/>
      <c r="AA112" s="6300" t="str">
        <f t="shared" si="27"/>
        <v/>
      </c>
      <c r="AB112" s="4756"/>
      <c r="AC112" s="6309" t="str">
        <f t="shared" si="28"/>
        <v/>
      </c>
      <c r="AD112" s="6310"/>
      <c r="AE112" s="6310"/>
      <c r="AF112" s="6310"/>
      <c r="AG112" s="2631">
        <f t="shared" si="29"/>
        <v>0</v>
      </c>
      <c r="AH112" s="1644"/>
      <c r="AI112" s="1644" t="e">
        <f t="shared" si="30"/>
        <v>#VALUE!</v>
      </c>
      <c r="AJ112" s="2467"/>
      <c r="AK112" s="2471"/>
      <c r="AL112" s="2471"/>
      <c r="AM112" s="2469"/>
      <c r="AN112" s="2469"/>
      <c r="AO112" s="2470"/>
      <c r="AP112" s="2469"/>
      <c r="AQ112" s="2468"/>
      <c r="AS112" s="2620" t="e">
        <f t="shared" si="31"/>
        <v>#VALUE!</v>
      </c>
      <c r="AT112" s="2620" t="e">
        <f t="shared" si="32"/>
        <v>#VALUE!</v>
      </c>
      <c r="AU112" s="2620" t="e">
        <f t="shared" si="33"/>
        <v>#VALUE!</v>
      </c>
      <c r="AV112" s="2620"/>
      <c r="AW112" s="2620" t="e">
        <f t="shared" si="34"/>
        <v>#VALUE!</v>
      </c>
      <c r="AX112" s="2620" t="e">
        <f t="shared" si="35"/>
        <v>#VALUE!</v>
      </c>
      <c r="AY112" s="2620" t="e">
        <f t="shared" si="36"/>
        <v>#VALUE!</v>
      </c>
      <c r="AZ112" s="2620"/>
      <c r="BA112" s="2620" t="e">
        <f t="shared" si="37"/>
        <v>#VALUE!</v>
      </c>
      <c r="BB112" s="2620" t="e">
        <f t="shared" si="38"/>
        <v>#VALUE!</v>
      </c>
      <c r="BC112" s="2620" t="e">
        <f t="shared" si="39"/>
        <v>#VALUE!</v>
      </c>
    </row>
    <row r="113" spans="1:55" s="2459" customFormat="1" ht="19.5" customHeight="1">
      <c r="A113" s="1706">
        <f t="shared" si="25"/>
        <v>0</v>
      </c>
      <c r="B113" s="6301" t="str">
        <f t="shared" si="20"/>
        <v/>
      </c>
      <c r="C113" s="6302"/>
      <c r="D113" s="6302"/>
      <c r="E113" s="6302"/>
      <c r="F113" s="6302"/>
      <c r="G113" s="6302"/>
      <c r="H113" s="6302"/>
      <c r="I113" s="6303"/>
      <c r="J113" s="6304" t="str">
        <f t="shared" si="21"/>
        <v/>
      </c>
      <c r="K113" s="6305"/>
      <c r="L113" s="6305"/>
      <c r="M113" s="6304" t="str">
        <f t="shared" si="22"/>
        <v/>
      </c>
      <c r="N113" s="6305"/>
      <c r="O113" s="6305"/>
      <c r="P113" s="6306"/>
      <c r="Q113" s="4641" t="str">
        <f t="shared" si="23"/>
        <v/>
      </c>
      <c r="R113" s="6307"/>
      <c r="S113" s="6307"/>
      <c r="T113" s="6308"/>
      <c r="U113" s="4641" t="str">
        <f t="shared" si="24"/>
        <v/>
      </c>
      <c r="V113" s="6307"/>
      <c r="W113" s="6307"/>
      <c r="X113" s="6308"/>
      <c r="Y113" s="6300" t="str">
        <f t="shared" si="26"/>
        <v/>
      </c>
      <c r="Z113" s="4756"/>
      <c r="AA113" s="6300" t="str">
        <f t="shared" si="27"/>
        <v/>
      </c>
      <c r="AB113" s="4756"/>
      <c r="AC113" s="6309" t="str">
        <f t="shared" si="28"/>
        <v/>
      </c>
      <c r="AD113" s="6310"/>
      <c r="AE113" s="6310"/>
      <c r="AF113" s="6310"/>
      <c r="AG113" s="2631">
        <f t="shared" si="29"/>
        <v>0</v>
      </c>
      <c r="AH113" s="1644"/>
      <c r="AI113" s="1644" t="e">
        <f t="shared" si="30"/>
        <v>#VALUE!</v>
      </c>
      <c r="AJ113" s="2467"/>
      <c r="AK113" s="2471"/>
      <c r="AL113" s="2471"/>
      <c r="AM113" s="2469"/>
      <c r="AN113" s="2469"/>
      <c r="AO113" s="2470"/>
      <c r="AP113" s="2469"/>
      <c r="AQ113" s="2468"/>
      <c r="AS113" s="2620" t="e">
        <f t="shared" si="31"/>
        <v>#VALUE!</v>
      </c>
      <c r="AT113" s="2620" t="e">
        <f t="shared" si="32"/>
        <v>#VALUE!</v>
      </c>
      <c r="AU113" s="2620" t="e">
        <f t="shared" si="33"/>
        <v>#VALUE!</v>
      </c>
      <c r="AV113" s="2620"/>
      <c r="AW113" s="2620" t="e">
        <f t="shared" si="34"/>
        <v>#VALUE!</v>
      </c>
      <c r="AX113" s="2620" t="e">
        <f t="shared" si="35"/>
        <v>#VALUE!</v>
      </c>
      <c r="AY113" s="2620" t="e">
        <f t="shared" si="36"/>
        <v>#VALUE!</v>
      </c>
      <c r="AZ113" s="2620"/>
      <c r="BA113" s="2620" t="e">
        <f t="shared" si="37"/>
        <v>#VALUE!</v>
      </c>
      <c r="BB113" s="2620" t="e">
        <f t="shared" si="38"/>
        <v>#VALUE!</v>
      </c>
      <c r="BC113" s="2620" t="e">
        <f t="shared" si="39"/>
        <v>#VALUE!</v>
      </c>
    </row>
    <row r="114" spans="1:55" s="2459" customFormat="1" ht="19.5" customHeight="1">
      <c r="A114" s="1706">
        <f t="shared" si="25"/>
        <v>0</v>
      </c>
      <c r="B114" s="6301" t="str">
        <f t="shared" si="20"/>
        <v/>
      </c>
      <c r="C114" s="6302"/>
      <c r="D114" s="6302"/>
      <c r="E114" s="6302"/>
      <c r="F114" s="6302"/>
      <c r="G114" s="6302"/>
      <c r="H114" s="6302"/>
      <c r="I114" s="6303"/>
      <c r="J114" s="6304" t="str">
        <f t="shared" si="21"/>
        <v/>
      </c>
      <c r="K114" s="6305"/>
      <c r="L114" s="6305"/>
      <c r="M114" s="6304" t="str">
        <f t="shared" si="22"/>
        <v/>
      </c>
      <c r="N114" s="6305"/>
      <c r="O114" s="6305"/>
      <c r="P114" s="6306"/>
      <c r="Q114" s="4641" t="str">
        <f t="shared" si="23"/>
        <v/>
      </c>
      <c r="R114" s="6307"/>
      <c r="S114" s="6307"/>
      <c r="T114" s="6308"/>
      <c r="U114" s="4641" t="str">
        <f t="shared" si="24"/>
        <v/>
      </c>
      <c r="V114" s="6307"/>
      <c r="W114" s="6307"/>
      <c r="X114" s="6308"/>
      <c r="Y114" s="6300" t="str">
        <f t="shared" si="26"/>
        <v/>
      </c>
      <c r="Z114" s="4756"/>
      <c r="AA114" s="6300" t="str">
        <f t="shared" si="27"/>
        <v/>
      </c>
      <c r="AB114" s="4756"/>
      <c r="AC114" s="6309" t="str">
        <f t="shared" si="28"/>
        <v/>
      </c>
      <c r="AD114" s="6310"/>
      <c r="AE114" s="6310"/>
      <c r="AF114" s="6310"/>
      <c r="AG114" s="2631">
        <f t="shared" si="29"/>
        <v>0</v>
      </c>
      <c r="AH114" s="1644"/>
      <c r="AI114" s="1644" t="e">
        <f t="shared" si="30"/>
        <v>#VALUE!</v>
      </c>
      <c r="AJ114" s="2467"/>
      <c r="AK114" s="2471"/>
      <c r="AL114" s="2471"/>
      <c r="AM114" s="2469"/>
      <c r="AN114" s="2469"/>
      <c r="AO114" s="2470"/>
      <c r="AP114" s="2469"/>
      <c r="AQ114" s="2468"/>
      <c r="AS114" s="2620" t="e">
        <f t="shared" si="31"/>
        <v>#VALUE!</v>
      </c>
      <c r="AT114" s="2620" t="e">
        <f t="shared" si="32"/>
        <v>#VALUE!</v>
      </c>
      <c r="AU114" s="2620" t="e">
        <f t="shared" si="33"/>
        <v>#VALUE!</v>
      </c>
      <c r="AV114" s="2620"/>
      <c r="AW114" s="2620" t="e">
        <f t="shared" si="34"/>
        <v>#VALUE!</v>
      </c>
      <c r="AX114" s="2620" t="e">
        <f t="shared" si="35"/>
        <v>#VALUE!</v>
      </c>
      <c r="AY114" s="2620" t="e">
        <f t="shared" si="36"/>
        <v>#VALUE!</v>
      </c>
      <c r="AZ114" s="2620"/>
      <c r="BA114" s="2620" t="e">
        <f t="shared" si="37"/>
        <v>#VALUE!</v>
      </c>
      <c r="BB114" s="2620" t="e">
        <f t="shared" si="38"/>
        <v>#VALUE!</v>
      </c>
      <c r="BC114" s="2620" t="e">
        <f t="shared" si="39"/>
        <v>#VALUE!</v>
      </c>
    </row>
    <row r="115" spans="1:55" s="2459" customFormat="1" ht="19.5" customHeight="1">
      <c r="A115" s="1706">
        <f t="shared" si="25"/>
        <v>0</v>
      </c>
      <c r="B115" s="6301" t="str">
        <f t="shared" si="20"/>
        <v/>
      </c>
      <c r="C115" s="6302"/>
      <c r="D115" s="6302"/>
      <c r="E115" s="6302"/>
      <c r="F115" s="6302"/>
      <c r="G115" s="6302"/>
      <c r="H115" s="6302"/>
      <c r="I115" s="6303"/>
      <c r="J115" s="6304" t="str">
        <f t="shared" si="21"/>
        <v/>
      </c>
      <c r="K115" s="6305"/>
      <c r="L115" s="6305"/>
      <c r="M115" s="6304" t="str">
        <f t="shared" si="22"/>
        <v/>
      </c>
      <c r="N115" s="6305"/>
      <c r="O115" s="6305"/>
      <c r="P115" s="6306"/>
      <c r="Q115" s="4641" t="str">
        <f t="shared" si="23"/>
        <v/>
      </c>
      <c r="R115" s="6307"/>
      <c r="S115" s="6307"/>
      <c r="T115" s="6308"/>
      <c r="U115" s="4641" t="str">
        <f t="shared" si="24"/>
        <v/>
      </c>
      <c r="V115" s="6307"/>
      <c r="W115" s="6307"/>
      <c r="X115" s="6308"/>
      <c r="Y115" s="6300" t="str">
        <f t="shared" si="26"/>
        <v/>
      </c>
      <c r="Z115" s="4756"/>
      <c r="AA115" s="6300" t="str">
        <f t="shared" si="27"/>
        <v/>
      </c>
      <c r="AB115" s="4756"/>
      <c r="AC115" s="6309" t="str">
        <f t="shared" si="28"/>
        <v/>
      </c>
      <c r="AD115" s="6310"/>
      <c r="AE115" s="6310"/>
      <c r="AF115" s="6310"/>
      <c r="AG115" s="2631">
        <f t="shared" si="29"/>
        <v>0</v>
      </c>
      <c r="AH115" s="1644"/>
      <c r="AI115" s="1644" t="e">
        <f t="shared" si="30"/>
        <v>#VALUE!</v>
      </c>
      <c r="AJ115" s="2467"/>
      <c r="AK115" s="2471"/>
      <c r="AL115" s="2471"/>
      <c r="AM115" s="2469"/>
      <c r="AN115" s="2469"/>
      <c r="AO115" s="2470"/>
      <c r="AP115" s="2469"/>
      <c r="AQ115" s="2468"/>
      <c r="AS115" s="2620" t="e">
        <f t="shared" si="31"/>
        <v>#VALUE!</v>
      </c>
      <c r="AT115" s="2620" t="e">
        <f t="shared" si="32"/>
        <v>#VALUE!</v>
      </c>
      <c r="AU115" s="2620" t="e">
        <f t="shared" si="33"/>
        <v>#VALUE!</v>
      </c>
      <c r="AV115" s="2620"/>
      <c r="AW115" s="2620" t="e">
        <f t="shared" si="34"/>
        <v>#VALUE!</v>
      </c>
      <c r="AX115" s="2620" t="e">
        <f t="shared" si="35"/>
        <v>#VALUE!</v>
      </c>
      <c r="AY115" s="2620" t="e">
        <f t="shared" si="36"/>
        <v>#VALUE!</v>
      </c>
      <c r="AZ115" s="2620"/>
      <c r="BA115" s="2620" t="e">
        <f t="shared" si="37"/>
        <v>#VALUE!</v>
      </c>
      <c r="BB115" s="2620" t="e">
        <f t="shared" si="38"/>
        <v>#VALUE!</v>
      </c>
      <c r="BC115" s="2620" t="e">
        <f t="shared" si="39"/>
        <v>#VALUE!</v>
      </c>
    </row>
    <row r="116" spans="1:55" ht="11.25" customHeight="1">
      <c r="A116" s="1706">
        <f>SUM(A88:A115)</f>
        <v>0</v>
      </c>
      <c r="B116" s="6385">
        <v>2</v>
      </c>
      <c r="C116" s="6347" t="s">
        <v>1877</v>
      </c>
      <c r="D116" s="6348"/>
      <c r="E116" s="6348"/>
      <c r="F116" s="6348"/>
      <c r="G116" s="6348"/>
      <c r="H116" s="6348"/>
      <c r="I116" s="6348"/>
      <c r="J116" s="6348"/>
      <c r="K116" s="6348"/>
      <c r="L116" s="6348"/>
      <c r="M116" s="6348"/>
      <c r="N116" s="6348"/>
      <c r="O116" s="6348"/>
      <c r="P116" s="6348"/>
      <c r="Q116" s="6351" t="str">
        <f>IF(A116=0,"",ROUND(SUM(Q88:Q115),0))</f>
        <v/>
      </c>
      <c r="R116" s="6352"/>
      <c r="S116" s="6352"/>
      <c r="T116" s="6353"/>
      <c r="U116" s="6351" t="str">
        <f>IF(A116=0,"",ROUND(SUM(U88:U115),0))</f>
        <v/>
      </c>
      <c r="V116" s="6361"/>
      <c r="W116" s="6361"/>
      <c r="X116" s="6364"/>
      <c r="Y116" s="6371"/>
      <c r="Z116" s="6372"/>
      <c r="AA116" s="6351" t="str">
        <f>IF(A116=0,"",ROUND(SUM(AA88:AA115),0))</f>
        <v/>
      </c>
      <c r="AB116" s="6353"/>
      <c r="AC116" s="6351" t="str">
        <f>IF(A116=0,"",ROUND(SUM(AC88:AC115),0))</f>
        <v/>
      </c>
      <c r="AD116" s="6361"/>
      <c r="AE116" s="6361"/>
      <c r="AF116" s="6361"/>
      <c r="AG116" s="1706"/>
    </row>
    <row r="117" spans="1:55" ht="11.25" customHeight="1">
      <c r="A117" s="1706"/>
      <c r="B117" s="6386"/>
      <c r="C117" s="6349"/>
      <c r="D117" s="6349"/>
      <c r="E117" s="6349"/>
      <c r="F117" s="6349"/>
      <c r="G117" s="6349"/>
      <c r="H117" s="6349"/>
      <c r="I117" s="6349"/>
      <c r="J117" s="6349"/>
      <c r="K117" s="6349"/>
      <c r="L117" s="6349"/>
      <c r="M117" s="6349"/>
      <c r="N117" s="6349"/>
      <c r="O117" s="6349"/>
      <c r="P117" s="6349"/>
      <c r="Q117" s="6354"/>
      <c r="R117" s="6355"/>
      <c r="S117" s="6355"/>
      <c r="T117" s="6356"/>
      <c r="U117" s="6362"/>
      <c r="V117" s="6363"/>
      <c r="W117" s="6363"/>
      <c r="X117" s="6365"/>
      <c r="Y117" s="6373"/>
      <c r="Z117" s="6374"/>
      <c r="AA117" s="6354"/>
      <c r="AB117" s="6356"/>
      <c r="AC117" s="6362"/>
      <c r="AD117" s="6363"/>
      <c r="AE117" s="6363"/>
      <c r="AF117" s="6363"/>
      <c r="AG117" s="1706"/>
    </row>
    <row r="118" spans="1:55" ht="11.25" customHeight="1">
      <c r="A118" s="1706"/>
      <c r="B118" s="6386"/>
      <c r="C118" s="6349"/>
      <c r="D118" s="6349"/>
      <c r="E118" s="6349"/>
      <c r="F118" s="6349"/>
      <c r="G118" s="6349"/>
      <c r="H118" s="6349"/>
      <c r="I118" s="6349"/>
      <c r="J118" s="6349"/>
      <c r="K118" s="6349"/>
      <c r="L118" s="6349"/>
      <c r="M118" s="6349"/>
      <c r="N118" s="6349"/>
      <c r="O118" s="6349"/>
      <c r="P118" s="6349"/>
      <c r="Q118" s="6354"/>
      <c r="R118" s="6355"/>
      <c r="S118" s="6355"/>
      <c r="T118" s="6356"/>
      <c r="U118" s="6362"/>
      <c r="V118" s="6363"/>
      <c r="W118" s="6363"/>
      <c r="X118" s="6365"/>
      <c r="Y118" s="6373"/>
      <c r="Z118" s="6374"/>
      <c r="AA118" s="6354"/>
      <c r="AB118" s="6356"/>
      <c r="AC118" s="6362"/>
      <c r="AD118" s="6363"/>
      <c r="AE118" s="6363"/>
      <c r="AF118" s="6363"/>
      <c r="AG118" s="1706"/>
    </row>
    <row r="119" spans="1:55" ht="11.25" customHeight="1">
      <c r="A119" s="1706"/>
      <c r="B119" s="6386"/>
      <c r="C119" s="6349"/>
      <c r="D119" s="6349"/>
      <c r="E119" s="6349"/>
      <c r="F119" s="6349"/>
      <c r="G119" s="6349"/>
      <c r="H119" s="6349"/>
      <c r="I119" s="6349"/>
      <c r="J119" s="6349"/>
      <c r="K119" s="6349"/>
      <c r="L119" s="6349"/>
      <c r="M119" s="6349"/>
      <c r="N119" s="6349"/>
      <c r="O119" s="6349"/>
      <c r="P119" s="6349"/>
      <c r="Q119" s="6354"/>
      <c r="R119" s="6355"/>
      <c r="S119" s="6355"/>
      <c r="T119" s="6356"/>
      <c r="U119" s="6362"/>
      <c r="V119" s="6363"/>
      <c r="W119" s="6363"/>
      <c r="X119" s="6365"/>
      <c r="Y119" s="6373"/>
      <c r="Z119" s="6374"/>
      <c r="AA119" s="6354"/>
      <c r="AB119" s="6356"/>
      <c r="AC119" s="6362"/>
      <c r="AD119" s="6363"/>
      <c r="AE119" s="6363"/>
      <c r="AF119" s="6363"/>
      <c r="AG119" s="1706"/>
    </row>
    <row r="120" spans="1:55" ht="6" customHeight="1">
      <c r="A120" s="1706"/>
      <c r="B120" s="6386"/>
      <c r="C120" s="6350"/>
      <c r="D120" s="6350"/>
      <c r="E120" s="6350"/>
      <c r="F120" s="6350"/>
      <c r="G120" s="6350"/>
      <c r="H120" s="6350"/>
      <c r="I120" s="6350"/>
      <c r="J120" s="6350"/>
      <c r="K120" s="6350"/>
      <c r="L120" s="6350"/>
      <c r="M120" s="6350"/>
      <c r="N120" s="6350"/>
      <c r="O120" s="6350"/>
      <c r="P120" s="6350"/>
      <c r="Q120" s="6354"/>
      <c r="R120" s="6355"/>
      <c r="S120" s="6355"/>
      <c r="T120" s="6356"/>
      <c r="U120" s="6425"/>
      <c r="V120" s="6426"/>
      <c r="W120" s="6426"/>
      <c r="X120" s="6427"/>
      <c r="Y120" s="6375"/>
      <c r="Z120" s="6376"/>
      <c r="AA120" s="6377"/>
      <c r="AB120" s="6378"/>
      <c r="AC120" s="6362"/>
      <c r="AD120" s="6363"/>
      <c r="AE120" s="6363"/>
      <c r="AF120" s="6363"/>
      <c r="AG120" s="1706"/>
    </row>
    <row r="121" spans="1:55" ht="25.5" customHeight="1" thickBot="1">
      <c r="A121" s="1706"/>
      <c r="B121" s="6316" t="s">
        <v>3014</v>
      </c>
      <c r="C121" s="6317"/>
      <c r="D121" s="6317"/>
      <c r="E121" s="6317"/>
      <c r="F121" s="6317"/>
      <c r="G121" s="6317"/>
      <c r="H121" s="6317"/>
      <c r="I121" s="6317"/>
      <c r="J121" s="6317"/>
      <c r="K121" s="6317"/>
      <c r="L121" s="6317"/>
      <c r="M121" s="6317"/>
      <c r="N121" s="6317"/>
      <c r="O121" s="6317"/>
      <c r="P121" s="6317"/>
      <c r="Q121" s="6317"/>
      <c r="R121" s="6317"/>
      <c r="S121" s="6317"/>
      <c r="T121" s="6317"/>
      <c r="U121" s="6318"/>
      <c r="V121" s="6318"/>
      <c r="W121" s="6318"/>
      <c r="X121" s="6318"/>
      <c r="Y121" s="6317"/>
      <c r="Z121" s="6317"/>
      <c r="AA121" s="6317"/>
      <c r="AB121" s="6317"/>
      <c r="AC121" s="6317"/>
      <c r="AD121" s="6317"/>
      <c r="AE121" s="6317"/>
      <c r="AF121" s="6317"/>
      <c r="AG121" s="1706"/>
    </row>
    <row r="122" spans="1:55" ht="14.25" customHeight="1" thickTop="1">
      <c r="A122" s="1706"/>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1656"/>
      <c r="AD122" s="1656" t="s">
        <v>1154</v>
      </c>
      <c r="AE122" s="35"/>
      <c r="AF122" s="1656" t="str">
        <f>"("&amp;TaxYear&amp;")"</f>
        <v>(2016)</v>
      </c>
      <c r="AG122" s="1706"/>
    </row>
    <row r="123" spans="1:55">
      <c r="A123" s="1706"/>
      <c r="B123" s="1706"/>
      <c r="C123" s="1706"/>
      <c r="D123" s="1706"/>
      <c r="E123" s="1706"/>
      <c r="F123" s="1706"/>
      <c r="G123" s="1706"/>
      <c r="H123" s="1706"/>
      <c r="I123" s="1706"/>
      <c r="J123" s="1706"/>
      <c r="K123" s="1706"/>
      <c r="L123" s="1706"/>
      <c r="M123" s="1706"/>
      <c r="N123" s="1706"/>
      <c r="O123" s="1706"/>
      <c r="P123" s="1706"/>
      <c r="Q123" s="1706"/>
      <c r="R123" s="1706"/>
      <c r="S123" s="1706"/>
      <c r="T123" s="1706"/>
      <c r="U123" s="1706"/>
      <c r="V123" s="1706"/>
      <c r="W123" s="1706"/>
      <c r="X123" s="1706"/>
      <c r="Y123" s="1706"/>
      <c r="Z123" s="1706"/>
      <c r="AA123" s="1706"/>
      <c r="AB123" s="1706"/>
      <c r="AC123" s="1706"/>
      <c r="AD123" s="1706"/>
      <c r="AE123" s="1706"/>
      <c r="AF123" s="1706"/>
      <c r="AG123" s="1706"/>
    </row>
  </sheetData>
  <sheetProtection password="F07E" sheet="1" objects="1" scenarios="1"/>
  <mergeCells count="470">
    <mergeCell ref="BA22:BC22"/>
    <mergeCell ref="BA23:BA34"/>
    <mergeCell ref="BB23:BB34"/>
    <mergeCell ref="BC23:BC34"/>
    <mergeCell ref="BA75:BC75"/>
    <mergeCell ref="BA76:BA87"/>
    <mergeCell ref="BB76:BB87"/>
    <mergeCell ref="BC76:BC87"/>
    <mergeCell ref="AA86:AB87"/>
    <mergeCell ref="AO86:AO87"/>
    <mergeCell ref="AP86:AP87"/>
    <mergeCell ref="Y84:AB85"/>
    <mergeCell ref="AC84:AF87"/>
    <mergeCell ref="AJ84:AJ87"/>
    <mergeCell ref="AK84:AK87"/>
    <mergeCell ref="AL84:AL87"/>
    <mergeCell ref="AC55:AF59"/>
    <mergeCell ref="B60:AF60"/>
    <mergeCell ref="B64:U64"/>
    <mergeCell ref="V64:AF64"/>
    <mergeCell ref="B55:B59"/>
    <mergeCell ref="AJ78:AQ78"/>
    <mergeCell ref="AJ80:AQ80"/>
    <mergeCell ref="AJ82:AQ82"/>
    <mergeCell ref="B12:AF14"/>
    <mergeCell ref="B65:AF67"/>
    <mergeCell ref="U84:X87"/>
    <mergeCell ref="B69:C69"/>
    <mergeCell ref="B84:B87"/>
    <mergeCell ref="C84:I87"/>
    <mergeCell ref="J84:L87"/>
    <mergeCell ref="M84:P87"/>
    <mergeCell ref="Q84:T87"/>
    <mergeCell ref="C55:P59"/>
    <mergeCell ref="Q55:T59"/>
    <mergeCell ref="U55:X59"/>
    <mergeCell ref="Y55:Z59"/>
    <mergeCell ref="AA55:AB59"/>
    <mergeCell ref="AA53:AB53"/>
    <mergeCell ref="AC53:AF53"/>
    <mergeCell ref="B54:I54"/>
    <mergeCell ref="J54:L54"/>
    <mergeCell ref="M54:P54"/>
    <mergeCell ref="Q54:T54"/>
    <mergeCell ref="U54:X54"/>
    <mergeCell ref="Y54:Z54"/>
    <mergeCell ref="AA54:AB54"/>
    <mergeCell ref="AC54:AF54"/>
    <mergeCell ref="AM84:AM87"/>
    <mergeCell ref="AN84:AN87"/>
    <mergeCell ref="AO84:AP85"/>
    <mergeCell ref="AQ84:AQ87"/>
    <mergeCell ref="Y86:Z87"/>
    <mergeCell ref="B121:AF121"/>
    <mergeCell ref="B116:B120"/>
    <mergeCell ref="C116:P120"/>
    <mergeCell ref="Q116:T120"/>
    <mergeCell ref="U116:X120"/>
    <mergeCell ref="Y116:Z120"/>
    <mergeCell ref="AA116:AB120"/>
    <mergeCell ref="AA114:AB114"/>
    <mergeCell ref="AC114:AF114"/>
    <mergeCell ref="B115:I115"/>
    <mergeCell ref="J115:L115"/>
    <mergeCell ref="M115:P115"/>
    <mergeCell ref="Q115:T115"/>
    <mergeCell ref="U115:X115"/>
    <mergeCell ref="Y115:Z115"/>
    <mergeCell ref="AA115:AB115"/>
    <mergeCell ref="AC115:AF115"/>
    <mergeCell ref="B114:I114"/>
    <mergeCell ref="J114:L114"/>
    <mergeCell ref="M114:P114"/>
    <mergeCell ref="Q114:T114"/>
    <mergeCell ref="U114:X114"/>
    <mergeCell ref="Y114:Z114"/>
    <mergeCell ref="AC116:AF120"/>
    <mergeCell ref="AC113:AF113"/>
    <mergeCell ref="B112:I112"/>
    <mergeCell ref="J112:L112"/>
    <mergeCell ref="M112:P112"/>
    <mergeCell ref="Q112:T112"/>
    <mergeCell ref="U112:X112"/>
    <mergeCell ref="Y112:Z112"/>
    <mergeCell ref="AA112:AB112"/>
    <mergeCell ref="AC112:AF112"/>
    <mergeCell ref="B113:I113"/>
    <mergeCell ref="J113:L113"/>
    <mergeCell ref="M113:P113"/>
    <mergeCell ref="Q113:T113"/>
    <mergeCell ref="U113:X113"/>
    <mergeCell ref="Y113:Z113"/>
    <mergeCell ref="AA113:AB113"/>
    <mergeCell ref="Y111:Z111"/>
    <mergeCell ref="AA111:AB111"/>
    <mergeCell ref="AC111:AF111"/>
    <mergeCell ref="B110:I110"/>
    <mergeCell ref="J110:L110"/>
    <mergeCell ref="M110:P110"/>
    <mergeCell ref="Q110:T110"/>
    <mergeCell ref="U110:X110"/>
    <mergeCell ref="Y110:Z110"/>
    <mergeCell ref="AA110:AB110"/>
    <mergeCell ref="AC110:AF110"/>
    <mergeCell ref="B111:I111"/>
    <mergeCell ref="J111:L111"/>
    <mergeCell ref="M111:P111"/>
    <mergeCell ref="Q111:T111"/>
    <mergeCell ref="U111:X111"/>
    <mergeCell ref="AA108:AB108"/>
    <mergeCell ref="AC108:AF108"/>
    <mergeCell ref="B109:I109"/>
    <mergeCell ref="J109:L109"/>
    <mergeCell ref="M109:P109"/>
    <mergeCell ref="Q109:T109"/>
    <mergeCell ref="U109:X109"/>
    <mergeCell ref="Y109:Z109"/>
    <mergeCell ref="AA109:AB109"/>
    <mergeCell ref="AC109:AF109"/>
    <mergeCell ref="B108:I108"/>
    <mergeCell ref="J108:L108"/>
    <mergeCell ref="M108:P108"/>
    <mergeCell ref="Q108:T108"/>
    <mergeCell ref="U108:X108"/>
    <mergeCell ref="Y108:Z108"/>
    <mergeCell ref="AA106:AB106"/>
    <mergeCell ref="AC106:AF106"/>
    <mergeCell ref="B107:I107"/>
    <mergeCell ref="J107:L107"/>
    <mergeCell ref="M107:P107"/>
    <mergeCell ref="Q107:T107"/>
    <mergeCell ref="U107:X107"/>
    <mergeCell ref="Y107:Z107"/>
    <mergeCell ref="AA107:AB107"/>
    <mergeCell ref="AC107:AF107"/>
    <mergeCell ref="B106:I106"/>
    <mergeCell ref="J106:L106"/>
    <mergeCell ref="M106:P106"/>
    <mergeCell ref="Q106:T106"/>
    <mergeCell ref="U106:X106"/>
    <mergeCell ref="Y106:Z106"/>
    <mergeCell ref="AA104:AB104"/>
    <mergeCell ref="AC104:AF104"/>
    <mergeCell ref="B105:I105"/>
    <mergeCell ref="J105:L105"/>
    <mergeCell ref="M105:P105"/>
    <mergeCell ref="Q105:T105"/>
    <mergeCell ref="U105:X105"/>
    <mergeCell ref="Y105:Z105"/>
    <mergeCell ref="AA105:AB105"/>
    <mergeCell ref="AC105:AF105"/>
    <mergeCell ref="B104:I104"/>
    <mergeCell ref="J104:L104"/>
    <mergeCell ref="M104:P104"/>
    <mergeCell ref="Q104:T104"/>
    <mergeCell ref="U104:X104"/>
    <mergeCell ref="Y104:Z104"/>
    <mergeCell ref="AA102:AB102"/>
    <mergeCell ref="AC102:AF102"/>
    <mergeCell ref="B103:I103"/>
    <mergeCell ref="J103:L103"/>
    <mergeCell ref="M103:P103"/>
    <mergeCell ref="Q103:T103"/>
    <mergeCell ref="U103:X103"/>
    <mergeCell ref="Y103:Z103"/>
    <mergeCell ref="AA103:AB103"/>
    <mergeCell ref="AC103:AF103"/>
    <mergeCell ref="B102:I102"/>
    <mergeCell ref="J102:L102"/>
    <mergeCell ref="M102:P102"/>
    <mergeCell ref="Q102:T102"/>
    <mergeCell ref="U102:X102"/>
    <mergeCell ref="Y102:Z102"/>
    <mergeCell ref="AA100:AB100"/>
    <mergeCell ref="AC100:AF100"/>
    <mergeCell ref="B101:I101"/>
    <mergeCell ref="J101:L101"/>
    <mergeCell ref="M101:P101"/>
    <mergeCell ref="Q101:T101"/>
    <mergeCell ref="U101:X101"/>
    <mergeCell ref="Y101:Z101"/>
    <mergeCell ref="AA101:AB101"/>
    <mergeCell ref="AC101:AF101"/>
    <mergeCell ref="B100:I100"/>
    <mergeCell ref="J100:L100"/>
    <mergeCell ref="M100:P100"/>
    <mergeCell ref="Q100:T100"/>
    <mergeCell ref="U100:X100"/>
    <mergeCell ref="Y100:Z100"/>
    <mergeCell ref="AA98:AB98"/>
    <mergeCell ref="AC98:AF98"/>
    <mergeCell ref="B99:I99"/>
    <mergeCell ref="J99:L99"/>
    <mergeCell ref="M99:P99"/>
    <mergeCell ref="Q99:T99"/>
    <mergeCell ref="U99:X99"/>
    <mergeCell ref="Y99:Z99"/>
    <mergeCell ref="AA99:AB99"/>
    <mergeCell ref="AC99:AF99"/>
    <mergeCell ref="B98:I98"/>
    <mergeCell ref="J98:L98"/>
    <mergeCell ref="M98:P98"/>
    <mergeCell ref="Q98:T98"/>
    <mergeCell ref="U98:X98"/>
    <mergeCell ref="Y98:Z98"/>
    <mergeCell ref="AA96:AB96"/>
    <mergeCell ref="AC96:AF96"/>
    <mergeCell ref="B97:I97"/>
    <mergeCell ref="J97:L97"/>
    <mergeCell ref="M97:P97"/>
    <mergeCell ref="Q97:T97"/>
    <mergeCell ref="U97:X97"/>
    <mergeCell ref="Y97:Z97"/>
    <mergeCell ref="AA97:AB97"/>
    <mergeCell ref="AC97:AF97"/>
    <mergeCell ref="B96:I96"/>
    <mergeCell ref="J96:L96"/>
    <mergeCell ref="M96:P96"/>
    <mergeCell ref="Q96:T96"/>
    <mergeCell ref="U96:X96"/>
    <mergeCell ref="Y96:Z96"/>
    <mergeCell ref="AA94:AB94"/>
    <mergeCell ref="AC94:AF94"/>
    <mergeCell ref="B95:I95"/>
    <mergeCell ref="J95:L95"/>
    <mergeCell ref="M95:P95"/>
    <mergeCell ref="Q95:T95"/>
    <mergeCell ref="U95:X95"/>
    <mergeCell ref="Y95:Z95"/>
    <mergeCell ref="AA95:AB95"/>
    <mergeCell ref="AC95:AF95"/>
    <mergeCell ref="B94:I94"/>
    <mergeCell ref="J94:L94"/>
    <mergeCell ref="M94:P94"/>
    <mergeCell ref="Q94:T94"/>
    <mergeCell ref="U94:X94"/>
    <mergeCell ref="Y94:Z94"/>
    <mergeCell ref="AA92:AB92"/>
    <mergeCell ref="AC92:AF92"/>
    <mergeCell ref="B93:I93"/>
    <mergeCell ref="J93:L93"/>
    <mergeCell ref="M93:P93"/>
    <mergeCell ref="Q93:T93"/>
    <mergeCell ref="U93:X93"/>
    <mergeCell ref="Y93:Z93"/>
    <mergeCell ref="AA93:AB93"/>
    <mergeCell ref="AC93:AF93"/>
    <mergeCell ref="B92:I92"/>
    <mergeCell ref="J92:L92"/>
    <mergeCell ref="M92:P92"/>
    <mergeCell ref="Q92:T92"/>
    <mergeCell ref="U92:X92"/>
    <mergeCell ref="Y92:Z92"/>
    <mergeCell ref="AA90:AB90"/>
    <mergeCell ref="AC90:AF90"/>
    <mergeCell ref="B91:I91"/>
    <mergeCell ref="J91:L91"/>
    <mergeCell ref="M91:P91"/>
    <mergeCell ref="Q91:T91"/>
    <mergeCell ref="U91:X91"/>
    <mergeCell ref="Y91:Z91"/>
    <mergeCell ref="AA91:AB91"/>
    <mergeCell ref="AC91:AF91"/>
    <mergeCell ref="B90:I90"/>
    <mergeCell ref="J90:L90"/>
    <mergeCell ref="M90:P90"/>
    <mergeCell ref="Q90:T90"/>
    <mergeCell ref="U90:X90"/>
    <mergeCell ref="Y90:Z90"/>
    <mergeCell ref="AA88:AB88"/>
    <mergeCell ref="AC88:AF88"/>
    <mergeCell ref="B89:I89"/>
    <mergeCell ref="J89:L89"/>
    <mergeCell ref="M89:P89"/>
    <mergeCell ref="Q89:T89"/>
    <mergeCell ref="U89:X89"/>
    <mergeCell ref="Y89:Z89"/>
    <mergeCell ref="AA89:AB89"/>
    <mergeCell ref="AC89:AF89"/>
    <mergeCell ref="B88:I88"/>
    <mergeCell ref="J88:L88"/>
    <mergeCell ref="M88:P88"/>
    <mergeCell ref="Q88:T88"/>
    <mergeCell ref="U88:X88"/>
    <mergeCell ref="Y88:Z88"/>
    <mergeCell ref="B53:I53"/>
    <mergeCell ref="J53:L53"/>
    <mergeCell ref="M53:P53"/>
    <mergeCell ref="Q53:T53"/>
    <mergeCell ref="U53:X53"/>
    <mergeCell ref="Y53:Z53"/>
    <mergeCell ref="AA51:AB51"/>
    <mergeCell ref="AC51:AF51"/>
    <mergeCell ref="B52:I52"/>
    <mergeCell ref="J52:L52"/>
    <mergeCell ref="M52:P52"/>
    <mergeCell ref="Q52:T52"/>
    <mergeCell ref="U52:X52"/>
    <mergeCell ref="Y52:Z52"/>
    <mergeCell ref="AA52:AB52"/>
    <mergeCell ref="AC52:AF52"/>
    <mergeCell ref="B51:I51"/>
    <mergeCell ref="J51:L51"/>
    <mergeCell ref="M51:P51"/>
    <mergeCell ref="Q51:T51"/>
    <mergeCell ref="U51:X51"/>
    <mergeCell ref="Y51:Z51"/>
    <mergeCell ref="AA49:AB49"/>
    <mergeCell ref="AC49:AF49"/>
    <mergeCell ref="B50:I50"/>
    <mergeCell ref="J50:L50"/>
    <mergeCell ref="M50:P50"/>
    <mergeCell ref="Q50:T50"/>
    <mergeCell ref="U50:X50"/>
    <mergeCell ref="Y50:Z50"/>
    <mergeCell ref="AA50:AB50"/>
    <mergeCell ref="AC50:AF50"/>
    <mergeCell ref="B49:I49"/>
    <mergeCell ref="J49:L49"/>
    <mergeCell ref="M49:P49"/>
    <mergeCell ref="Q49:T49"/>
    <mergeCell ref="U49:X49"/>
    <mergeCell ref="Y49:Z49"/>
    <mergeCell ref="AA47:AB47"/>
    <mergeCell ref="AC47:AF47"/>
    <mergeCell ref="B48:I48"/>
    <mergeCell ref="J48:L48"/>
    <mergeCell ref="M48:P48"/>
    <mergeCell ref="Q48:T48"/>
    <mergeCell ref="U48:X48"/>
    <mergeCell ref="Y48:Z48"/>
    <mergeCell ref="AA48:AB48"/>
    <mergeCell ref="AC48:AF48"/>
    <mergeCell ref="B47:I47"/>
    <mergeCell ref="J47:L47"/>
    <mergeCell ref="M47:P47"/>
    <mergeCell ref="Q47:T47"/>
    <mergeCell ref="U47:X47"/>
    <mergeCell ref="Y47:Z47"/>
    <mergeCell ref="AA45:AB45"/>
    <mergeCell ref="AC45:AF45"/>
    <mergeCell ref="B46:I46"/>
    <mergeCell ref="J46:L46"/>
    <mergeCell ref="M46:P46"/>
    <mergeCell ref="Q46:T46"/>
    <mergeCell ref="U46:X46"/>
    <mergeCell ref="Y46:Z46"/>
    <mergeCell ref="AA46:AB46"/>
    <mergeCell ref="AC46:AF46"/>
    <mergeCell ref="B45:I45"/>
    <mergeCell ref="J45:L45"/>
    <mergeCell ref="M45:P45"/>
    <mergeCell ref="Q45:T45"/>
    <mergeCell ref="U45:X45"/>
    <mergeCell ref="Y45:Z45"/>
    <mergeCell ref="AA43:AB43"/>
    <mergeCell ref="AC43:AF43"/>
    <mergeCell ref="B44:I44"/>
    <mergeCell ref="J44:L44"/>
    <mergeCell ref="M44:P44"/>
    <mergeCell ref="Q44:T44"/>
    <mergeCell ref="U44:X44"/>
    <mergeCell ref="Y44:Z44"/>
    <mergeCell ref="AA44:AB44"/>
    <mergeCell ref="AC44:AF44"/>
    <mergeCell ref="B43:I43"/>
    <mergeCell ref="J43:L43"/>
    <mergeCell ref="M43:P43"/>
    <mergeCell ref="Q43:T43"/>
    <mergeCell ref="U43:X43"/>
    <mergeCell ref="Y43:Z43"/>
    <mergeCell ref="AA41:AB41"/>
    <mergeCell ref="AC41:AF41"/>
    <mergeCell ref="B42:I42"/>
    <mergeCell ref="J42:L42"/>
    <mergeCell ref="M42:P42"/>
    <mergeCell ref="Q42:T42"/>
    <mergeCell ref="U42:X42"/>
    <mergeCell ref="Y42:Z42"/>
    <mergeCell ref="AA42:AB42"/>
    <mergeCell ref="AC42:AF42"/>
    <mergeCell ref="B41:I41"/>
    <mergeCell ref="J41:L41"/>
    <mergeCell ref="M41:P41"/>
    <mergeCell ref="Q41:T41"/>
    <mergeCell ref="U41:X41"/>
    <mergeCell ref="Y41:Z41"/>
    <mergeCell ref="AA39:AB39"/>
    <mergeCell ref="AC39:AF39"/>
    <mergeCell ref="B40:I40"/>
    <mergeCell ref="J40:L40"/>
    <mergeCell ref="M40:P40"/>
    <mergeCell ref="Q40:T40"/>
    <mergeCell ref="U40:X40"/>
    <mergeCell ref="Y40:Z40"/>
    <mergeCell ref="AA40:AB40"/>
    <mergeCell ref="AC40:AF40"/>
    <mergeCell ref="B39:I39"/>
    <mergeCell ref="J39:L39"/>
    <mergeCell ref="M39:P39"/>
    <mergeCell ref="Q39:T39"/>
    <mergeCell ref="U39:X39"/>
    <mergeCell ref="Y39:Z39"/>
    <mergeCell ref="M35:P35"/>
    <mergeCell ref="Q35:T35"/>
    <mergeCell ref="U35:X35"/>
    <mergeCell ref="Y35:Z35"/>
    <mergeCell ref="AA37:AB37"/>
    <mergeCell ref="AC37:AF37"/>
    <mergeCell ref="B38:I38"/>
    <mergeCell ref="J38:L38"/>
    <mergeCell ref="M38:P38"/>
    <mergeCell ref="Q38:T38"/>
    <mergeCell ref="U38:X38"/>
    <mergeCell ref="Y38:Z38"/>
    <mergeCell ref="AA38:AB38"/>
    <mergeCell ref="AC38:AF38"/>
    <mergeCell ref="B37:I37"/>
    <mergeCell ref="J37:L37"/>
    <mergeCell ref="M37:P37"/>
    <mergeCell ref="Q37:T37"/>
    <mergeCell ref="U37:X37"/>
    <mergeCell ref="Y37:Z37"/>
    <mergeCell ref="AJ25:AQ25"/>
    <mergeCell ref="AJ27:AQ27"/>
    <mergeCell ref="AJ29:AQ29"/>
    <mergeCell ref="B31:B34"/>
    <mergeCell ref="C31:I34"/>
    <mergeCell ref="J31:L34"/>
    <mergeCell ref="M31:P34"/>
    <mergeCell ref="Q31:T34"/>
    <mergeCell ref="AM31:AM34"/>
    <mergeCell ref="AN31:AN34"/>
    <mergeCell ref="AO31:AP32"/>
    <mergeCell ref="AQ31:AQ34"/>
    <mergeCell ref="Y33:Z34"/>
    <mergeCell ref="AA33:AB34"/>
    <mergeCell ref="AO33:AO34"/>
    <mergeCell ref="AP33:AP34"/>
    <mergeCell ref="U31:X34"/>
    <mergeCell ref="Y31:AB32"/>
    <mergeCell ref="AC31:AF34"/>
    <mergeCell ref="AJ31:AJ34"/>
    <mergeCell ref="AK31:AK34"/>
    <mergeCell ref="AL31:AL34"/>
    <mergeCell ref="R29:AE29"/>
    <mergeCell ref="R82:AE82"/>
    <mergeCell ref="H8:AA8"/>
    <mergeCell ref="AB8:AF9"/>
    <mergeCell ref="B11:U11"/>
    <mergeCell ref="V11:AF11"/>
    <mergeCell ref="B2:K2"/>
    <mergeCell ref="B4:F6"/>
    <mergeCell ref="H4:AA6"/>
    <mergeCell ref="AB4:AF4"/>
    <mergeCell ref="AB5:AF7"/>
    <mergeCell ref="H7:AA7"/>
    <mergeCell ref="B16:C16"/>
    <mergeCell ref="AA35:AB35"/>
    <mergeCell ref="AC35:AF35"/>
    <mergeCell ref="B36:I36"/>
    <mergeCell ref="J36:L36"/>
    <mergeCell ref="M36:P36"/>
    <mergeCell ref="Q36:T36"/>
    <mergeCell ref="U36:X36"/>
    <mergeCell ref="Y36:Z36"/>
    <mergeCell ref="AA36:AB36"/>
    <mergeCell ref="AC36:AF36"/>
    <mergeCell ref="B35:I35"/>
    <mergeCell ref="J35:L35"/>
  </mergeCells>
  <conditionalFormatting sqref="P69">
    <cfRule type="expression" dxfId="211" priority="63" stopIfTrue="1">
      <formula>IF(AND($L$2="",$AG$69),TRUE,FALSE)</formula>
    </cfRule>
  </conditionalFormatting>
  <conditionalFormatting sqref="T16">
    <cfRule type="expression" dxfId="210" priority="62" stopIfTrue="1">
      <formula>IF(AND($L$2="",$AG$16),TRUE,FALSE)</formula>
    </cfRule>
  </conditionalFormatting>
  <conditionalFormatting sqref="T69">
    <cfRule type="expression" dxfId="209" priority="61" stopIfTrue="1">
      <formula>IF(AND($L$2="",$AG$69),TRUE,FALSE)</formula>
    </cfRule>
  </conditionalFormatting>
  <conditionalFormatting sqref="L2">
    <cfRule type="expression" dxfId="208" priority="64" stopIfTrue="1">
      <formula>IF(OR($AG$16,$AG$69),1,0)</formula>
    </cfRule>
  </conditionalFormatting>
  <conditionalFormatting sqref="B2">
    <cfRule type="expression" dxfId="207" priority="65" stopIfTrue="1">
      <formula>IF(OR($AG$16,$AG$69),1,0)</formula>
    </cfRule>
  </conditionalFormatting>
  <conditionalFormatting sqref="B11:AF11">
    <cfRule type="expression" dxfId="206" priority="47">
      <formula>IF(NoColor,1,0)</formula>
    </cfRule>
  </conditionalFormatting>
  <conditionalFormatting sqref="B35:AB54">
    <cfRule type="expression" dxfId="205" priority="41">
      <formula>IF(NoColor,1,0)</formula>
    </cfRule>
  </conditionalFormatting>
  <conditionalFormatting sqref="J35:J54">
    <cfRule type="expression" dxfId="204" priority="43" stopIfTrue="1">
      <formula>IF(AND($L$2="",AG35&lt;&gt;0),TRUE,FALSE)</formula>
    </cfRule>
  </conditionalFormatting>
  <conditionalFormatting sqref="M35:M54">
    <cfRule type="expression" dxfId="203" priority="42" stopIfTrue="1">
      <formula>IF(AND($L$2="",AG35&gt;0),TRUE,FALSE)</formula>
    </cfRule>
  </conditionalFormatting>
  <conditionalFormatting sqref="B64:AF64">
    <cfRule type="expression" dxfId="202" priority="40">
      <formula>IF(NoColor,1,0)</formula>
    </cfRule>
  </conditionalFormatting>
  <conditionalFormatting sqref="J88:J115">
    <cfRule type="expression" dxfId="201" priority="36" stopIfTrue="1">
      <formula>IF(AND($L$2="",AG88&lt;&gt;0),TRUE,FALSE)</formula>
    </cfRule>
  </conditionalFormatting>
  <conditionalFormatting sqref="M88:M115">
    <cfRule type="expression" dxfId="200" priority="35" stopIfTrue="1">
      <formula>IF(AND($L$2="",AG88&gt;0),TRUE,FALSE)</formula>
    </cfRule>
  </conditionalFormatting>
  <conditionalFormatting sqref="B88:AB115">
    <cfRule type="expression" dxfId="199" priority="34">
      <formula>IF(NoColor,1,0)</formula>
    </cfRule>
  </conditionalFormatting>
  <conditionalFormatting sqref="C78">
    <cfRule type="expression" dxfId="198" priority="26">
      <formula>IF(NoColor,1,0)</formula>
    </cfRule>
  </conditionalFormatting>
  <conditionalFormatting sqref="Q55:X59">
    <cfRule type="expression" dxfId="197" priority="23">
      <formula>IF(NoColor,1,0)</formula>
    </cfRule>
  </conditionalFormatting>
  <conditionalFormatting sqref="AA55:AF59">
    <cfRule type="expression" dxfId="196" priority="22">
      <formula>IF(NoColor,1,0)</formula>
    </cfRule>
  </conditionalFormatting>
  <conditionalFormatting sqref="Q116:X120">
    <cfRule type="expression" dxfId="195" priority="21">
      <formula>IF(NoColor,1,0)</formula>
    </cfRule>
  </conditionalFormatting>
  <conditionalFormatting sqref="AA116:AF120">
    <cfRule type="expression" dxfId="194" priority="20">
      <formula>IF(NoColor,1,0)</formula>
    </cfRule>
  </conditionalFormatting>
  <conditionalFormatting sqref="C25">
    <cfRule type="expression" dxfId="193" priority="16">
      <formula>IF(NoColor,1,0)</formula>
    </cfRule>
  </conditionalFormatting>
  <conditionalFormatting sqref="AC88:AF115">
    <cfRule type="expression" dxfId="192" priority="15">
      <formula>IF(NoColor,1,0)</formula>
    </cfRule>
  </conditionalFormatting>
  <conditionalFormatting sqref="AC35:AF54">
    <cfRule type="expression" dxfId="191" priority="14">
      <formula>IF(NoColor,1,0)</formula>
    </cfRule>
  </conditionalFormatting>
  <conditionalFormatting sqref="C80">
    <cfRule type="expression" dxfId="190" priority="13">
      <formula>IF(NoColor,1,0)</formula>
    </cfRule>
  </conditionalFormatting>
  <conditionalFormatting sqref="C82">
    <cfRule type="expression" dxfId="189" priority="12">
      <formula>IF(NoColor,1,0)</formula>
    </cfRule>
  </conditionalFormatting>
  <conditionalFormatting sqref="C27">
    <cfRule type="expression" dxfId="188" priority="11">
      <formula>IF(NoColor,1,0)</formula>
    </cfRule>
  </conditionalFormatting>
  <conditionalFormatting sqref="C29">
    <cfRule type="expression" dxfId="187" priority="10">
      <formula>IF(NoColor,1,0)</formula>
    </cfRule>
  </conditionalFormatting>
  <conditionalFormatting sqref="K74">
    <cfRule type="expression" dxfId="186" priority="4">
      <formula>IF($A$82&gt;1,1,0)</formula>
    </cfRule>
    <cfRule type="expression" dxfId="185" priority="7">
      <formula>IF($A$82&gt;1,1,0)</formula>
    </cfRule>
  </conditionalFormatting>
  <conditionalFormatting sqref="B74">
    <cfRule type="expression" dxfId="184" priority="3">
      <formula>IF($A$31=0,1,0)</formula>
    </cfRule>
  </conditionalFormatting>
  <conditionalFormatting sqref="B21">
    <cfRule type="expression" dxfId="183" priority="2">
      <formula>IF($A$31=0,1,0)</formula>
    </cfRule>
  </conditionalFormatting>
  <conditionalFormatting sqref="L21">
    <cfRule type="expression" dxfId="182" priority="1">
      <formula>IF($A$31&gt;1,1,0)</formula>
    </cfRule>
  </conditionalFormatting>
  <printOptions horizontalCentered="1"/>
  <pageMargins left="0.2" right="0.2" top="0.5" bottom="0.5" header="0.3" footer="0.3"/>
  <pageSetup scale="78" fitToHeight="2" orientation="portrait" r:id="rId1"/>
  <rowBreaks count="1" manualBreakCount="1">
    <brk id="61" min="1" max="31" man="1"/>
  </rowBreaks>
  <drawing r:id="rId2"/>
  <extLst>
    <ext xmlns:x14="http://schemas.microsoft.com/office/spreadsheetml/2009/9/main" uri="{78C0D931-6437-407d-A8EE-F0AAD7539E65}">
      <x14:conditionalFormattings>
        <x14:conditionalFormatting xmlns:xm="http://schemas.microsoft.com/office/excel/2006/main">
          <x14:cfRule type="expression" priority="9" stopIfTrue="1" id="{FF1D813B-CDD4-426E-B84E-126D84FACA65}">
            <xm:f>IF(AND('8949A'!$L$2="",'8949A'!$AG$16),TRUE,FALSE)</xm:f>
            <x14:dxf>
              <font>
                <b val="0"/>
                <i val="0"/>
                <color rgb="FFFF0000"/>
              </font>
            </x14:dxf>
          </x14:cfRule>
          <xm:sqref>T18:T19</xm:sqref>
        </x14:conditionalFormatting>
        <x14:conditionalFormatting xmlns:xm="http://schemas.microsoft.com/office/excel/2006/main">
          <x14:cfRule type="expression" priority="8" stopIfTrue="1" id="{A2D9BE0A-FD70-42C9-87DB-4C17D8C57EB8}">
            <xm:f>IF(AND('8949A'!$L$2="",'8949A'!$AG$16),TRUE,FALSE)</xm:f>
            <x14:dxf>
              <font>
                <b val="0"/>
                <i val="0"/>
                <color rgb="FFFF0000"/>
              </font>
            </x14:dxf>
          </x14:cfRule>
          <xm:sqref>T71:T72</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3"/>
  <sheetViews>
    <sheetView topLeftCell="A28" zoomScaleNormal="100" workbookViewId="0">
      <selection activeCell="K14" sqref="K14"/>
    </sheetView>
  </sheetViews>
  <sheetFormatPr defaultRowHeight="12.75"/>
  <cols>
    <col min="1" max="1" width="2.42578125" style="64" customWidth="1"/>
    <col min="2" max="2" width="7.85546875" customWidth="1"/>
    <col min="3" max="3" width="3.140625" customWidth="1"/>
    <col min="4" max="4" width="9.7109375" customWidth="1"/>
    <col min="5" max="5" width="9.42578125" customWidth="1"/>
    <col min="6" max="6" width="20.85546875" customWidth="1"/>
    <col min="7" max="7" width="9.28515625" customWidth="1"/>
    <col min="8" max="9" width="4" customWidth="1"/>
    <col min="10" max="10" width="6.140625" customWidth="1"/>
    <col min="11" max="11" width="14.140625" customWidth="1"/>
    <col min="12" max="12" width="3.7109375" customWidth="1"/>
    <col min="13" max="13" width="14.140625" customWidth="1"/>
    <col min="14" max="14" width="2.5703125" customWidth="1"/>
    <col min="15" max="15" width="3.85546875" customWidth="1"/>
    <col min="16" max="16" width="14.5703125" customWidth="1"/>
    <col min="17" max="17" width="2.28515625" customWidth="1"/>
    <col min="18" max="18" width="10.28515625" style="893" customWidth="1"/>
    <col min="19" max="19" width="9.140625" style="1453" hidden="1" customWidth="1"/>
    <col min="20" max="20" width="2.5703125" hidden="1" customWidth="1"/>
    <col min="21" max="22" width="9.140625" hidden="1" customWidth="1"/>
  </cols>
  <sheetData>
    <row r="1" spans="1:22" ht="17.25" customHeight="1">
      <c r="A1" s="1407"/>
      <c r="B1" s="1405"/>
      <c r="C1" s="1405"/>
      <c r="D1" s="1405"/>
      <c r="E1" s="1405"/>
      <c r="F1" s="1405"/>
      <c r="G1" s="1405"/>
      <c r="H1" s="1405"/>
      <c r="I1" s="1405"/>
      <c r="J1" s="1405"/>
      <c r="K1" s="1405"/>
      <c r="L1" s="1406"/>
      <c r="M1" s="857"/>
      <c r="N1" s="857"/>
    </row>
    <row r="2" spans="1:22" ht="6" customHeight="1">
      <c r="A2" s="1408"/>
      <c r="B2" s="1341"/>
      <c r="C2" s="857"/>
      <c r="D2" s="857"/>
      <c r="E2" s="857"/>
      <c r="F2" s="857"/>
      <c r="G2" s="1282"/>
      <c r="H2" s="857"/>
      <c r="I2" s="857"/>
      <c r="J2" s="857"/>
      <c r="K2" s="936"/>
      <c r="L2" s="936"/>
      <c r="M2" s="936"/>
      <c r="N2" s="936"/>
      <c r="O2" s="389"/>
    </row>
    <row r="3" spans="1:22">
      <c r="A3" s="112"/>
      <c r="B3" s="35"/>
      <c r="C3" s="35"/>
      <c r="D3" s="135"/>
      <c r="E3" s="44"/>
      <c r="F3" s="35"/>
      <c r="G3" s="35"/>
      <c r="H3" s="35"/>
      <c r="I3" s="35"/>
      <c r="J3" s="35"/>
      <c r="K3" s="35"/>
      <c r="L3" s="5272" t="s">
        <v>143</v>
      </c>
      <c r="M3" s="6162"/>
      <c r="N3" s="936"/>
      <c r="O3" s="1376"/>
    </row>
    <row r="4" spans="1:22" ht="20.25" customHeight="1">
      <c r="A4" s="112"/>
      <c r="B4" s="6060" t="s">
        <v>469</v>
      </c>
      <c r="C4" s="6281">
        <v>8959</v>
      </c>
      <c r="D4" s="6282"/>
      <c r="E4" s="6265" t="s">
        <v>1753</v>
      </c>
      <c r="F4" s="4942"/>
      <c r="G4" s="4942"/>
      <c r="H4" s="4942"/>
      <c r="I4" s="4942"/>
      <c r="J4" s="4942"/>
      <c r="K4" s="4943"/>
      <c r="L4" s="5137">
        <f>TaxYear</f>
        <v>2016</v>
      </c>
      <c r="M4" s="6253"/>
      <c r="N4" s="972"/>
      <c r="O4" s="327"/>
      <c r="P4" s="36" t="s">
        <v>149</v>
      </c>
      <c r="Q4" s="408"/>
      <c r="R4" s="1280"/>
    </row>
    <row r="5" spans="1:22" ht="14.25" customHeight="1">
      <c r="A5" s="112"/>
      <c r="B5" s="4979"/>
      <c r="C5" s="6283"/>
      <c r="D5" s="6284"/>
      <c r="E5" s="6428" t="s">
        <v>3219</v>
      </c>
      <c r="F5" s="6429"/>
      <c r="G5" s="6429"/>
      <c r="H5" s="6429"/>
      <c r="I5" s="6429"/>
      <c r="J5" s="6429"/>
      <c r="K5" s="6430"/>
      <c r="L5" s="6254"/>
      <c r="M5" s="6255"/>
      <c r="N5" s="973"/>
      <c r="O5" s="328"/>
      <c r="P5" s="36" t="s">
        <v>661</v>
      </c>
      <c r="Q5" s="360"/>
      <c r="R5" s="335"/>
    </row>
    <row r="6" spans="1:22" ht="12.75" customHeight="1">
      <c r="A6" s="112"/>
      <c r="B6" s="6270" t="s">
        <v>293</v>
      </c>
      <c r="C6" s="6271"/>
      <c r="D6" s="6272"/>
      <c r="E6" s="6262" t="s">
        <v>1754</v>
      </c>
      <c r="F6" s="6263"/>
      <c r="G6" s="6263"/>
      <c r="H6" s="6263"/>
      <c r="I6" s="6263"/>
      <c r="J6" s="6263"/>
      <c r="K6" s="6264"/>
      <c r="L6" s="6258" t="s">
        <v>486</v>
      </c>
      <c r="M6" s="5360"/>
      <c r="N6" s="972"/>
      <c r="O6" s="327"/>
      <c r="P6" s="993"/>
      <c r="Q6" s="360"/>
      <c r="R6" s="1188"/>
    </row>
    <row r="7" spans="1:22" ht="12.75" customHeight="1" thickBot="1">
      <c r="A7" s="112"/>
      <c r="B7" s="6273" t="s">
        <v>364</v>
      </c>
      <c r="C7" s="6274"/>
      <c r="D7" s="6275"/>
      <c r="E7" s="6259" t="s">
        <v>2189</v>
      </c>
      <c r="F7" s="6260"/>
      <c r="G7" s="6260"/>
      <c r="H7" s="6260"/>
      <c r="I7" s="6260"/>
      <c r="J7" s="6260"/>
      <c r="K7" s="6261"/>
      <c r="L7" s="6251" t="s">
        <v>1755</v>
      </c>
      <c r="M7" s="6252"/>
      <c r="N7" s="973"/>
      <c r="O7" s="328"/>
      <c r="P7" s="993"/>
      <c r="Q7" s="408"/>
      <c r="R7" s="1188"/>
    </row>
    <row r="8" spans="1:22" ht="11.25" customHeight="1">
      <c r="A8" s="112"/>
      <c r="B8" s="32" t="s">
        <v>98</v>
      </c>
      <c r="C8" s="222"/>
      <c r="D8" s="222"/>
      <c r="E8" s="189"/>
      <c r="F8" s="191"/>
      <c r="G8" s="205"/>
      <c r="H8" s="191"/>
      <c r="I8" s="191"/>
      <c r="J8" s="191"/>
      <c r="K8" s="6269" t="s">
        <v>148</v>
      </c>
      <c r="L8" s="5383"/>
      <c r="M8" s="5383"/>
      <c r="N8" s="972"/>
      <c r="O8" s="327"/>
      <c r="P8" s="993"/>
      <c r="Q8" s="408"/>
      <c r="R8" s="334"/>
    </row>
    <row r="9" spans="1:22" ht="14.25" customHeight="1">
      <c r="A9" s="112"/>
      <c r="B9" s="6285" t="str">
        <f>Names</f>
        <v/>
      </c>
      <c r="C9" s="6286"/>
      <c r="D9" s="6286"/>
      <c r="E9" s="6286"/>
      <c r="F9" s="6286"/>
      <c r="G9" s="6286"/>
      <c r="H9" s="6286"/>
      <c r="I9" s="6286"/>
      <c r="J9" s="6287"/>
      <c r="K9" s="5269">
        <f>SS_Yours</f>
        <v>0</v>
      </c>
      <c r="L9" s="6266"/>
      <c r="M9" s="6266"/>
      <c r="N9" s="973"/>
      <c r="O9" s="328"/>
      <c r="P9" s="993"/>
      <c r="Q9" s="408"/>
      <c r="R9" s="334"/>
    </row>
    <row r="10" spans="1:22" ht="15.75">
      <c r="A10" s="112"/>
      <c r="B10" s="1008" t="s">
        <v>525</v>
      </c>
      <c r="C10" s="6431" t="s">
        <v>1756</v>
      </c>
      <c r="D10" s="6256"/>
      <c r="E10" s="6257"/>
      <c r="F10" s="6257"/>
      <c r="G10" s="6257"/>
      <c r="H10" s="6257"/>
      <c r="I10" s="6257"/>
      <c r="J10" s="6257"/>
      <c r="K10" s="6257"/>
      <c r="L10" s="6257"/>
      <c r="M10" s="6257"/>
      <c r="N10" s="974"/>
      <c r="O10" s="837"/>
      <c r="P10" s="993"/>
      <c r="Q10" s="408"/>
      <c r="R10" s="11"/>
    </row>
    <row r="11" spans="1:22" s="1453" customFormat="1" ht="12" customHeight="1">
      <c r="A11" s="112"/>
      <c r="B11" s="237">
        <v>1</v>
      </c>
      <c r="C11" s="507" t="s">
        <v>1757</v>
      </c>
      <c r="D11" s="507"/>
      <c r="E11" s="2845"/>
      <c r="F11" s="2845"/>
      <c r="G11" s="299"/>
      <c r="H11" s="299"/>
      <c r="I11" s="299"/>
      <c r="J11" s="2851"/>
      <c r="K11" s="302"/>
      <c r="L11" s="292"/>
      <c r="M11" s="754"/>
      <c r="N11" s="975"/>
      <c r="O11" s="2734"/>
      <c r="P11" s="849"/>
      <c r="Q11" s="617"/>
      <c r="R11" s="338"/>
      <c r="T11"/>
      <c r="U11"/>
      <c r="V11"/>
    </row>
    <row r="12" spans="1:22" s="1453" customFormat="1" ht="12" customHeight="1">
      <c r="A12" s="112"/>
      <c r="B12" s="237"/>
      <c r="C12" s="507" t="s">
        <v>1758</v>
      </c>
      <c r="D12" s="507"/>
      <c r="E12" s="2845"/>
      <c r="F12" s="2845"/>
      <c r="G12" s="299"/>
      <c r="H12" s="299"/>
      <c r="I12" s="299"/>
      <c r="J12" s="992"/>
      <c r="K12" s="302"/>
      <c r="L12" s="292"/>
      <c r="M12" s="824"/>
      <c r="N12" s="975"/>
      <c r="O12" s="2734"/>
      <c r="P12" s="849"/>
      <c r="Q12" s="617"/>
      <c r="R12" s="338"/>
      <c r="T12"/>
      <c r="U12"/>
      <c r="V12"/>
    </row>
    <row r="13" spans="1:22" ht="12" customHeight="1">
      <c r="A13" s="112"/>
      <c r="B13" s="302"/>
      <c r="C13" s="507" t="s">
        <v>933</v>
      </c>
      <c r="D13" s="2844"/>
      <c r="E13" s="2845"/>
      <c r="F13" s="2845"/>
      <c r="G13" s="299"/>
      <c r="H13" s="302"/>
      <c r="I13" s="237" t="s">
        <v>999</v>
      </c>
      <c r="J13" s="830">
        <f>B11</f>
        <v>1</v>
      </c>
      <c r="K13" s="2798">
        <f>IF(P13&lt;&gt;"",P13,MedCare_wages)</f>
        <v>0</v>
      </c>
      <c r="L13" s="997"/>
      <c r="M13" s="755"/>
      <c r="N13" s="976"/>
      <c r="O13" s="332"/>
      <c r="P13" s="638"/>
      <c r="Q13" s="56"/>
      <c r="R13" s="305"/>
    </row>
    <row r="14" spans="1:22" ht="12" customHeight="1">
      <c r="A14" s="112"/>
      <c r="B14" s="302">
        <v>2</v>
      </c>
      <c r="C14" s="507" t="s">
        <v>1759</v>
      </c>
      <c r="D14" s="2844"/>
      <c r="E14" s="2845"/>
      <c r="F14" s="2845"/>
      <c r="G14" s="299"/>
      <c r="H14" s="302"/>
      <c r="I14" s="237" t="s">
        <v>260</v>
      </c>
      <c r="J14" s="830">
        <f>B14</f>
        <v>2</v>
      </c>
      <c r="K14" s="2799"/>
      <c r="L14" s="997"/>
      <c r="M14" s="755"/>
      <c r="N14" s="976"/>
      <c r="O14" s="332"/>
      <c r="P14" s="849"/>
      <c r="Q14" s="56"/>
      <c r="R14" s="305"/>
    </row>
    <row r="15" spans="1:22" ht="12" customHeight="1">
      <c r="A15" s="112"/>
      <c r="B15" s="302">
        <v>3</v>
      </c>
      <c r="C15" s="507" t="s">
        <v>1761</v>
      </c>
      <c r="D15" s="2844"/>
      <c r="E15" s="2845"/>
      <c r="F15" s="2845"/>
      <c r="G15" s="299"/>
      <c r="H15" s="302"/>
      <c r="I15" s="237" t="s">
        <v>1760</v>
      </c>
      <c r="J15" s="830">
        <f>B15</f>
        <v>3</v>
      </c>
      <c r="K15" s="2799"/>
      <c r="L15" s="997"/>
      <c r="M15" s="755"/>
      <c r="N15" s="976"/>
      <c r="O15" s="332"/>
      <c r="P15" s="823"/>
      <c r="Q15" s="56"/>
      <c r="R15" s="305"/>
    </row>
    <row r="16" spans="1:22" ht="12" customHeight="1">
      <c r="A16" s="112"/>
      <c r="B16" s="302">
        <v>4</v>
      </c>
      <c r="C16" s="507" t="s">
        <v>1762</v>
      </c>
      <c r="D16" s="2844"/>
      <c r="E16" s="2845"/>
      <c r="F16" s="2845"/>
      <c r="G16" s="299"/>
      <c r="H16" s="302"/>
      <c r="I16" s="237" t="s">
        <v>730</v>
      </c>
      <c r="J16" s="830">
        <f>B16</f>
        <v>4</v>
      </c>
      <c r="K16" s="2798">
        <f>SUM(K13:K15)</f>
        <v>0</v>
      </c>
      <c r="L16" s="997"/>
      <c r="M16" s="755"/>
      <c r="N16" s="976"/>
      <c r="O16" s="332"/>
      <c r="P16" s="823"/>
      <c r="Q16" s="56"/>
      <c r="R16" s="305"/>
    </row>
    <row r="17" spans="1:22" s="1453" customFormat="1" ht="12" customHeight="1">
      <c r="A17" s="112"/>
      <c r="B17" s="237">
        <v>5</v>
      </c>
      <c r="C17" s="507" t="s">
        <v>1763</v>
      </c>
      <c r="D17" s="507"/>
      <c r="E17" s="2845"/>
      <c r="F17" s="2845"/>
      <c r="G17" s="299"/>
      <c r="H17" s="299"/>
      <c r="I17" s="299"/>
      <c r="J17" s="2851"/>
      <c r="K17" s="302"/>
      <c r="L17" s="292"/>
      <c r="M17" s="755"/>
      <c r="N17" s="975"/>
      <c r="O17" s="2734"/>
      <c r="P17" s="823"/>
      <c r="Q17" s="617"/>
      <c r="R17" s="338"/>
      <c r="T17"/>
      <c r="U17"/>
      <c r="V17"/>
    </row>
    <row r="18" spans="1:22" s="1453" customFormat="1" ht="12" customHeight="1">
      <c r="A18" s="112"/>
      <c r="B18" s="237"/>
      <c r="C18" s="507" t="s">
        <v>749</v>
      </c>
      <c r="D18" s="507"/>
      <c r="E18" s="2845"/>
      <c r="F18" s="237" t="s">
        <v>1001</v>
      </c>
      <c r="G18" s="2849">
        <v>250000</v>
      </c>
      <c r="H18" s="299"/>
      <c r="I18" s="299"/>
      <c r="J18" s="992"/>
      <c r="K18" s="302"/>
      <c r="L18" s="292"/>
      <c r="M18" s="755"/>
      <c r="N18" s="975"/>
      <c r="O18" s="2734"/>
      <c r="P18" s="823"/>
      <c r="Q18" s="617"/>
      <c r="R18" s="338"/>
      <c r="T18"/>
      <c r="U18"/>
      <c r="V18"/>
    </row>
    <row r="19" spans="1:22" s="1453" customFormat="1" ht="12" customHeight="1">
      <c r="A19" s="112"/>
      <c r="B19" s="237"/>
      <c r="C19" s="507" t="s">
        <v>438</v>
      </c>
      <c r="D19" s="507"/>
      <c r="E19" s="2845"/>
      <c r="F19" s="237" t="s">
        <v>985</v>
      </c>
      <c r="G19" s="2849">
        <v>125000</v>
      </c>
      <c r="H19" s="299"/>
      <c r="I19" s="299"/>
      <c r="J19" s="992"/>
      <c r="K19" s="302"/>
      <c r="L19" s="292"/>
      <c r="M19" s="824"/>
      <c r="N19" s="975"/>
      <c r="O19" s="2734"/>
      <c r="P19" s="823"/>
      <c r="Q19" s="617"/>
      <c r="R19" s="338"/>
      <c r="T19"/>
      <c r="U19"/>
      <c r="V19"/>
    </row>
    <row r="20" spans="1:22" ht="12" customHeight="1">
      <c r="A20" s="112"/>
      <c r="B20" s="302"/>
      <c r="C20" s="507" t="s">
        <v>1764</v>
      </c>
      <c r="D20" s="2844"/>
      <c r="E20" s="2845"/>
      <c r="F20" s="2845"/>
      <c r="G20" s="2849">
        <v>200000</v>
      </c>
      <c r="H20" s="302"/>
      <c r="I20" s="237"/>
      <c r="J20" s="830">
        <f>B17</f>
        <v>5</v>
      </c>
      <c r="K20" s="2798" t="str">
        <f>IF(M20="---","Filing Status?",M20)</f>
        <v>Filing Status?</v>
      </c>
      <c r="L20" s="997"/>
      <c r="M20" s="2898" t="str">
        <f>IF(File_Marr_Joint&lt;&gt;"",G18,IF(File_Marr_Sep&lt;&gt;"",G19,IF(OR(File_Single&lt;&gt;"",File_Head&lt;&gt;"",File_Qual_Widow&lt;&gt;""),G20,"---")))</f>
        <v>---</v>
      </c>
      <c r="N20" s="976"/>
      <c r="O20" s="332"/>
      <c r="P20" s="823"/>
      <c r="Q20" s="56"/>
      <c r="R20" s="305"/>
    </row>
    <row r="21" spans="1:22" ht="12.75" customHeight="1">
      <c r="A21" s="112"/>
      <c r="B21" s="237">
        <v>6</v>
      </c>
      <c r="C21" s="507" t="s">
        <v>1765</v>
      </c>
      <c r="D21" s="507"/>
      <c r="E21" s="2845"/>
      <c r="F21" s="2845"/>
      <c r="G21" s="299"/>
      <c r="H21" s="299"/>
      <c r="I21" s="299"/>
      <c r="J21" s="299"/>
      <c r="K21" s="807"/>
      <c r="L21" s="322">
        <f>B21</f>
        <v>6</v>
      </c>
      <c r="M21" s="2798" t="str">
        <f>IF(M20="---","",IF(K20&gt;=K16,0,SUM(K16,-K20)))</f>
        <v/>
      </c>
      <c r="N21" s="976"/>
      <c r="O21" s="332"/>
      <c r="P21" s="823"/>
      <c r="Q21" s="617"/>
      <c r="R21" s="338"/>
    </row>
    <row r="22" spans="1:22" s="1453" customFormat="1" ht="12" customHeight="1">
      <c r="A22" s="112"/>
      <c r="B22" s="237">
        <v>7</v>
      </c>
      <c r="C22" s="507" t="str">
        <f>"Additional Medicare Tax on Medicare wages. Multiply line 6 by "&amp;TEXT(M22,"0.0%")&amp;" ("&amp;TEXT(M22,"0.000")&amp;"). Enter here and"</f>
        <v>Additional Medicare Tax on Medicare wages. Multiply line 6 by 0.9% (0.009). Enter here and</v>
      </c>
      <c r="D22" s="507"/>
      <c r="E22" s="2845"/>
      <c r="F22" s="2845"/>
      <c r="G22" s="299"/>
      <c r="H22" s="299"/>
      <c r="I22" s="299"/>
      <c r="J22" s="299"/>
      <c r="K22" s="302"/>
      <c r="L22" s="292"/>
      <c r="M22" s="2850">
        <v>8.9999999999999993E-3</v>
      </c>
      <c r="N22" s="975"/>
      <c r="O22" s="2734"/>
      <c r="P22" s="823"/>
      <c r="Q22" s="617"/>
      <c r="R22" s="338"/>
      <c r="T22"/>
      <c r="U22"/>
      <c r="V22"/>
    </row>
    <row r="23" spans="1:22" ht="11.25" customHeight="1">
      <c r="A23" s="112"/>
      <c r="B23" s="237"/>
      <c r="C23" s="507" t="s">
        <v>1766</v>
      </c>
      <c r="D23" s="2844"/>
      <c r="E23" s="2845"/>
      <c r="F23" s="2845"/>
      <c r="G23" s="299"/>
      <c r="H23" s="299"/>
      <c r="I23" s="299"/>
      <c r="J23" s="299"/>
      <c r="K23" s="807" t="s">
        <v>1155</v>
      </c>
      <c r="L23" s="292">
        <f>B22</f>
        <v>7</v>
      </c>
      <c r="M23" s="2798" t="str">
        <f>IF(P23&lt;&gt;"",ROUND(P23,0),IF(M20="---","",ROUND(M21*M22,0)))</f>
        <v/>
      </c>
      <c r="N23" s="976"/>
      <c r="O23" s="333"/>
      <c r="P23" s="638"/>
      <c r="Q23" s="617"/>
      <c r="R23" s="856"/>
    </row>
    <row r="24" spans="1:22" s="1453" customFormat="1" ht="15.75" customHeight="1">
      <c r="A24" s="112"/>
      <c r="B24" s="839" t="s">
        <v>194</v>
      </c>
      <c r="C24" s="6432" t="s">
        <v>1767</v>
      </c>
      <c r="D24" s="6267"/>
      <c r="E24" s="6268"/>
      <c r="F24" s="6268"/>
      <c r="G24" s="6268"/>
      <c r="H24" s="6268"/>
      <c r="I24" s="6268"/>
      <c r="J24" s="6268"/>
      <c r="K24" s="6268"/>
      <c r="L24" s="6268"/>
      <c r="M24" s="6268"/>
      <c r="N24" s="977"/>
      <c r="O24" s="840"/>
      <c r="P24" s="823"/>
      <c r="Q24" s="575"/>
      <c r="R24" s="846"/>
      <c r="T24"/>
      <c r="U24"/>
      <c r="V24"/>
    </row>
    <row r="25" spans="1:22" s="1453" customFormat="1" ht="12" customHeight="1">
      <c r="A25" s="112"/>
      <c r="B25" s="237">
        <v>8</v>
      </c>
      <c r="C25" s="507" t="s">
        <v>1768</v>
      </c>
      <c r="D25" s="507"/>
      <c r="E25" s="2845"/>
      <c r="F25" s="2845"/>
      <c r="G25" s="299"/>
      <c r="H25" s="299"/>
      <c r="I25" s="299"/>
      <c r="J25" s="2851"/>
      <c r="K25" s="302"/>
      <c r="L25" s="292"/>
      <c r="M25" s="754"/>
      <c r="N25" s="975"/>
      <c r="O25" s="2734"/>
      <c r="P25" s="823"/>
      <c r="Q25" s="617"/>
      <c r="R25" s="338"/>
      <c r="T25"/>
      <c r="U25"/>
      <c r="V25"/>
    </row>
    <row r="26" spans="1:22" s="1453" customFormat="1" ht="12" customHeight="1">
      <c r="A26" s="112"/>
      <c r="B26" s="237"/>
      <c r="C26" s="507" t="s">
        <v>1769</v>
      </c>
      <c r="D26" s="507"/>
      <c r="E26" s="2845"/>
      <c r="F26" s="2845"/>
      <c r="G26" s="299"/>
      <c r="H26" s="299"/>
      <c r="I26" s="299"/>
      <c r="J26" s="992"/>
      <c r="K26" s="302"/>
      <c r="L26" s="292"/>
      <c r="M26" s="824"/>
      <c r="N26" s="975"/>
      <c r="O26" s="2734"/>
      <c r="P26" s="823"/>
      <c r="Q26" s="617"/>
      <c r="R26" s="338"/>
      <c r="T26"/>
      <c r="U26"/>
      <c r="V26"/>
    </row>
    <row r="27" spans="1:22" ht="12" customHeight="1">
      <c r="A27" s="112"/>
      <c r="B27" s="302"/>
      <c r="C27" s="2852" t="s">
        <v>1770</v>
      </c>
      <c r="D27" s="2844"/>
      <c r="E27" s="2845"/>
      <c r="F27" s="2845"/>
      <c r="G27" s="299"/>
      <c r="H27" s="302"/>
      <c r="I27" s="237" t="s">
        <v>1771</v>
      </c>
      <c r="J27" s="830">
        <f>B25</f>
        <v>8</v>
      </c>
      <c r="K27" s="2798" t="str">
        <f>IF(P27&lt;&gt;"",P27,IF('Sch. SE'!C42&lt;&gt;"",'Sch. SE'!V58,IF('Sch. SE'!P42&lt;&gt;"",'Sch. SE'!V97,"")))</f>
        <v/>
      </c>
      <c r="L27" s="997"/>
      <c r="M27" s="755"/>
      <c r="N27" s="976"/>
      <c r="O27" s="332"/>
      <c r="P27" s="638"/>
      <c r="Q27" s="56"/>
      <c r="R27" s="305"/>
    </row>
    <row r="28" spans="1:22" s="1453" customFormat="1" ht="12" customHeight="1">
      <c r="A28" s="112"/>
      <c r="B28" s="237">
        <v>9</v>
      </c>
      <c r="C28" s="507" t="s">
        <v>1763</v>
      </c>
      <c r="D28" s="507"/>
      <c r="E28" s="2845"/>
      <c r="F28" s="2845"/>
      <c r="G28" s="299"/>
      <c r="H28" s="299"/>
      <c r="I28" s="299"/>
      <c r="J28" s="2851"/>
      <c r="K28" s="302"/>
      <c r="L28" s="292"/>
      <c r="M28" s="755"/>
      <c r="N28" s="975"/>
      <c r="O28" s="2734"/>
      <c r="P28" s="823"/>
      <c r="Q28" s="617"/>
      <c r="R28" s="338"/>
      <c r="T28"/>
      <c r="U28"/>
      <c r="V28"/>
    </row>
    <row r="29" spans="1:22" s="1453" customFormat="1" ht="12" customHeight="1">
      <c r="A29" s="112"/>
      <c r="B29" s="237"/>
      <c r="C29" s="507" t="s">
        <v>749</v>
      </c>
      <c r="D29" s="507"/>
      <c r="E29" s="2845"/>
      <c r="F29" s="237" t="s">
        <v>1001</v>
      </c>
      <c r="G29" s="2849">
        <v>250000</v>
      </c>
      <c r="H29" s="299"/>
      <c r="I29" s="299"/>
      <c r="J29" s="992"/>
      <c r="K29" s="302"/>
      <c r="L29" s="292"/>
      <c r="M29" s="755"/>
      <c r="N29" s="975"/>
      <c r="O29" s="2734"/>
      <c r="P29" s="823"/>
      <c r="Q29" s="617"/>
      <c r="R29" s="338"/>
      <c r="T29"/>
      <c r="U29"/>
      <c r="V29"/>
    </row>
    <row r="30" spans="1:22" s="1453" customFormat="1" ht="12" customHeight="1">
      <c r="A30" s="112"/>
      <c r="B30" s="237"/>
      <c r="C30" s="507" t="s">
        <v>438</v>
      </c>
      <c r="D30" s="507"/>
      <c r="E30" s="2845"/>
      <c r="F30" s="237" t="s">
        <v>985</v>
      </c>
      <c r="G30" s="2849">
        <v>125000</v>
      </c>
      <c r="H30" s="299"/>
      <c r="I30" s="299"/>
      <c r="J30" s="992"/>
      <c r="K30" s="302"/>
      <c r="L30" s="292"/>
      <c r="M30" s="824"/>
      <c r="N30" s="975"/>
      <c r="O30" s="2734"/>
      <c r="P30" s="823"/>
      <c r="Q30" s="617"/>
      <c r="R30" s="338"/>
      <c r="T30"/>
      <c r="U30"/>
      <c r="V30"/>
    </row>
    <row r="31" spans="1:22" ht="12" customHeight="1">
      <c r="A31" s="112"/>
      <c r="B31" s="302"/>
      <c r="C31" s="507" t="s">
        <v>1764</v>
      </c>
      <c r="D31" s="2844"/>
      <c r="E31" s="2845"/>
      <c r="F31" s="2845"/>
      <c r="G31" s="2849">
        <v>200000</v>
      </c>
      <c r="H31" s="302"/>
      <c r="I31" s="237"/>
      <c r="J31" s="830">
        <f>B28</f>
        <v>9</v>
      </c>
      <c r="K31" s="2798" t="str">
        <f>IF(M31="---","Filing Status?",M31)</f>
        <v>Filing Status?</v>
      </c>
      <c r="L31" s="997"/>
      <c r="M31" s="2898" t="str">
        <f>IF(File_Marr_Joint&lt;&gt;"",G29,IF(File_Marr_Sep&lt;&gt;"",G30,IF(OR(File_Single&lt;&gt;"",File_Head&lt;&gt;"",File_Qual_Widow&lt;&gt;""),G31,"---")))</f>
        <v>---</v>
      </c>
      <c r="N31" s="976"/>
      <c r="O31" s="332"/>
      <c r="P31" s="823"/>
      <c r="Q31" s="56"/>
      <c r="R31" s="305"/>
    </row>
    <row r="32" spans="1:22" ht="12" customHeight="1">
      <c r="A32" s="112"/>
      <c r="B32" s="302">
        <v>10</v>
      </c>
      <c r="C32" s="507" t="s">
        <v>1772</v>
      </c>
      <c r="D32" s="2844"/>
      <c r="E32" s="2845"/>
      <c r="F32" s="2845"/>
      <c r="G32" s="299"/>
      <c r="H32" s="302"/>
      <c r="I32" s="237" t="s">
        <v>1659</v>
      </c>
      <c r="J32" s="830">
        <f>B32</f>
        <v>10</v>
      </c>
      <c r="K32" s="2798" t="str">
        <f>IF(M31="---","",K16)</f>
        <v/>
      </c>
      <c r="L32" s="997"/>
      <c r="M32" s="755"/>
      <c r="N32" s="976"/>
      <c r="O32" s="332"/>
      <c r="P32" s="823"/>
      <c r="Q32" s="56"/>
      <c r="R32" s="305"/>
    </row>
    <row r="33" spans="1:22" ht="12" customHeight="1">
      <c r="A33" s="112"/>
      <c r="B33" s="302">
        <v>11</v>
      </c>
      <c r="C33" s="507" t="s">
        <v>1773</v>
      </c>
      <c r="D33" s="2844"/>
      <c r="E33" s="2845"/>
      <c r="F33" s="2845"/>
      <c r="G33" s="299"/>
      <c r="H33" s="302"/>
      <c r="I33" s="237" t="s">
        <v>1135</v>
      </c>
      <c r="J33" s="830">
        <f>B33</f>
        <v>11</v>
      </c>
      <c r="K33" s="2798" t="str">
        <f>IF(K27="","",IF(K32&gt;=K31,0,SUM(K31,-K32)))</f>
        <v/>
      </c>
      <c r="L33" s="997"/>
      <c r="M33" s="755"/>
      <c r="N33" s="976"/>
      <c r="O33" s="332"/>
      <c r="P33" s="823"/>
      <c r="Q33" s="56"/>
      <c r="R33" s="305"/>
    </row>
    <row r="34" spans="1:22" ht="12.75" customHeight="1">
      <c r="A34" s="112"/>
      <c r="B34" s="237">
        <v>12</v>
      </c>
      <c r="C34" s="507" t="s">
        <v>1774</v>
      </c>
      <c r="D34" s="507"/>
      <c r="E34" s="2845"/>
      <c r="F34" s="2845"/>
      <c r="G34" s="299"/>
      <c r="H34" s="299"/>
      <c r="I34" s="299"/>
      <c r="J34" s="299"/>
      <c r="K34" s="807"/>
      <c r="L34" s="322">
        <f>B34</f>
        <v>12</v>
      </c>
      <c r="M34" s="2798" t="str">
        <f>IF(M31="---","",IF(OR(K27="",K33&gt;=K27),0,SUM(K27,-K33)))</f>
        <v/>
      </c>
      <c r="N34" s="976"/>
      <c r="O34" s="332"/>
      <c r="P34" s="823"/>
      <c r="Q34" s="617"/>
      <c r="R34" s="338"/>
    </row>
    <row r="35" spans="1:22" s="1453" customFormat="1" ht="12" customHeight="1">
      <c r="A35" s="112"/>
      <c r="B35" s="237">
        <v>13</v>
      </c>
      <c r="C35" s="507" t="str">
        <f>"Additional Medicare Tax on self-employment income. Multiply line 12 by "&amp;TEXT(M35,"0.0%")&amp;" ("&amp;TEXT(M35,"0.000")&amp;"). Enter here and"</f>
        <v>Additional Medicare Tax on self-employment income. Multiply line 12 by 0.9% (0.009). Enter here and</v>
      </c>
      <c r="D35" s="507"/>
      <c r="E35" s="2845"/>
      <c r="F35" s="2845"/>
      <c r="G35" s="299"/>
      <c r="H35" s="299"/>
      <c r="I35" s="299"/>
      <c r="J35" s="299"/>
      <c r="K35" s="302"/>
      <c r="L35" s="292"/>
      <c r="M35" s="2850">
        <v>8.9999999999999993E-3</v>
      </c>
      <c r="N35" s="975"/>
      <c r="O35" s="2734"/>
      <c r="P35" s="823"/>
      <c r="Q35" s="617"/>
      <c r="R35" s="338"/>
      <c r="T35"/>
      <c r="U35"/>
      <c r="V35"/>
    </row>
    <row r="36" spans="1:22" ht="12.75" customHeight="1">
      <c r="A36" s="112"/>
      <c r="B36" s="237"/>
      <c r="C36" s="507" t="s">
        <v>1775</v>
      </c>
      <c r="D36" s="2844"/>
      <c r="E36" s="2845"/>
      <c r="F36" s="2845"/>
      <c r="G36" s="299"/>
      <c r="H36" s="299"/>
      <c r="I36" s="299"/>
      <c r="J36" s="299"/>
      <c r="K36" s="2476" t="s">
        <v>483</v>
      </c>
      <c r="L36" s="292">
        <f>B35</f>
        <v>13</v>
      </c>
      <c r="M36" s="2798" t="str">
        <f>IF(M31="---","",IF(P36&lt;&gt;"",P36,ROUND(M34*M35,0)))</f>
        <v/>
      </c>
      <c r="N36" s="976"/>
      <c r="O36" s="333"/>
      <c r="P36" s="638"/>
      <c r="Q36" s="617"/>
      <c r="R36" s="856"/>
    </row>
    <row r="37" spans="1:22" s="1453" customFormat="1" ht="15.75" customHeight="1">
      <c r="A37" s="112"/>
      <c r="B37" s="839" t="s">
        <v>514</v>
      </c>
      <c r="C37" s="6432" t="s">
        <v>1776</v>
      </c>
      <c r="D37" s="6267"/>
      <c r="E37" s="6268"/>
      <c r="F37" s="6268"/>
      <c r="G37" s="6268"/>
      <c r="H37" s="6268"/>
      <c r="I37" s="6268"/>
      <c r="J37" s="6268"/>
      <c r="K37" s="6268"/>
      <c r="L37" s="6268"/>
      <c r="M37" s="6268"/>
      <c r="N37" s="977"/>
      <c r="O37" s="840"/>
      <c r="P37" s="823"/>
      <c r="Q37" s="575"/>
      <c r="R37" s="846"/>
      <c r="T37"/>
      <c r="U37"/>
      <c r="V37"/>
    </row>
    <row r="38" spans="1:22" s="1453" customFormat="1" ht="12" customHeight="1">
      <c r="A38" s="112"/>
      <c r="B38" s="237">
        <v>14</v>
      </c>
      <c r="C38" s="507" t="s">
        <v>1777</v>
      </c>
      <c r="D38" s="507"/>
      <c r="E38" s="2845"/>
      <c r="F38" s="2845"/>
      <c r="G38" s="299"/>
      <c r="H38" s="299"/>
      <c r="I38" s="299"/>
      <c r="J38" s="2851"/>
      <c r="K38" s="302"/>
      <c r="L38" s="292"/>
      <c r="M38" s="754"/>
      <c r="N38" s="975"/>
      <c r="O38" s="2734"/>
      <c r="P38" s="823"/>
      <c r="Q38" s="617"/>
      <c r="R38" s="338"/>
      <c r="T38"/>
      <c r="U38"/>
      <c r="V38"/>
    </row>
    <row r="39" spans="1:22" ht="12" customHeight="1">
      <c r="A39" s="112"/>
      <c r="B39" s="302"/>
      <c r="C39" s="2852" t="s">
        <v>1778</v>
      </c>
      <c r="D39" s="2844"/>
      <c r="E39" s="2845"/>
      <c r="F39" s="2845"/>
      <c r="G39" s="299"/>
      <c r="H39" s="302"/>
      <c r="I39" s="237" t="s">
        <v>1771</v>
      </c>
      <c r="J39" s="830">
        <f>B38</f>
        <v>14</v>
      </c>
      <c r="K39" s="2799"/>
      <c r="L39" s="997"/>
      <c r="M39" s="755"/>
      <c r="N39" s="976"/>
      <c r="O39" s="332"/>
      <c r="P39" s="823"/>
      <c r="Q39" s="56"/>
      <c r="R39" s="305"/>
    </row>
    <row r="40" spans="1:22" s="1453" customFormat="1" ht="12" customHeight="1">
      <c r="A40" s="112"/>
      <c r="B40" s="237">
        <v>15</v>
      </c>
      <c r="C40" s="507" t="s">
        <v>1763</v>
      </c>
      <c r="D40" s="507"/>
      <c r="E40" s="2845"/>
      <c r="F40" s="2845"/>
      <c r="G40" s="299"/>
      <c r="H40" s="299"/>
      <c r="I40" s="299"/>
      <c r="J40" s="2851"/>
      <c r="K40" s="302"/>
      <c r="L40" s="292"/>
      <c r="M40" s="755"/>
      <c r="N40" s="975"/>
      <c r="O40" s="2734"/>
      <c r="P40" s="823"/>
      <c r="Q40" s="617"/>
      <c r="R40" s="338"/>
      <c r="T40"/>
      <c r="U40"/>
      <c r="V40"/>
    </row>
    <row r="41" spans="1:22" s="1453" customFormat="1" ht="12" customHeight="1">
      <c r="A41" s="112"/>
      <c r="B41" s="237"/>
      <c r="C41" s="507" t="s">
        <v>749</v>
      </c>
      <c r="D41" s="507"/>
      <c r="E41" s="2845"/>
      <c r="F41" s="237" t="s">
        <v>1001</v>
      </c>
      <c r="G41" s="2849">
        <v>250000</v>
      </c>
      <c r="H41" s="299"/>
      <c r="I41" s="299"/>
      <c r="J41" s="992"/>
      <c r="K41" s="302"/>
      <c r="L41" s="292"/>
      <c r="M41" s="755"/>
      <c r="N41" s="975"/>
      <c r="O41" s="2734"/>
      <c r="P41" s="823"/>
      <c r="Q41" s="617"/>
      <c r="R41" s="338"/>
      <c r="T41"/>
      <c r="U41"/>
      <c r="V41"/>
    </row>
    <row r="42" spans="1:22" s="1453" customFormat="1" ht="12" customHeight="1">
      <c r="A42" s="112"/>
      <c r="B42" s="237"/>
      <c r="C42" s="507" t="s">
        <v>438</v>
      </c>
      <c r="D42" s="507"/>
      <c r="E42" s="2845"/>
      <c r="F42" s="237" t="s">
        <v>985</v>
      </c>
      <c r="G42" s="2849">
        <v>125000</v>
      </c>
      <c r="H42" s="299"/>
      <c r="I42" s="299"/>
      <c r="J42" s="992"/>
      <c r="K42" s="302"/>
      <c r="L42" s="292"/>
      <c r="M42" s="824"/>
      <c r="N42" s="975"/>
      <c r="O42" s="2734"/>
      <c r="P42" s="823"/>
      <c r="Q42" s="617"/>
      <c r="R42" s="338"/>
      <c r="T42"/>
      <c r="U42"/>
      <c r="V42"/>
    </row>
    <row r="43" spans="1:22" ht="12" customHeight="1">
      <c r="A43" s="112"/>
      <c r="B43" s="302"/>
      <c r="C43" s="507" t="s">
        <v>1764</v>
      </c>
      <c r="D43" s="2844"/>
      <c r="E43" s="2845"/>
      <c r="F43" s="2845"/>
      <c r="G43" s="2849">
        <v>200000</v>
      </c>
      <c r="H43" s="302"/>
      <c r="I43" s="237"/>
      <c r="J43" s="830">
        <f>B40</f>
        <v>15</v>
      </c>
      <c r="K43" s="2798" t="str">
        <f>IF(M43="---","Filing Status?",M43)</f>
        <v>Filing Status?</v>
      </c>
      <c r="L43" s="997"/>
      <c r="M43" s="2898" t="str">
        <f>IF(File_Marr_Joint&lt;&gt;"",G41,IF(File_Marr_Sep&lt;&gt;"",G42,IF(OR(File_Single&lt;&gt;"",File_Head&lt;&gt;"",File_Qual_Widow&lt;&gt;""),G43,"---")))</f>
        <v>---</v>
      </c>
      <c r="N43" s="976"/>
      <c r="O43" s="332"/>
      <c r="P43" s="823"/>
      <c r="Q43" s="56"/>
      <c r="R43" s="305"/>
    </row>
    <row r="44" spans="1:22" ht="12.75" customHeight="1">
      <c r="A44" s="112"/>
      <c r="B44" s="237">
        <v>16</v>
      </c>
      <c r="C44" s="507" t="s">
        <v>1779</v>
      </c>
      <c r="D44" s="507"/>
      <c r="E44" s="2845"/>
      <c r="F44" s="2845"/>
      <c r="G44" s="299"/>
      <c r="H44" s="299"/>
      <c r="I44" s="299"/>
      <c r="J44" s="299"/>
      <c r="K44" s="807"/>
      <c r="L44" s="322">
        <f>B44</f>
        <v>16</v>
      </c>
      <c r="M44" s="2798" t="str">
        <f>IF(M43="---","",IF(OR(K39="",K43&gt;=K39),0,SUM(K39,-K43)))</f>
        <v/>
      </c>
      <c r="N44" s="976"/>
      <c r="O44" s="332"/>
      <c r="P44" s="823"/>
      <c r="Q44" s="617"/>
      <c r="R44" s="338"/>
    </row>
    <row r="45" spans="1:22" s="1453" customFormat="1" ht="12" customHeight="1">
      <c r="A45" s="112"/>
      <c r="B45" s="237">
        <v>17</v>
      </c>
      <c r="C45" s="507" t="s">
        <v>1780</v>
      </c>
      <c r="D45" s="507"/>
      <c r="E45" s="2845"/>
      <c r="F45" s="2845"/>
      <c r="G45" s="299"/>
      <c r="H45" s="299"/>
      <c r="I45" s="299"/>
      <c r="J45" s="299"/>
      <c r="K45" s="302"/>
      <c r="L45" s="292"/>
      <c r="M45" s="2850">
        <v>8.9999999999999993E-3</v>
      </c>
      <c r="N45" s="975"/>
      <c r="O45" s="2734"/>
      <c r="P45" s="823"/>
      <c r="Q45" s="617"/>
      <c r="R45" s="338"/>
      <c r="T45"/>
      <c r="U45"/>
      <c r="V45"/>
    </row>
    <row r="46" spans="1:22" ht="12.75" customHeight="1">
      <c r="A46" s="112"/>
      <c r="B46" s="237"/>
      <c r="C46" s="507" t="str">
        <f>TEXT(M45,"0.0%")&amp;" ("&amp;TEXT(M45,"0.000")&amp;"). Enter here and go to Part IV"</f>
        <v>0.9% (0.009). Enter here and go to Part IV</v>
      </c>
      <c r="D46" s="2844"/>
      <c r="E46" s="2845"/>
      <c r="F46" s="2845"/>
      <c r="G46" s="299"/>
      <c r="H46" s="299"/>
      <c r="I46" s="299"/>
      <c r="J46" s="299"/>
      <c r="K46" s="807" t="s">
        <v>995</v>
      </c>
      <c r="L46" s="292">
        <f>B45</f>
        <v>17</v>
      </c>
      <c r="M46" s="2798" t="str">
        <f>IF(M43="---","",IF(P46&lt;&gt;"",P46,ROUND(M44*M45,0)))</f>
        <v/>
      </c>
      <c r="N46" s="976"/>
      <c r="O46" s="333"/>
      <c r="P46" s="638"/>
      <c r="Q46" s="617"/>
      <c r="R46" s="856"/>
    </row>
    <row r="47" spans="1:22" s="1453" customFormat="1" ht="15.75" customHeight="1">
      <c r="A47" s="112"/>
      <c r="B47" s="839" t="s">
        <v>756</v>
      </c>
      <c r="C47" s="6432" t="s">
        <v>1781</v>
      </c>
      <c r="D47" s="6267"/>
      <c r="E47" s="6268"/>
      <c r="F47" s="6268"/>
      <c r="G47" s="6268"/>
      <c r="H47" s="6268"/>
      <c r="I47" s="6268"/>
      <c r="J47" s="6268"/>
      <c r="K47" s="6268"/>
      <c r="L47" s="6268"/>
      <c r="M47" s="6268"/>
      <c r="N47" s="977"/>
      <c r="O47" s="840"/>
      <c r="P47" s="823"/>
      <c r="Q47" s="575"/>
      <c r="R47" s="846"/>
      <c r="T47"/>
      <c r="U47"/>
      <c r="V47"/>
    </row>
    <row r="48" spans="1:22" s="1453" customFormat="1" ht="12" customHeight="1">
      <c r="A48" s="112"/>
      <c r="B48" s="237">
        <v>18</v>
      </c>
      <c r="C48" s="507" t="s">
        <v>2190</v>
      </c>
      <c r="D48" s="507"/>
      <c r="E48" s="2845"/>
      <c r="F48" s="2845"/>
      <c r="G48" s="299"/>
      <c r="H48" s="299"/>
      <c r="I48" s="299"/>
      <c r="J48" s="299"/>
      <c r="K48" s="302"/>
      <c r="L48" s="292"/>
      <c r="M48" s="2850">
        <v>8.9999999999999993E-3</v>
      </c>
      <c r="N48" s="975"/>
      <c r="O48" s="2734"/>
      <c r="P48" s="823"/>
      <c r="Q48" s="617"/>
      <c r="R48" s="338"/>
      <c r="T48"/>
      <c r="U48"/>
      <c r="V48"/>
    </row>
    <row r="49" spans="1:22" ht="12.75" customHeight="1">
      <c r="A49" s="112"/>
      <c r="B49" s="237"/>
      <c r="C49" s="507" t="s">
        <v>1782</v>
      </c>
      <c r="D49" s="2844"/>
      <c r="E49" s="2845"/>
      <c r="F49" s="2845"/>
      <c r="G49" s="299"/>
      <c r="H49" s="299"/>
      <c r="I49" s="299"/>
      <c r="J49" s="299"/>
      <c r="K49" s="2476" t="s">
        <v>1000</v>
      </c>
      <c r="L49" s="292">
        <f>B48</f>
        <v>18</v>
      </c>
      <c r="M49" s="2798">
        <f>IF(P49&lt;&gt;"",P49,SUM(M23,M36,M46))</f>
        <v>0</v>
      </c>
      <c r="N49" s="976"/>
      <c r="O49" s="333"/>
      <c r="P49" s="638"/>
      <c r="Q49" s="617"/>
      <c r="R49" s="856"/>
    </row>
    <row r="50" spans="1:22" s="1453" customFormat="1" ht="15.75" customHeight="1">
      <c r="A50" s="112"/>
      <c r="B50" s="839" t="s">
        <v>202</v>
      </c>
      <c r="C50" s="6432" t="s">
        <v>1783</v>
      </c>
      <c r="D50" s="6267"/>
      <c r="E50" s="6268"/>
      <c r="F50" s="6268"/>
      <c r="G50" s="6268"/>
      <c r="H50" s="6268"/>
      <c r="I50" s="6268"/>
      <c r="J50" s="6268"/>
      <c r="K50" s="6268"/>
      <c r="L50" s="6268"/>
      <c r="M50" s="6268"/>
      <c r="N50" s="977"/>
      <c r="O50" s="840"/>
      <c r="P50" s="823"/>
      <c r="Q50" s="575"/>
      <c r="R50" s="846"/>
      <c r="T50"/>
      <c r="U50"/>
      <c r="V50"/>
    </row>
    <row r="51" spans="1:22" s="1453" customFormat="1" ht="12" customHeight="1">
      <c r="A51" s="112"/>
      <c r="B51" s="237">
        <v>19</v>
      </c>
      <c r="C51" s="507" t="s">
        <v>1784</v>
      </c>
      <c r="D51" s="507"/>
      <c r="E51" s="2845"/>
      <c r="F51" s="2845"/>
      <c r="G51" s="299"/>
      <c r="H51" s="299"/>
      <c r="I51" s="299"/>
      <c r="J51" s="2851"/>
      <c r="K51" s="302"/>
      <c r="L51" s="292"/>
      <c r="M51" s="754"/>
      <c r="N51" s="975"/>
      <c r="O51" s="2734"/>
      <c r="P51" s="823"/>
      <c r="Q51" s="617"/>
      <c r="R51" s="338"/>
      <c r="T51"/>
      <c r="U51"/>
      <c r="V51"/>
    </row>
    <row r="52" spans="1:22" s="1453" customFormat="1" ht="12" customHeight="1">
      <c r="A52" s="112"/>
      <c r="B52" s="237"/>
      <c r="C52" s="507" t="s">
        <v>1758</v>
      </c>
      <c r="D52" s="507"/>
      <c r="E52" s="2845"/>
      <c r="F52" s="2845"/>
      <c r="G52" s="299"/>
      <c r="H52" s="299"/>
      <c r="I52" s="299"/>
      <c r="J52" s="992"/>
      <c r="K52" s="302"/>
      <c r="L52" s="292"/>
      <c r="M52" s="824"/>
      <c r="N52" s="975"/>
      <c r="O52" s="2734"/>
      <c r="P52" s="823"/>
      <c r="Q52" s="617"/>
      <c r="R52" s="338"/>
      <c r="T52"/>
      <c r="U52"/>
      <c r="V52"/>
    </row>
    <row r="53" spans="1:22" ht="12" customHeight="1">
      <c r="A53" s="112"/>
      <c r="B53" s="302"/>
      <c r="C53" s="2852" t="s">
        <v>1785</v>
      </c>
      <c r="D53" s="2844"/>
      <c r="E53" s="2845"/>
      <c r="F53" s="2845"/>
      <c r="G53" s="299"/>
      <c r="H53" s="302"/>
      <c r="I53" s="237" t="s">
        <v>1771</v>
      </c>
      <c r="J53" s="830">
        <f>B51</f>
        <v>19</v>
      </c>
      <c r="K53" s="2798">
        <f>IF(P53&lt;&gt;"",P53,MedCare_Tax_Withheld)</f>
        <v>0</v>
      </c>
      <c r="L53" s="997"/>
      <c r="M53" s="755"/>
      <c r="N53" s="976"/>
      <c r="O53" s="332"/>
      <c r="P53" s="638"/>
      <c r="Q53" s="56"/>
      <c r="R53" s="305"/>
    </row>
    <row r="54" spans="1:22" ht="12" customHeight="1">
      <c r="A54" s="112"/>
      <c r="B54" s="302">
        <v>20</v>
      </c>
      <c r="C54" s="507" t="s">
        <v>1786</v>
      </c>
      <c r="D54" s="2844"/>
      <c r="E54" s="2845"/>
      <c r="F54" s="2845"/>
      <c r="G54" s="299"/>
      <c r="H54" s="302"/>
      <c r="I54" s="237" t="s">
        <v>1659</v>
      </c>
      <c r="J54" s="830">
        <f>B54</f>
        <v>20</v>
      </c>
      <c r="K54" s="2798">
        <f>K13</f>
        <v>0</v>
      </c>
      <c r="L54" s="997"/>
      <c r="M54" s="755"/>
      <c r="N54" s="976"/>
      <c r="O54" s="332"/>
      <c r="P54" s="823"/>
      <c r="Q54" s="56"/>
      <c r="R54" s="305"/>
    </row>
    <row r="55" spans="1:22" s="1453" customFormat="1" ht="12" customHeight="1">
      <c r="A55" s="112"/>
      <c r="B55" s="237">
        <v>21</v>
      </c>
      <c r="C55" s="507" t="str">
        <f>"Multiply line 20 by "&amp;TEXT(K55,"0.00%")&amp;" ("&amp;TEXT(K55,"0.0000")&amp;"). This is your regular"</f>
        <v>Multiply line 20 by 1.45% (0.0145). This is your regular</v>
      </c>
      <c r="D55" s="507"/>
      <c r="E55" s="2845"/>
      <c r="F55" s="2845"/>
      <c r="G55" s="299"/>
      <c r="H55" s="299"/>
      <c r="I55" s="299"/>
      <c r="J55" s="2851"/>
      <c r="K55" s="2853">
        <v>1.4500000000000001E-2</v>
      </c>
      <c r="L55" s="292"/>
      <c r="M55" s="824"/>
      <c r="N55" s="975"/>
      <c r="O55" s="2734"/>
      <c r="P55" s="823"/>
      <c r="Q55" s="617"/>
      <c r="R55" s="338"/>
      <c r="T55"/>
      <c r="U55"/>
      <c r="V55"/>
    </row>
    <row r="56" spans="1:22" ht="12" customHeight="1">
      <c r="A56" s="112"/>
      <c r="B56" s="302"/>
      <c r="C56" s="2852" t="s">
        <v>1787</v>
      </c>
      <c r="D56" s="2844"/>
      <c r="E56" s="2845"/>
      <c r="F56" s="2845"/>
      <c r="G56" s="299"/>
      <c r="H56" s="302"/>
      <c r="I56" s="237" t="s">
        <v>1771</v>
      </c>
      <c r="J56" s="830">
        <f>B55</f>
        <v>21</v>
      </c>
      <c r="K56" s="2798">
        <f>ROUND(K54*K55,0)</f>
        <v>0</v>
      </c>
      <c r="L56" s="997"/>
      <c r="M56" s="755"/>
      <c r="N56" s="976"/>
      <c r="O56" s="332"/>
      <c r="P56" s="823"/>
      <c r="Q56" s="56"/>
      <c r="R56" s="305"/>
    </row>
    <row r="57" spans="1:22" s="1453" customFormat="1" ht="12" customHeight="1">
      <c r="A57" s="112"/>
      <c r="B57" s="237">
        <v>22</v>
      </c>
      <c r="C57" s="507" t="s">
        <v>1788</v>
      </c>
      <c r="D57" s="507"/>
      <c r="E57" s="2845"/>
      <c r="F57" s="2845"/>
      <c r="G57" s="299"/>
      <c r="H57" s="299"/>
      <c r="I57" s="299"/>
      <c r="J57" s="299"/>
      <c r="K57" s="302"/>
      <c r="L57" s="292"/>
      <c r="M57" s="2850">
        <v>8.9999999999999993E-3</v>
      </c>
      <c r="N57" s="975"/>
      <c r="O57" s="2734"/>
      <c r="P57" s="823"/>
      <c r="Q57" s="617"/>
      <c r="R57" s="338"/>
      <c r="T57"/>
      <c r="U57"/>
      <c r="V57"/>
    </row>
    <row r="58" spans="1:22" ht="12.75" customHeight="1">
      <c r="A58" s="112"/>
      <c r="B58" s="237"/>
      <c r="C58" s="507" t="s">
        <v>1789</v>
      </c>
      <c r="D58" s="2844"/>
      <c r="E58" s="2845"/>
      <c r="F58" s="2845"/>
      <c r="G58" s="299"/>
      <c r="H58" s="299"/>
      <c r="I58" s="299"/>
      <c r="J58" s="299"/>
      <c r="K58" s="2476" t="s">
        <v>1000</v>
      </c>
      <c r="L58" s="292">
        <f>B57</f>
        <v>22</v>
      </c>
      <c r="M58" s="2798">
        <f>IF(K56&gt;=K53,0,SUM(K53,-K56))</f>
        <v>0</v>
      </c>
      <c r="N58" s="976"/>
      <c r="O58" s="333"/>
      <c r="P58" s="823"/>
      <c r="Q58" s="617"/>
      <c r="R58" s="856"/>
    </row>
    <row r="59" spans="1:22" s="1453" customFormat="1" ht="12" customHeight="1">
      <c r="A59" s="112"/>
      <c r="B59" s="237">
        <v>23</v>
      </c>
      <c r="C59" s="507" t="s">
        <v>1790</v>
      </c>
      <c r="D59" s="507"/>
      <c r="E59" s="2845"/>
      <c r="F59" s="2845"/>
      <c r="G59" s="299"/>
      <c r="H59" s="299"/>
      <c r="I59" s="299"/>
      <c r="J59" s="299"/>
      <c r="K59" s="302"/>
      <c r="L59" s="292"/>
      <c r="M59" s="2850">
        <v>8.9999999999999993E-3</v>
      </c>
      <c r="N59" s="975"/>
      <c r="O59" s="2734"/>
      <c r="P59" s="823"/>
      <c r="Q59" s="617"/>
      <c r="R59" s="338"/>
      <c r="T59"/>
      <c r="U59"/>
      <c r="V59"/>
    </row>
    <row r="60" spans="1:22" ht="12.75" customHeight="1">
      <c r="A60" s="112"/>
      <c r="B60" s="237"/>
      <c r="C60" s="507" t="s">
        <v>1791</v>
      </c>
      <c r="D60" s="2844"/>
      <c r="E60" s="2845"/>
      <c r="F60" s="2845"/>
      <c r="G60" s="299"/>
      <c r="H60" s="299"/>
      <c r="I60" s="299"/>
      <c r="J60" s="299"/>
      <c r="K60" s="2476" t="s">
        <v>1000</v>
      </c>
      <c r="L60" s="292">
        <f>B59</f>
        <v>23</v>
      </c>
      <c r="M60" s="2799"/>
      <c r="N60" s="976"/>
      <c r="O60" s="333"/>
      <c r="P60" s="823"/>
      <c r="Q60" s="617"/>
      <c r="R60" s="856"/>
    </row>
    <row r="61" spans="1:22" s="1453" customFormat="1" ht="12" customHeight="1">
      <c r="A61" s="112"/>
      <c r="B61" s="237">
        <v>24</v>
      </c>
      <c r="C61" s="507" t="s">
        <v>1792</v>
      </c>
      <c r="D61" s="507"/>
      <c r="E61" s="2845"/>
      <c r="F61" s="2845"/>
      <c r="G61" s="299"/>
      <c r="H61" s="299"/>
      <c r="I61" s="299"/>
      <c r="J61" s="299"/>
      <c r="K61" s="302"/>
      <c r="L61" s="292"/>
      <c r="M61" s="2850">
        <v>8.9999999999999993E-3</v>
      </c>
      <c r="N61" s="975"/>
      <c r="O61" s="2734"/>
      <c r="P61" s="823"/>
      <c r="Q61" s="617"/>
      <c r="R61" s="338"/>
      <c r="T61"/>
      <c r="U61"/>
      <c r="V61"/>
    </row>
    <row r="62" spans="1:22" s="1453" customFormat="1" ht="12" customHeight="1">
      <c r="A62" s="112"/>
      <c r="B62" s="237"/>
      <c r="C62" s="507" t="s">
        <v>2191</v>
      </c>
      <c r="D62" s="507"/>
      <c r="E62" s="2845"/>
      <c r="F62" s="2845"/>
      <c r="G62" s="299"/>
      <c r="H62" s="299"/>
      <c r="I62" s="299"/>
      <c r="J62" s="299"/>
      <c r="K62" s="302"/>
      <c r="L62" s="292"/>
      <c r="M62" s="2850"/>
      <c r="N62" s="975"/>
      <c r="O62" s="2734"/>
      <c r="P62" s="823"/>
      <c r="Q62" s="617"/>
      <c r="R62" s="338"/>
      <c r="T62"/>
      <c r="U62"/>
      <c r="V62"/>
    </row>
    <row r="63" spans="1:22" ht="12.75" customHeight="1" thickBot="1">
      <c r="A63" s="112"/>
      <c r="B63" s="237"/>
      <c r="C63" s="507" t="s">
        <v>1793</v>
      </c>
      <c r="D63" s="2844"/>
      <c r="E63" s="2845"/>
      <c r="F63" s="2845"/>
      <c r="G63" s="299"/>
      <c r="H63" s="299"/>
      <c r="I63" s="299"/>
      <c r="J63" s="299"/>
      <c r="K63" s="2476" t="s">
        <v>1000</v>
      </c>
      <c r="L63" s="292">
        <f>B61</f>
        <v>24</v>
      </c>
      <c r="M63" s="2798">
        <f>IF(P63&lt;&gt;"",P63,ROUND(SUM(M58,M60),0))</f>
        <v>0</v>
      </c>
      <c r="N63" s="976"/>
      <c r="O63" s="2734"/>
      <c r="P63" s="638"/>
      <c r="Q63" s="617"/>
      <c r="R63" s="856"/>
    </row>
    <row r="64" spans="1:22" s="893" customFormat="1" ht="15" customHeight="1">
      <c r="A64" s="112"/>
      <c r="B64" s="220" t="s">
        <v>779</v>
      </c>
      <c r="C64" s="341"/>
      <c r="D64" s="341"/>
      <c r="E64" s="341"/>
      <c r="F64" s="341"/>
      <c r="G64" s="825"/>
      <c r="H64" s="826"/>
      <c r="I64" s="825"/>
      <c r="J64" s="1005" t="s">
        <v>1795</v>
      </c>
      <c r="K64" s="825"/>
      <c r="L64" s="827" t="s">
        <v>1794</v>
      </c>
      <c r="M64" s="1513" t="str">
        <f>"  ("&amp;TaxYear&amp;")"</f>
        <v xml:space="preserve">  (2016)</v>
      </c>
      <c r="N64" s="982"/>
      <c r="O64" s="2734"/>
      <c r="P64" s="823"/>
      <c r="Q64" s="56"/>
      <c r="R64" s="305"/>
      <c r="S64" s="1453"/>
      <c r="T64"/>
      <c r="U64"/>
      <c r="V64"/>
    </row>
    <row r="65" spans="1:22" s="893" customFormat="1" ht="15" customHeight="1">
      <c r="A65" s="112"/>
      <c r="B65" s="985"/>
      <c r="C65" s="834"/>
      <c r="D65" s="834"/>
      <c r="E65" s="112"/>
      <c r="F65" s="112"/>
      <c r="G65" s="112"/>
      <c r="H65" s="112"/>
      <c r="I65" s="112"/>
      <c r="J65" s="986"/>
      <c r="K65" s="986"/>
      <c r="L65" s="986"/>
      <c r="M65" s="986"/>
      <c r="N65" s="983"/>
      <c r="O65" s="2734"/>
      <c r="P65" s="823"/>
      <c r="Q65" s="436"/>
      <c r="R65" s="436"/>
      <c r="S65" s="1453"/>
      <c r="T65"/>
      <c r="U65"/>
      <c r="V65"/>
    </row>
    <row r="66" spans="1:22" s="893" customFormat="1" ht="23.25" customHeight="1">
      <c r="A66" s="64"/>
      <c r="B66" s="831"/>
      <c r="C66" s="435"/>
      <c r="D66" s="435"/>
      <c r="E66" s="437"/>
      <c r="F66" s="437"/>
      <c r="G66" s="437"/>
      <c r="H66" s="437"/>
      <c r="I66" s="437"/>
      <c r="J66" s="448"/>
      <c r="K66" s="448"/>
      <c r="L66" s="448"/>
      <c r="M66" s="448"/>
      <c r="N66" s="832"/>
      <c r="O66"/>
      <c r="P66" s="833"/>
      <c r="Q66" s="436"/>
      <c r="R66" s="436"/>
      <c r="S66" s="1453"/>
      <c r="T66"/>
      <c r="U66"/>
      <c r="V66"/>
    </row>
    <row r="67" spans="1:22" s="893" customFormat="1" ht="24" customHeight="1" thickBot="1">
      <c r="A67" s="64"/>
      <c r="B67" s="831"/>
      <c r="C67" s="435"/>
      <c r="D67" s="435"/>
      <c r="E67" s="437"/>
      <c r="F67" s="437"/>
      <c r="G67" s="437"/>
      <c r="H67" s="437"/>
      <c r="I67" s="437"/>
      <c r="J67" s="448"/>
      <c r="K67" s="448"/>
      <c r="L67" s="448"/>
      <c r="M67" s="448"/>
      <c r="N67" s="832"/>
      <c r="O67"/>
      <c r="P67" s="833"/>
      <c r="Q67" s="11"/>
      <c r="R67" s="11"/>
      <c r="S67" s="1453"/>
      <c r="T67"/>
      <c r="U67"/>
      <c r="V67"/>
    </row>
    <row r="68" spans="1:22" s="893" customFormat="1" ht="15" customHeight="1" thickTop="1" thickBot="1">
      <c r="A68" s="64"/>
      <c r="B68" s="208"/>
      <c r="C68" s="6248" t="s">
        <v>1796</v>
      </c>
      <c r="D68" s="6249"/>
      <c r="E68" s="6249"/>
      <c r="F68" s="6249"/>
      <c r="G68" s="6250"/>
      <c r="H68" s="342"/>
      <c r="I68" s="342"/>
      <c r="J68"/>
      <c r="K68"/>
      <c r="L68" s="342"/>
      <c r="M68" s="342"/>
      <c r="N68" s="342"/>
      <c r="O68"/>
      <c r="P68" s="11"/>
      <c r="Q68" s="11"/>
      <c r="R68" s="11"/>
      <c r="S68" s="1453"/>
      <c r="T68"/>
      <c r="U68"/>
      <c r="V68"/>
    </row>
    <row r="69" spans="1:22" s="893" customFormat="1" ht="8.25" customHeight="1" thickTop="1" thickBot="1">
      <c r="A69" s="64"/>
      <c r="B69" s="208"/>
      <c r="C69" s="335"/>
      <c r="D69" s="335"/>
      <c r="E69" s="64"/>
      <c r="F69" s="64"/>
      <c r="G69" s="342"/>
      <c r="H69" s="342"/>
      <c r="I69" s="342"/>
      <c r="J69"/>
      <c r="K69"/>
      <c r="L69" s="342"/>
      <c r="M69" s="342"/>
      <c r="N69" s="342"/>
      <c r="O69"/>
      <c r="P69" s="11"/>
      <c r="Q69" s="11"/>
      <c r="R69" s="11"/>
      <c r="S69" s="1453"/>
      <c r="T69"/>
      <c r="U69"/>
      <c r="V69"/>
    </row>
    <row r="70" spans="1:22" s="893" customFormat="1" ht="17.25" customHeight="1" thickTop="1" thickBot="1">
      <c r="A70" s="64"/>
      <c r="B70" s="208"/>
      <c r="C70" s="6248" t="s">
        <v>1797</v>
      </c>
      <c r="D70" s="6249"/>
      <c r="E70" s="6249"/>
      <c r="F70" s="6249"/>
      <c r="G70" s="6250"/>
      <c r="H70" s="342"/>
      <c r="I70" s="342"/>
      <c r="J70"/>
      <c r="K70"/>
      <c r="L70" s="342"/>
      <c r="M70" s="342"/>
      <c r="N70" s="342"/>
      <c r="O70"/>
      <c r="P70" s="11"/>
      <c r="Q70"/>
      <c r="S70" s="1453"/>
      <c r="T70"/>
      <c r="U70"/>
      <c r="V70"/>
    </row>
    <row r="71" spans="1:22" s="893" customFormat="1" ht="12.75" customHeight="1" thickTop="1">
      <c r="A71" s="64"/>
      <c r="B71"/>
      <c r="C71"/>
      <c r="D71"/>
      <c r="E71"/>
      <c r="F71"/>
      <c r="G71"/>
      <c r="H71"/>
      <c r="I71"/>
      <c r="J71"/>
      <c r="K71"/>
      <c r="L71"/>
      <c r="M71"/>
      <c r="N71"/>
      <c r="O71"/>
      <c r="P71"/>
      <c r="Q71"/>
      <c r="S71" s="1453"/>
      <c r="T71"/>
      <c r="U71"/>
      <c r="V71"/>
    </row>
    <row r="72" spans="1:22" s="893" customFormat="1" ht="21.75" customHeight="1">
      <c r="A72" s="64"/>
      <c r="B72"/>
      <c r="C72"/>
      <c r="D72"/>
      <c r="E72"/>
      <c r="F72"/>
      <c r="G72"/>
      <c r="H72"/>
      <c r="I72"/>
      <c r="J72"/>
      <c r="K72"/>
      <c r="L72"/>
      <c r="M72"/>
      <c r="N72"/>
      <c r="O72"/>
      <c r="P72"/>
      <c r="Q72"/>
      <c r="S72" s="1453"/>
      <c r="T72"/>
      <c r="U72"/>
      <c r="V72"/>
    </row>
    <row r="73" spans="1:22" s="893" customFormat="1" ht="22.5" customHeight="1">
      <c r="A73" s="64"/>
      <c r="B73"/>
      <c r="C73"/>
      <c r="D73"/>
      <c r="E73"/>
      <c r="F73"/>
      <c r="G73"/>
      <c r="H73"/>
      <c r="I73"/>
      <c r="J73"/>
      <c r="K73"/>
      <c r="L73"/>
      <c r="M73"/>
      <c r="N73"/>
      <c r="O73"/>
      <c r="P73"/>
      <c r="Q73"/>
      <c r="S73" s="1453"/>
      <c r="T73"/>
      <c r="U73"/>
      <c r="V73"/>
    </row>
    <row r="74" spans="1:22" s="893" customFormat="1" ht="12.75" customHeight="1">
      <c r="A74" s="64"/>
      <c r="B74"/>
      <c r="C74"/>
      <c r="D74"/>
      <c r="E74"/>
      <c r="F74"/>
      <c r="G74"/>
      <c r="H74"/>
      <c r="I74"/>
      <c r="J74"/>
      <c r="K74"/>
      <c r="L74"/>
      <c r="M74"/>
      <c r="N74"/>
      <c r="O74"/>
      <c r="P74"/>
      <c r="Q74"/>
      <c r="S74" s="1453"/>
      <c r="T74"/>
      <c r="U74"/>
      <c r="V74"/>
    </row>
    <row r="75" spans="1:22" s="893" customFormat="1" ht="12.75" customHeight="1">
      <c r="A75" s="64"/>
      <c r="B75"/>
      <c r="C75"/>
      <c r="D75"/>
      <c r="E75"/>
      <c r="F75"/>
      <c r="G75"/>
      <c r="H75"/>
      <c r="I75"/>
      <c r="J75"/>
      <c r="K75"/>
      <c r="L75"/>
      <c r="M75"/>
      <c r="N75"/>
      <c r="O75"/>
      <c r="P75"/>
      <c r="Q75"/>
      <c r="S75" s="1453"/>
      <c r="T75"/>
      <c r="U75"/>
      <c r="V75"/>
    </row>
    <row r="76" spans="1:22" s="893" customFormat="1" ht="17.25" customHeight="1">
      <c r="A76" s="64"/>
      <c r="B76"/>
      <c r="C76"/>
      <c r="D76"/>
      <c r="E76"/>
      <c r="F76"/>
      <c r="G76"/>
      <c r="H76"/>
      <c r="I76"/>
      <c r="J76"/>
      <c r="K76"/>
      <c r="L76"/>
      <c r="M76"/>
      <c r="N76"/>
      <c r="O76"/>
      <c r="P76"/>
      <c r="Q76"/>
      <c r="S76" s="1453"/>
      <c r="T76"/>
      <c r="U76"/>
      <c r="V76"/>
    </row>
    <row r="77" spans="1:22" s="893" customFormat="1" ht="14.25" customHeight="1">
      <c r="A77" s="64"/>
      <c r="B77"/>
      <c r="C77"/>
      <c r="D77"/>
      <c r="E77"/>
      <c r="F77"/>
      <c r="G77"/>
      <c r="H77"/>
      <c r="I77"/>
      <c r="J77"/>
      <c r="K77"/>
      <c r="L77"/>
      <c r="M77"/>
      <c r="N77"/>
      <c r="O77"/>
      <c r="P77"/>
      <c r="Q77"/>
      <c r="S77" s="1453"/>
      <c r="T77"/>
      <c r="U77"/>
      <c r="V77"/>
    </row>
    <row r="78" spans="1:22" s="893" customFormat="1">
      <c r="A78" s="64"/>
      <c r="B78"/>
      <c r="C78"/>
      <c r="D78"/>
      <c r="E78"/>
      <c r="F78"/>
      <c r="G78"/>
      <c r="H78"/>
      <c r="I78"/>
      <c r="J78"/>
      <c r="K78"/>
      <c r="L78"/>
      <c r="M78"/>
      <c r="N78"/>
      <c r="O78"/>
      <c r="P78"/>
      <c r="Q78"/>
      <c r="S78" s="1453"/>
      <c r="T78"/>
      <c r="U78"/>
      <c r="V78"/>
    </row>
    <row r="79" spans="1:22" s="893" customFormat="1">
      <c r="A79" s="64"/>
      <c r="B79"/>
      <c r="C79"/>
      <c r="D79"/>
      <c r="E79"/>
      <c r="F79"/>
      <c r="G79"/>
      <c r="H79"/>
      <c r="I79"/>
      <c r="J79"/>
      <c r="K79"/>
      <c r="L79"/>
      <c r="M79"/>
      <c r="N79"/>
      <c r="O79"/>
      <c r="P79"/>
      <c r="Q79"/>
      <c r="S79" s="1453"/>
      <c r="T79"/>
      <c r="U79"/>
      <c r="V79"/>
    </row>
    <row r="80" spans="1:22" s="893" customFormat="1">
      <c r="A80" s="64"/>
      <c r="B80"/>
      <c r="C80"/>
      <c r="D80"/>
      <c r="E80"/>
      <c r="F80"/>
      <c r="G80"/>
      <c r="H80"/>
      <c r="I80"/>
      <c r="J80"/>
      <c r="K80"/>
      <c r="L80"/>
      <c r="M80"/>
      <c r="N80"/>
      <c r="O80"/>
      <c r="P80"/>
      <c r="Q80"/>
      <c r="S80" s="1453"/>
      <c r="T80"/>
      <c r="U80"/>
      <c r="V80"/>
    </row>
    <row r="81" spans="1:22" s="893" customFormat="1">
      <c r="A81" s="64"/>
      <c r="B81"/>
      <c r="C81"/>
      <c r="D81"/>
      <c r="E81"/>
      <c r="F81"/>
      <c r="G81"/>
      <c r="H81"/>
      <c r="I81"/>
      <c r="J81"/>
      <c r="K81"/>
      <c r="L81"/>
      <c r="M81"/>
      <c r="N81"/>
      <c r="O81"/>
      <c r="P81"/>
      <c r="Q81"/>
      <c r="S81" s="1453"/>
      <c r="T81"/>
      <c r="U81"/>
      <c r="V81"/>
    </row>
    <row r="82" spans="1:22" s="893" customFormat="1">
      <c r="A82" s="64"/>
      <c r="B82"/>
      <c r="C82"/>
      <c r="D82"/>
      <c r="E82"/>
      <c r="F82"/>
      <c r="G82"/>
      <c r="H82"/>
      <c r="I82"/>
      <c r="J82"/>
      <c r="K82"/>
      <c r="L82"/>
      <c r="M82"/>
      <c r="N82"/>
      <c r="O82"/>
      <c r="P82"/>
      <c r="Q82"/>
      <c r="S82" s="1453"/>
      <c r="T82"/>
      <c r="U82"/>
      <c r="V82"/>
    </row>
    <row r="83" spans="1:22" s="893" customFormat="1">
      <c r="A83" s="64"/>
      <c r="B83"/>
      <c r="C83"/>
      <c r="D83"/>
      <c r="E83"/>
      <c r="F83"/>
      <c r="G83"/>
      <c r="H83"/>
      <c r="I83"/>
      <c r="J83"/>
      <c r="K83"/>
      <c r="L83"/>
      <c r="M83"/>
      <c r="N83"/>
      <c r="O83"/>
      <c r="P83"/>
      <c r="Q83"/>
      <c r="S83" s="1453"/>
      <c r="T83"/>
      <c r="U83"/>
      <c r="V83"/>
    </row>
  </sheetData>
  <sheetProtection password="F07E" sheet="1" objects="1" scenarios="1"/>
  <mergeCells count="22">
    <mergeCell ref="C68:G68"/>
    <mergeCell ref="C70:G70"/>
    <mergeCell ref="C24:M24"/>
    <mergeCell ref="C37:M37"/>
    <mergeCell ref="C47:M47"/>
    <mergeCell ref="C50:M50"/>
    <mergeCell ref="K8:M8"/>
    <mergeCell ref="B9:J9"/>
    <mergeCell ref="K9:M9"/>
    <mergeCell ref="C10:M10"/>
    <mergeCell ref="B6:D6"/>
    <mergeCell ref="E6:K6"/>
    <mergeCell ref="L6:M6"/>
    <mergeCell ref="B7:D7"/>
    <mergeCell ref="E7:K7"/>
    <mergeCell ref="L7:M7"/>
    <mergeCell ref="L3:M3"/>
    <mergeCell ref="B4:B5"/>
    <mergeCell ref="C4:D5"/>
    <mergeCell ref="E4:K4"/>
    <mergeCell ref="L4:M5"/>
    <mergeCell ref="E5:K5"/>
  </mergeCells>
  <conditionalFormatting sqref="B9:M9">
    <cfRule type="expression" dxfId="179" priority="95">
      <formula>IF(NoColor,1,0)</formula>
    </cfRule>
  </conditionalFormatting>
  <conditionalFormatting sqref="K13">
    <cfRule type="expression" dxfId="178" priority="49">
      <formula>IF(NoColor,1,0)</formula>
    </cfRule>
  </conditionalFormatting>
  <conditionalFormatting sqref="K16">
    <cfRule type="expression" dxfId="177" priority="43">
      <formula>IF(NoColor,1,0)</formula>
    </cfRule>
  </conditionalFormatting>
  <conditionalFormatting sqref="M23">
    <cfRule type="expression" dxfId="176" priority="39">
      <formula>IF(NoColor,1,0)</formula>
    </cfRule>
  </conditionalFormatting>
  <conditionalFormatting sqref="K27">
    <cfRule type="expression" dxfId="175" priority="37">
      <formula>IF(NoColor,1,0)</formula>
    </cfRule>
  </conditionalFormatting>
  <conditionalFormatting sqref="K32">
    <cfRule type="expression" dxfId="174" priority="33">
      <formula>IF(NoColor,1,0)</formula>
    </cfRule>
  </conditionalFormatting>
  <conditionalFormatting sqref="K33">
    <cfRule type="expression" dxfId="173" priority="31">
      <formula>IF(NoColor,1,0)</formula>
    </cfRule>
  </conditionalFormatting>
  <conditionalFormatting sqref="M49">
    <cfRule type="expression" dxfId="172" priority="22">
      <formula>IF(NoColor,1,0)</formula>
    </cfRule>
  </conditionalFormatting>
  <conditionalFormatting sqref="K53">
    <cfRule type="expression" dxfId="171" priority="20">
      <formula>IF(NoColor,1,0)</formula>
    </cfRule>
  </conditionalFormatting>
  <conditionalFormatting sqref="K54">
    <cfRule type="expression" dxfId="170" priority="18">
      <formula>IF(NoColor,1,0)</formula>
    </cfRule>
  </conditionalFormatting>
  <conditionalFormatting sqref="K56">
    <cfRule type="expression" dxfId="169" priority="16">
      <formula>IF(NoColor,1,0)</formula>
    </cfRule>
  </conditionalFormatting>
  <conditionalFormatting sqref="M58">
    <cfRule type="expression" dxfId="168" priority="15">
      <formula>IF(NoColor,1,0)</formula>
    </cfRule>
  </conditionalFormatting>
  <conditionalFormatting sqref="M60">
    <cfRule type="expression" dxfId="167" priority="14">
      <formula>IF(NoColor,1,0)</formula>
    </cfRule>
  </conditionalFormatting>
  <conditionalFormatting sqref="M63">
    <cfRule type="expression" dxfId="166" priority="13">
      <formula>IF(NoColor,1,0)</formula>
    </cfRule>
  </conditionalFormatting>
  <conditionalFormatting sqref="K14">
    <cfRule type="expression" dxfId="165" priority="12">
      <formula>IF(NoColor,1,0)</formula>
    </cfRule>
  </conditionalFormatting>
  <conditionalFormatting sqref="K15">
    <cfRule type="expression" dxfId="164" priority="11">
      <formula>IF(NoColor,1,0)</formula>
    </cfRule>
  </conditionalFormatting>
  <conditionalFormatting sqref="K31">
    <cfRule type="expression" dxfId="163" priority="10">
      <formula>IF(NoColor,1,0)</formula>
    </cfRule>
  </conditionalFormatting>
  <conditionalFormatting sqref="M21">
    <cfRule type="expression" dxfId="162" priority="8">
      <formula>IF(NoColor,1,0)</formula>
    </cfRule>
  </conditionalFormatting>
  <conditionalFormatting sqref="M36">
    <cfRule type="expression" dxfId="161" priority="7">
      <formula>IF(NoColor,1,0)</formula>
    </cfRule>
  </conditionalFormatting>
  <conditionalFormatting sqref="M34">
    <cfRule type="expression" dxfId="160" priority="6">
      <formula>IF(NoColor,1,0)</formula>
    </cfRule>
  </conditionalFormatting>
  <conditionalFormatting sqref="K39">
    <cfRule type="expression" dxfId="159" priority="5">
      <formula>IF(NoColor,1,0)</formula>
    </cfRule>
  </conditionalFormatting>
  <conditionalFormatting sqref="M46">
    <cfRule type="expression" dxfId="158" priority="4">
      <formula>IF(NoColor,1,0)</formula>
    </cfRule>
  </conditionalFormatting>
  <conditionalFormatting sqref="M44">
    <cfRule type="expression" dxfId="157" priority="3">
      <formula>IF(NoColor,1,0)</formula>
    </cfRule>
  </conditionalFormatting>
  <conditionalFormatting sqref="K20">
    <cfRule type="expression" dxfId="156" priority="2">
      <formula>IF(NoColor,1,0)</formula>
    </cfRule>
  </conditionalFormatting>
  <conditionalFormatting sqref="K43">
    <cfRule type="expression" dxfId="155" priority="1">
      <formula>IF(NoColor,1,0)</formula>
    </cfRule>
  </conditionalFormatting>
  <hyperlinks>
    <hyperlink ref="C68:G68" r:id="rId1" display="Download Form 8959"/>
    <hyperlink ref="C70:G70" r:id="rId2" display="Download Form 8959 Instructions"/>
  </hyperlinks>
  <printOptions horizontalCentered="1"/>
  <pageMargins left="0.44" right="0.25" top="0.22" bottom="0.25" header="0.27" footer="0.25"/>
  <pageSetup scale="95" fitToHeight="0" orientation="portrait" horizontalDpi="4294967293" verticalDpi="4294967293" r:id="rId3"/>
  <headerFooter alignWithMargins="0"/>
  <rowBreaks count="1" manualBreakCount="1">
    <brk id="64" min="1" max="12"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
  <sheetViews>
    <sheetView zoomScaleNormal="100" workbookViewId="0">
      <selection activeCell="F10" sqref="F10"/>
    </sheetView>
  </sheetViews>
  <sheetFormatPr defaultRowHeight="12.75"/>
  <cols>
    <col min="1" max="1" width="2.42578125" style="64" customWidth="1"/>
    <col min="2" max="2" width="7.85546875" customWidth="1"/>
    <col min="3" max="3" width="3.140625" customWidth="1"/>
    <col min="4" max="4" width="9.7109375" customWidth="1"/>
    <col min="5" max="5" width="10.42578125" customWidth="1"/>
    <col min="6" max="6" width="2.7109375" customWidth="1"/>
    <col min="7" max="7" width="18.85546875" customWidth="1"/>
    <col min="8" max="8" width="9.28515625" customWidth="1"/>
    <col min="9" max="10" width="4" customWidth="1"/>
    <col min="11" max="11" width="8.7109375" customWidth="1"/>
    <col min="12" max="12" width="14.140625" customWidth="1"/>
    <col min="13" max="13" width="3.7109375" customWidth="1"/>
    <col min="14" max="14" width="14.140625" customWidth="1"/>
    <col min="15" max="15" width="2.5703125" customWidth="1"/>
    <col min="16" max="16" width="3.85546875" customWidth="1"/>
    <col min="17" max="17" width="16.28515625" customWidth="1"/>
    <col min="18" max="18" width="2.28515625" customWidth="1"/>
    <col min="19" max="19" width="4.140625" style="893" customWidth="1"/>
    <col min="20" max="20" width="3.28515625" customWidth="1"/>
    <col min="21" max="21" width="5" customWidth="1"/>
    <col min="22" max="22" width="4.28515625" customWidth="1"/>
    <col min="23" max="23" width="23.28515625" customWidth="1"/>
    <col min="24" max="24" width="20.28515625" customWidth="1"/>
    <col min="25" max="25" width="13.7109375" customWidth="1"/>
    <col min="26" max="26" width="11.85546875" customWidth="1"/>
    <col min="27" max="27" width="15.28515625" customWidth="1"/>
    <col min="28" max="28" width="3.85546875" customWidth="1"/>
  </cols>
  <sheetData>
    <row r="1" spans="1:20" ht="17.25" customHeight="1">
      <c r="A1" s="1407"/>
      <c r="B1" s="1405"/>
      <c r="C1" s="1405"/>
      <c r="D1" s="1405"/>
      <c r="E1" s="1405"/>
      <c r="F1" s="1405"/>
      <c r="G1" s="1405"/>
      <c r="H1" s="1405"/>
      <c r="I1" s="1405"/>
      <c r="J1" s="1405"/>
      <c r="K1" s="1405"/>
      <c r="L1" s="1405"/>
      <c r="M1" s="1406"/>
      <c r="N1" s="857"/>
      <c r="O1" s="857"/>
    </row>
    <row r="2" spans="1:20" ht="6" customHeight="1">
      <c r="A2" s="1408"/>
      <c r="B2" s="1341"/>
      <c r="C2" s="857"/>
      <c r="D2" s="857"/>
      <c r="E2" s="857"/>
      <c r="F2" s="857"/>
      <c r="G2" s="857"/>
      <c r="H2" s="1282"/>
      <c r="I2" s="857"/>
      <c r="J2" s="857"/>
      <c r="K2" s="857"/>
      <c r="L2" s="936"/>
      <c r="M2" s="936"/>
      <c r="N2" s="936"/>
      <c r="O2" s="936"/>
      <c r="P2" s="389"/>
    </row>
    <row r="3" spans="1:20">
      <c r="A3" s="112"/>
      <c r="B3" s="35"/>
      <c r="C3" s="35"/>
      <c r="D3" s="135"/>
      <c r="E3" s="44"/>
      <c r="F3" s="44"/>
      <c r="G3" s="35"/>
      <c r="H3" s="35"/>
      <c r="I3" s="35"/>
      <c r="J3" s="35"/>
      <c r="K3" s="35"/>
      <c r="L3" s="35"/>
      <c r="M3" s="5272" t="s">
        <v>3803</v>
      </c>
      <c r="N3" s="6162"/>
      <c r="O3" s="936"/>
      <c r="P3" s="1376"/>
    </row>
    <row r="4" spans="1:20" ht="20.25" customHeight="1">
      <c r="A4" s="112"/>
      <c r="B4" s="6060" t="s">
        <v>469</v>
      </c>
      <c r="C4" s="6281">
        <v>8960</v>
      </c>
      <c r="D4" s="6282"/>
      <c r="E4" s="6265" t="s">
        <v>1798</v>
      </c>
      <c r="F4" s="6265"/>
      <c r="G4" s="4942"/>
      <c r="H4" s="4942"/>
      <c r="I4" s="4942"/>
      <c r="J4" s="4942"/>
      <c r="K4" s="4942"/>
      <c r="L4" s="4943"/>
      <c r="M4" s="5137">
        <f>TaxYear</f>
        <v>2016</v>
      </c>
      <c r="N4" s="6253"/>
      <c r="O4" s="972"/>
      <c r="P4" s="327"/>
      <c r="Q4" s="36" t="s">
        <v>149</v>
      </c>
      <c r="R4" s="408"/>
      <c r="S4" s="1280"/>
    </row>
    <row r="5" spans="1:20" ht="14.25" customHeight="1">
      <c r="A5" s="112"/>
      <c r="B5" s="4979"/>
      <c r="C5" s="6283"/>
      <c r="D5" s="6284"/>
      <c r="E5" s="6265" t="s">
        <v>1799</v>
      </c>
      <c r="F5" s="6265"/>
      <c r="G5" s="4942"/>
      <c r="H5" s="4942"/>
      <c r="I5" s="4942"/>
      <c r="J5" s="4942"/>
      <c r="K5" s="4942"/>
      <c r="L5" s="4943"/>
      <c r="M5" s="6254"/>
      <c r="N5" s="6255"/>
      <c r="O5" s="973"/>
      <c r="P5" s="328"/>
      <c r="Q5" s="36" t="s">
        <v>661</v>
      </c>
      <c r="R5" s="360"/>
      <c r="S5" s="335"/>
    </row>
    <row r="6" spans="1:20" ht="12.75" customHeight="1">
      <c r="A6" s="112"/>
      <c r="B6" s="6270" t="s">
        <v>293</v>
      </c>
      <c r="C6" s="6271"/>
      <c r="D6" s="6272"/>
      <c r="E6" s="6262" t="s">
        <v>1800</v>
      </c>
      <c r="F6" s="6439"/>
      <c r="G6" s="6263"/>
      <c r="H6" s="6263"/>
      <c r="I6" s="6263"/>
      <c r="J6" s="6263"/>
      <c r="K6" s="6263"/>
      <c r="L6" s="6264"/>
      <c r="M6" s="6258" t="s">
        <v>486</v>
      </c>
      <c r="N6" s="5360"/>
      <c r="O6" s="972"/>
      <c r="P6" s="327"/>
      <c r="Q6" s="993"/>
      <c r="R6" s="360"/>
      <c r="S6" s="1188"/>
    </row>
    <row r="7" spans="1:20" ht="12.75" customHeight="1" thickBot="1">
      <c r="A7" s="112"/>
      <c r="B7" s="6273" t="s">
        <v>364</v>
      </c>
      <c r="C7" s="6274"/>
      <c r="D7" s="6275"/>
      <c r="E7" s="6440" t="s">
        <v>1801</v>
      </c>
      <c r="F7" s="6441"/>
      <c r="G7" s="6442"/>
      <c r="H7" s="6442"/>
      <c r="I7" s="6442"/>
      <c r="J7" s="6442"/>
      <c r="K7" s="6442"/>
      <c r="L7" s="6443"/>
      <c r="M7" s="6251" t="s">
        <v>1802</v>
      </c>
      <c r="N7" s="6252"/>
      <c r="O7" s="973"/>
      <c r="P7" s="328"/>
      <c r="Q7" s="993"/>
      <c r="R7" s="408"/>
      <c r="S7" s="1188"/>
    </row>
    <row r="8" spans="1:20" ht="11.25" customHeight="1">
      <c r="A8" s="112"/>
      <c r="B8" s="32" t="s">
        <v>2193</v>
      </c>
      <c r="C8" s="222"/>
      <c r="D8" s="222"/>
      <c r="E8" s="189"/>
      <c r="F8" s="189"/>
      <c r="G8" s="191"/>
      <c r="H8" s="205"/>
      <c r="I8" s="191"/>
      <c r="J8" s="191"/>
      <c r="K8" s="191"/>
      <c r="L8" s="6269" t="s">
        <v>148</v>
      </c>
      <c r="M8" s="5383"/>
      <c r="N8" s="5383"/>
      <c r="O8" s="972"/>
      <c r="P8" s="327"/>
      <c r="Q8" s="993"/>
      <c r="R8" s="408"/>
      <c r="S8" s="334"/>
    </row>
    <row r="9" spans="1:20" ht="14.25" customHeight="1">
      <c r="A9" s="112"/>
      <c r="B9" s="6285" t="str">
        <f>Names</f>
        <v/>
      </c>
      <c r="C9" s="6286"/>
      <c r="D9" s="6286"/>
      <c r="E9" s="6286"/>
      <c r="F9" s="6286"/>
      <c r="G9" s="6286"/>
      <c r="H9" s="6286"/>
      <c r="I9" s="6286"/>
      <c r="J9" s="6286"/>
      <c r="K9" s="6287"/>
      <c r="L9" s="5269">
        <f>SS_Yours</f>
        <v>0</v>
      </c>
      <c r="M9" s="6266"/>
      <c r="N9" s="6266"/>
      <c r="O9" s="973"/>
      <c r="P9" s="328"/>
      <c r="Q9" s="993"/>
      <c r="R9" s="408"/>
      <c r="S9" s="334"/>
    </row>
    <row r="10" spans="1:20" ht="12" customHeight="1">
      <c r="A10" s="112"/>
      <c r="B10" s="2864" t="s">
        <v>525</v>
      </c>
      <c r="C10" s="6434" t="s">
        <v>1803</v>
      </c>
      <c r="D10" s="6435"/>
      <c r="E10" s="6436"/>
      <c r="F10" s="3705"/>
      <c r="G10" s="2862" t="s">
        <v>1804</v>
      </c>
      <c r="H10" s="2858"/>
      <c r="I10" s="2858"/>
      <c r="J10" s="2858"/>
      <c r="K10" s="2858"/>
      <c r="L10" s="2858"/>
      <c r="M10" s="2858"/>
      <c r="N10" s="2859"/>
      <c r="O10" s="974"/>
      <c r="P10" s="837"/>
      <c r="Q10" s="993"/>
      <c r="R10" s="408"/>
      <c r="S10" s="11"/>
    </row>
    <row r="11" spans="1:20" ht="12" customHeight="1">
      <c r="A11" s="112"/>
      <c r="B11" s="3023"/>
      <c r="C11" s="6437"/>
      <c r="D11" s="6437"/>
      <c r="E11" s="6438"/>
      <c r="F11" s="3705"/>
      <c r="G11" s="3022" t="s">
        <v>2192</v>
      </c>
      <c r="H11" s="3098"/>
      <c r="I11" s="3098"/>
      <c r="J11" s="3098"/>
      <c r="K11" s="3098"/>
      <c r="L11" s="3098"/>
      <c r="M11" s="3098"/>
      <c r="N11" s="3101"/>
      <c r="O11" s="974"/>
      <c r="P11" s="837"/>
      <c r="Q11" s="993"/>
      <c r="R11" s="408"/>
      <c r="S11" s="11"/>
    </row>
    <row r="12" spans="1:20" ht="12" customHeight="1">
      <c r="A12" s="112"/>
      <c r="B12" s="2960"/>
      <c r="C12" s="3099"/>
      <c r="D12" s="3099"/>
      <c r="E12" s="3100"/>
      <c r="F12" s="3705"/>
      <c r="G12" s="2863" t="s">
        <v>1805</v>
      </c>
      <c r="H12" s="2860"/>
      <c r="I12" s="2860"/>
      <c r="J12" s="2860"/>
      <c r="K12" s="2860"/>
      <c r="L12" s="2860"/>
      <c r="M12" s="2860"/>
      <c r="N12" s="2861"/>
      <c r="O12" s="974"/>
      <c r="P12" s="837"/>
      <c r="Q12" s="993"/>
      <c r="R12" s="408"/>
      <c r="S12" s="11"/>
    </row>
    <row r="13" spans="1:20" ht="13.5" customHeight="1">
      <c r="A13" s="112"/>
      <c r="B13" s="237">
        <v>1</v>
      </c>
      <c r="C13" s="507" t="s">
        <v>2194</v>
      </c>
      <c r="D13" s="507"/>
      <c r="E13" s="2848"/>
      <c r="F13" s="2848"/>
      <c r="G13" s="2848"/>
      <c r="H13" s="299"/>
      <c r="I13" s="299"/>
      <c r="J13" s="299"/>
      <c r="K13" s="299"/>
      <c r="L13" s="2476" t="s">
        <v>2087</v>
      </c>
      <c r="M13" s="322">
        <f>B13</f>
        <v>1</v>
      </c>
      <c r="N13" s="2798">
        <f>IF(Q13&lt;&gt;"",Q13,TaxableInterest)</f>
        <v>0</v>
      </c>
      <c r="O13" s="976"/>
      <c r="P13" s="332"/>
      <c r="Q13" s="638"/>
      <c r="R13" s="617"/>
      <c r="S13" s="338"/>
    </row>
    <row r="14" spans="1:20" ht="13.5" customHeight="1">
      <c r="A14" s="112"/>
      <c r="B14" s="237">
        <v>2</v>
      </c>
      <c r="C14" s="507" t="s">
        <v>2195</v>
      </c>
      <c r="D14" s="507"/>
      <c r="E14" s="2848"/>
      <c r="F14" s="2848"/>
      <c r="G14" s="2848"/>
      <c r="H14" s="299"/>
      <c r="I14" s="299"/>
      <c r="J14" s="299"/>
      <c r="K14" s="299"/>
      <c r="L14" s="2476" t="s">
        <v>2087</v>
      </c>
      <c r="M14" s="322">
        <f>B14</f>
        <v>2</v>
      </c>
      <c r="N14" s="2798">
        <f>IF(Q14&lt;&gt;"",Q14,'1040'!AB41)</f>
        <v>0</v>
      </c>
      <c r="O14" s="976"/>
      <c r="P14" s="332"/>
      <c r="Q14" s="638"/>
      <c r="R14" s="617"/>
      <c r="S14" s="338"/>
    </row>
    <row r="15" spans="1:20" ht="13.5" customHeight="1">
      <c r="A15" s="112"/>
      <c r="B15" s="237">
        <v>3</v>
      </c>
      <c r="C15" s="507" t="s">
        <v>2196</v>
      </c>
      <c r="D15" s="507"/>
      <c r="E15" s="2848"/>
      <c r="F15" s="2848"/>
      <c r="G15" s="2848"/>
      <c r="H15" s="299"/>
      <c r="I15" s="299"/>
      <c r="J15" s="299"/>
      <c r="K15" s="299"/>
      <c r="L15" s="2476" t="s">
        <v>2197</v>
      </c>
      <c r="M15" s="322">
        <f>B15</f>
        <v>3</v>
      </c>
      <c r="N15" s="2799"/>
      <c r="O15" s="976"/>
      <c r="P15" s="332"/>
      <c r="Q15" s="823"/>
      <c r="R15" s="617"/>
      <c r="S15" s="338"/>
    </row>
    <row r="16" spans="1:20" s="1453" customFormat="1" ht="13.5" customHeight="1">
      <c r="A16" s="112"/>
      <c r="B16" s="237" t="s">
        <v>190</v>
      </c>
      <c r="C16" s="507" t="s">
        <v>1806</v>
      </c>
      <c r="D16" s="507"/>
      <c r="E16" s="2848"/>
      <c r="F16" s="2848"/>
      <c r="G16" s="2848"/>
      <c r="H16" s="299"/>
      <c r="I16" s="299"/>
      <c r="J16" s="299"/>
      <c r="K16" s="992"/>
      <c r="L16" s="2476"/>
      <c r="M16" s="997"/>
      <c r="N16" s="824"/>
      <c r="O16" s="975"/>
      <c r="P16" s="2734"/>
      <c r="Q16" s="849"/>
      <c r="R16" s="617"/>
      <c r="S16" s="338"/>
      <c r="T16"/>
    </row>
    <row r="17" spans="1:28" ht="13.5" customHeight="1">
      <c r="A17" s="112"/>
      <c r="B17" s="302"/>
      <c r="C17" s="507" t="s">
        <v>2198</v>
      </c>
      <c r="D17" s="2847"/>
      <c r="E17" s="2848"/>
      <c r="F17" s="2848"/>
      <c r="G17" s="2848"/>
      <c r="H17" s="299"/>
      <c r="I17" s="302"/>
      <c r="J17" s="237" t="s">
        <v>1380</v>
      </c>
      <c r="K17" s="830" t="str">
        <f>B16</f>
        <v>4a</v>
      </c>
      <c r="L17" s="2798">
        <f>'1040'!AB50</f>
        <v>0</v>
      </c>
      <c r="M17" s="997"/>
      <c r="N17" s="755"/>
      <c r="O17" s="976"/>
      <c r="P17" s="332"/>
      <c r="Q17" s="638"/>
      <c r="R17" s="56"/>
      <c r="S17" s="305"/>
    </row>
    <row r="18" spans="1:28" s="1453" customFormat="1" ht="13.5" customHeight="1">
      <c r="A18" s="112"/>
      <c r="B18" s="237" t="s">
        <v>84</v>
      </c>
      <c r="C18" s="507" t="s">
        <v>1807</v>
      </c>
      <c r="D18" s="507"/>
      <c r="E18" s="2848"/>
      <c r="F18" s="2848"/>
      <c r="G18" s="2848"/>
      <c r="H18" s="299"/>
      <c r="I18" s="299"/>
      <c r="J18" s="299"/>
      <c r="K18" s="992"/>
      <c r="L18" s="302"/>
      <c r="M18" s="997"/>
      <c r="N18" s="824"/>
      <c r="O18" s="975"/>
      <c r="P18" s="2734"/>
      <c r="Q18" s="849"/>
      <c r="R18" s="617"/>
      <c r="S18" s="338"/>
      <c r="T18"/>
    </row>
    <row r="19" spans="1:28" ht="13.5" customHeight="1">
      <c r="A19" s="112"/>
      <c r="B19" s="302"/>
      <c r="C19" s="507" t="s">
        <v>1808</v>
      </c>
      <c r="D19" s="2847"/>
      <c r="E19" s="2848"/>
      <c r="F19" s="2848"/>
      <c r="G19" s="2848"/>
      <c r="H19" s="299"/>
      <c r="I19" s="302"/>
      <c r="J19" s="237" t="s">
        <v>907</v>
      </c>
      <c r="K19" s="830" t="str">
        <f>B18</f>
        <v>b</v>
      </c>
      <c r="L19" s="2799"/>
      <c r="M19" s="997"/>
      <c r="N19" s="755"/>
      <c r="O19" s="976"/>
      <c r="P19" s="332"/>
      <c r="Q19" s="849"/>
      <c r="R19" s="56"/>
      <c r="S19" s="305"/>
    </row>
    <row r="20" spans="1:28" ht="13.5" customHeight="1">
      <c r="A20" s="112"/>
      <c r="B20" s="237" t="s">
        <v>85</v>
      </c>
      <c r="C20" s="507" t="s">
        <v>1809</v>
      </c>
      <c r="D20" s="507"/>
      <c r="E20" s="2848"/>
      <c r="F20" s="2848"/>
      <c r="G20" s="2848"/>
      <c r="H20" s="299"/>
      <c r="I20" s="299"/>
      <c r="J20" s="299"/>
      <c r="K20" s="299"/>
      <c r="L20" s="2476" t="s">
        <v>483</v>
      </c>
      <c r="M20" s="322" t="s">
        <v>159</v>
      </c>
      <c r="N20" s="2798">
        <f>IF(Q20&lt;&gt;"",Q20,SUM(L17,L19))</f>
        <v>0</v>
      </c>
      <c r="O20" s="976"/>
      <c r="P20" s="332"/>
      <c r="Q20" s="638"/>
      <c r="R20" s="617"/>
      <c r="S20" s="338"/>
    </row>
    <row r="21" spans="1:28" ht="13.5" customHeight="1" thickBot="1">
      <c r="A21" s="112"/>
      <c r="B21" s="237" t="s">
        <v>591</v>
      </c>
      <c r="C21" s="507" t="s">
        <v>2199</v>
      </c>
      <c r="D21" s="2847"/>
      <c r="E21" s="2848"/>
      <c r="F21" s="2848"/>
      <c r="G21" s="2848"/>
      <c r="H21" s="299"/>
      <c r="I21" s="302"/>
      <c r="J21" s="237" t="s">
        <v>1379</v>
      </c>
      <c r="K21" s="830" t="str">
        <f>B21</f>
        <v>5a</v>
      </c>
      <c r="L21" s="2798">
        <f>IF(Q21&lt;&gt;"",ROUND(Q21,0),SUM('1040'!AB46,'1040'!AB47))</f>
        <v>0</v>
      </c>
      <c r="M21" s="997"/>
      <c r="N21" s="755"/>
      <c r="O21" s="976"/>
      <c r="P21" s="332"/>
      <c r="Q21" s="638"/>
      <c r="R21" s="56"/>
      <c r="S21" s="305"/>
    </row>
    <row r="22" spans="1:28" s="1453" customFormat="1" ht="13.5" customHeight="1">
      <c r="A22" s="112"/>
      <c r="B22" s="237" t="s">
        <v>84</v>
      </c>
      <c r="C22" s="507" t="s">
        <v>1810</v>
      </c>
      <c r="D22" s="507"/>
      <c r="E22" s="2848"/>
      <c r="F22" s="2848"/>
      <c r="G22" s="2848"/>
      <c r="H22" s="299"/>
      <c r="I22" s="299"/>
      <c r="J22" s="299"/>
      <c r="K22" s="992"/>
      <c r="L22" s="302"/>
      <c r="M22" s="997"/>
      <c r="N22" s="824"/>
      <c r="O22" s="975"/>
      <c r="P22" s="2734"/>
      <c r="Q22" s="823"/>
      <c r="R22" s="617"/>
      <c r="S22" s="338"/>
      <c r="T22" s="2870"/>
      <c r="U22" s="4191"/>
      <c r="V22" s="4191"/>
      <c r="W22" s="4191"/>
      <c r="X22" s="4191"/>
      <c r="Y22" s="4191"/>
      <c r="Z22" s="4191"/>
      <c r="AA22" s="4191"/>
      <c r="AB22" s="4192"/>
    </row>
    <row r="23" spans="1:28" ht="13.5" customHeight="1">
      <c r="A23" s="112"/>
      <c r="B23" s="302"/>
      <c r="C23" s="507" t="s">
        <v>1811</v>
      </c>
      <c r="D23" s="2847"/>
      <c r="E23" s="2848"/>
      <c r="F23" s="2848"/>
      <c r="G23" s="2848"/>
      <c r="H23" s="299"/>
      <c r="I23" s="302"/>
      <c r="J23" s="237" t="s">
        <v>805</v>
      </c>
      <c r="K23" s="830" t="str">
        <f>B22</f>
        <v>b</v>
      </c>
      <c r="L23" s="2799"/>
      <c r="M23" s="997"/>
      <c r="N23" s="755"/>
      <c r="O23" s="976"/>
      <c r="P23" s="332"/>
      <c r="Q23" s="823"/>
      <c r="R23" s="56"/>
      <c r="S23" s="305"/>
      <c r="T23" s="2873"/>
      <c r="U23" s="6433" t="s">
        <v>3417</v>
      </c>
      <c r="V23" s="5918"/>
      <c r="W23" s="5918"/>
      <c r="X23" s="5918"/>
      <c r="Y23" s="5918"/>
      <c r="Z23" s="5918"/>
      <c r="AA23" s="5918"/>
      <c r="AB23" s="3033"/>
    </row>
    <row r="24" spans="1:28" s="1453" customFormat="1" ht="13.5" customHeight="1">
      <c r="A24" s="112"/>
      <c r="B24" s="237" t="s">
        <v>85</v>
      </c>
      <c r="C24" s="507" t="s">
        <v>1812</v>
      </c>
      <c r="D24" s="507"/>
      <c r="E24" s="2848"/>
      <c r="F24" s="2848"/>
      <c r="G24" s="2848"/>
      <c r="H24" s="299"/>
      <c r="I24" s="299"/>
      <c r="J24" s="299"/>
      <c r="K24" s="992"/>
      <c r="L24" s="302"/>
      <c r="M24" s="997"/>
      <c r="N24" s="824"/>
      <c r="O24" s="975"/>
      <c r="P24" s="2734"/>
      <c r="Q24" s="823"/>
      <c r="R24" s="617"/>
      <c r="S24" s="338"/>
      <c r="T24" s="2873"/>
      <c r="U24" s="5918"/>
      <c r="V24" s="5918"/>
      <c r="W24" s="5918"/>
      <c r="X24" s="5918"/>
      <c r="Y24" s="5918"/>
      <c r="Z24" s="5918"/>
      <c r="AA24" s="5918"/>
      <c r="AB24" s="4193"/>
    </row>
    <row r="25" spans="1:28" ht="13.5" customHeight="1">
      <c r="A25" s="112"/>
      <c r="B25" s="302"/>
      <c r="C25" s="507" t="s">
        <v>2200</v>
      </c>
      <c r="D25" s="2847"/>
      <c r="E25" s="2848"/>
      <c r="F25" s="2848"/>
      <c r="G25" s="2848"/>
      <c r="H25" s="299"/>
      <c r="I25" s="302"/>
      <c r="J25" s="237" t="s">
        <v>1828</v>
      </c>
      <c r="K25" s="830" t="str">
        <f>B24</f>
        <v>c</v>
      </c>
      <c r="L25" s="2799"/>
      <c r="M25" s="997"/>
      <c r="N25" s="755"/>
      <c r="O25" s="976"/>
      <c r="P25" s="332"/>
      <c r="Q25" s="823"/>
      <c r="R25" s="56"/>
      <c r="S25" s="305"/>
      <c r="T25" s="2873"/>
      <c r="U25" s="5918"/>
      <c r="V25" s="5918"/>
      <c r="W25" s="5918"/>
      <c r="X25" s="5918"/>
      <c r="Y25" s="5918"/>
      <c r="Z25" s="5918"/>
      <c r="AA25" s="5918"/>
      <c r="AB25" s="3033"/>
    </row>
    <row r="26" spans="1:28" ht="13.5" customHeight="1">
      <c r="A26" s="112"/>
      <c r="B26" s="237" t="s">
        <v>151</v>
      </c>
      <c r="C26" s="507" t="s">
        <v>1813</v>
      </c>
      <c r="D26" s="507"/>
      <c r="E26" s="2848"/>
      <c r="F26" s="2848"/>
      <c r="G26" s="2848"/>
      <c r="H26" s="299"/>
      <c r="I26" s="299"/>
      <c r="J26" s="299"/>
      <c r="K26" s="299"/>
      <c r="L26" s="2476" t="s">
        <v>483</v>
      </c>
      <c r="M26" s="322" t="s">
        <v>1817</v>
      </c>
      <c r="N26" s="2798">
        <f>IF(Q26&lt;&gt;"",Q26,SUM(L21,L23,L25))</f>
        <v>0</v>
      </c>
      <c r="O26" s="976"/>
      <c r="P26" s="332"/>
      <c r="Q26" s="638"/>
      <c r="R26" s="617"/>
      <c r="S26" s="338"/>
      <c r="T26" s="2873"/>
      <c r="U26" s="5918"/>
      <c r="V26" s="5918"/>
      <c r="W26" s="5918"/>
      <c r="X26" s="5918"/>
      <c r="Y26" s="5918"/>
      <c r="Z26" s="5918"/>
      <c r="AA26" s="5918"/>
      <c r="AB26" s="3033"/>
    </row>
    <row r="27" spans="1:28" ht="13.5" customHeight="1">
      <c r="A27" s="112"/>
      <c r="B27" s="237">
        <v>6</v>
      </c>
      <c r="C27" s="507" t="s">
        <v>1814</v>
      </c>
      <c r="D27" s="507"/>
      <c r="E27" s="2848"/>
      <c r="F27" s="2848"/>
      <c r="G27" s="2848"/>
      <c r="H27" s="299"/>
      <c r="I27" s="299"/>
      <c r="J27" s="299"/>
      <c r="K27" s="299"/>
      <c r="L27" s="2476" t="s">
        <v>997</v>
      </c>
      <c r="M27" s="322">
        <f>B27</f>
        <v>6</v>
      </c>
      <c r="N27" s="2799"/>
      <c r="O27" s="976"/>
      <c r="P27" s="332"/>
      <c r="Q27" s="823"/>
      <c r="R27" s="617"/>
      <c r="S27" s="338"/>
      <c r="T27" s="2873"/>
      <c r="U27" s="5918"/>
      <c r="V27" s="5918"/>
      <c r="W27" s="5918"/>
      <c r="X27" s="5918"/>
      <c r="Y27" s="5918"/>
      <c r="Z27" s="5918"/>
      <c r="AA27" s="5918"/>
      <c r="AB27" s="3033"/>
    </row>
    <row r="28" spans="1:28" ht="13.5" customHeight="1">
      <c r="A28" s="112"/>
      <c r="B28" s="237">
        <v>7</v>
      </c>
      <c r="C28" s="507" t="s">
        <v>1815</v>
      </c>
      <c r="D28" s="507"/>
      <c r="E28" s="2848"/>
      <c r="F28" s="2848"/>
      <c r="G28" s="2848"/>
      <c r="H28" s="299"/>
      <c r="I28" s="299"/>
      <c r="J28" s="299"/>
      <c r="K28" s="299"/>
      <c r="L28" s="2476" t="s">
        <v>1760</v>
      </c>
      <c r="M28" s="322">
        <f>B28</f>
        <v>7</v>
      </c>
      <c r="N28" s="2799"/>
      <c r="O28" s="976"/>
      <c r="P28" s="332"/>
      <c r="Q28" s="823"/>
      <c r="R28" s="617"/>
      <c r="S28" s="338"/>
      <c r="T28" s="2873"/>
      <c r="U28" s="5918"/>
      <c r="V28" s="5918"/>
      <c r="W28" s="5918"/>
      <c r="X28" s="5918"/>
      <c r="Y28" s="5918"/>
      <c r="Z28" s="5918"/>
      <c r="AA28" s="5918"/>
      <c r="AB28" s="3033"/>
    </row>
    <row r="29" spans="1:28" ht="13.5" customHeight="1">
      <c r="A29" s="112"/>
      <c r="B29" s="237">
        <v>8</v>
      </c>
      <c r="C29" s="507" t="s">
        <v>1816</v>
      </c>
      <c r="D29" s="507"/>
      <c r="E29" s="2848"/>
      <c r="F29" s="2848"/>
      <c r="G29" s="2848"/>
      <c r="H29" s="299"/>
      <c r="I29" s="299"/>
      <c r="J29" s="299"/>
      <c r="K29" s="299"/>
      <c r="L29" s="2476" t="s">
        <v>442</v>
      </c>
      <c r="M29" s="322">
        <f>B29</f>
        <v>8</v>
      </c>
      <c r="N29" s="2798">
        <f>IF(Q29&lt;&gt;"",Q29,SUM(N13,N14,N15,N20,N26,N27,N28))</f>
        <v>0</v>
      </c>
      <c r="O29" s="976"/>
      <c r="P29" s="332"/>
      <c r="Q29" s="638"/>
      <c r="R29" s="617"/>
      <c r="S29" s="338"/>
      <c r="T29" s="2873"/>
      <c r="U29" s="5918"/>
      <c r="V29" s="5918"/>
      <c r="W29" s="5918"/>
      <c r="X29" s="5918"/>
      <c r="Y29" s="5918"/>
      <c r="Z29" s="5918"/>
      <c r="AA29" s="5918"/>
      <c r="AB29" s="3033"/>
    </row>
    <row r="30" spans="1:28" s="1453" customFormat="1" ht="15.75" customHeight="1">
      <c r="A30" s="112"/>
      <c r="B30" s="839" t="s">
        <v>194</v>
      </c>
      <c r="C30" s="6432" t="s">
        <v>1818</v>
      </c>
      <c r="D30" s="6267"/>
      <c r="E30" s="6268"/>
      <c r="F30" s="6268"/>
      <c r="G30" s="6268"/>
      <c r="H30" s="6268"/>
      <c r="I30" s="6268"/>
      <c r="J30" s="6268"/>
      <c r="K30" s="6268"/>
      <c r="L30" s="6268"/>
      <c r="M30" s="6268"/>
      <c r="N30" s="6268"/>
      <c r="O30" s="977"/>
      <c r="P30" s="840"/>
      <c r="Q30" s="823"/>
      <c r="R30" s="575"/>
      <c r="S30" s="846"/>
      <c r="T30" s="2873"/>
      <c r="U30" s="5918"/>
      <c r="V30" s="5918"/>
      <c r="W30" s="5918"/>
      <c r="X30" s="5918"/>
      <c r="Y30" s="5918"/>
      <c r="Z30" s="5918"/>
      <c r="AA30" s="5918"/>
      <c r="AB30" s="4193"/>
    </row>
    <row r="31" spans="1:28" ht="13.5" customHeight="1">
      <c r="A31" s="112"/>
      <c r="B31" s="237" t="s">
        <v>458</v>
      </c>
      <c r="C31" s="507" t="s">
        <v>1819</v>
      </c>
      <c r="D31" s="2847"/>
      <c r="E31" s="2848"/>
      <c r="F31" s="2848"/>
      <c r="G31" s="2848"/>
      <c r="H31" s="299"/>
      <c r="I31" s="302"/>
      <c r="J31" s="237" t="s">
        <v>1380</v>
      </c>
      <c r="K31" s="830" t="str">
        <f>B31</f>
        <v>9a</v>
      </c>
      <c r="L31" s="2799"/>
      <c r="M31" s="997"/>
      <c r="N31" s="2865"/>
      <c r="O31" s="976"/>
      <c r="P31" s="332"/>
      <c r="Q31" s="823"/>
      <c r="R31" s="56"/>
      <c r="S31" s="305"/>
      <c r="T31" s="2873"/>
      <c r="U31" s="5918"/>
      <c r="V31" s="5918"/>
      <c r="W31" s="5918"/>
      <c r="X31" s="5918"/>
      <c r="Y31" s="5918"/>
      <c r="Z31" s="5918"/>
      <c r="AA31" s="5918"/>
      <c r="AB31" s="3033"/>
    </row>
    <row r="32" spans="1:28" ht="13.5" customHeight="1">
      <c r="A32" s="112"/>
      <c r="B32" s="237" t="s">
        <v>84</v>
      </c>
      <c r="C32" s="507" t="s">
        <v>3804</v>
      </c>
      <c r="D32" s="2847"/>
      <c r="E32" s="2848"/>
      <c r="F32" s="2848"/>
      <c r="G32" s="2848"/>
      <c r="H32" s="299"/>
      <c r="I32" s="302"/>
      <c r="J32" s="237" t="s">
        <v>1135</v>
      </c>
      <c r="K32" s="322" t="s">
        <v>459</v>
      </c>
      <c r="L32" s="2799"/>
      <c r="M32" s="997"/>
      <c r="N32" s="755"/>
      <c r="O32" s="976"/>
      <c r="P32" s="332"/>
      <c r="Q32" s="823"/>
      <c r="R32" s="56"/>
      <c r="S32" s="305"/>
      <c r="T32" s="2873"/>
      <c r="U32" s="5918"/>
      <c r="V32" s="5918"/>
      <c r="W32" s="5918"/>
      <c r="X32" s="5918"/>
      <c r="Y32" s="5918"/>
      <c r="Z32" s="5918"/>
      <c r="AA32" s="5918"/>
      <c r="AB32" s="3033"/>
    </row>
    <row r="33" spans="1:29" ht="13.5" customHeight="1">
      <c r="A33" s="112"/>
      <c r="B33" s="237" t="s">
        <v>85</v>
      </c>
      <c r="C33" s="507" t="s">
        <v>1821</v>
      </c>
      <c r="D33" s="2847"/>
      <c r="E33" s="2848"/>
      <c r="F33" s="2848"/>
      <c r="G33" s="2848"/>
      <c r="H33" s="299"/>
      <c r="I33" s="302"/>
      <c r="J33" s="237" t="s">
        <v>907</v>
      </c>
      <c r="K33" s="322" t="s">
        <v>1823</v>
      </c>
      <c r="L33" s="2799"/>
      <c r="M33" s="997"/>
      <c r="N33" s="755"/>
      <c r="O33" s="976"/>
      <c r="P33" s="332"/>
      <c r="Q33" s="823"/>
      <c r="R33" s="56"/>
      <c r="S33" s="305"/>
      <c r="T33" s="2873"/>
      <c r="U33" s="5918"/>
      <c r="V33" s="5918"/>
      <c r="W33" s="5918"/>
      <c r="X33" s="5918"/>
      <c r="Y33" s="5918"/>
      <c r="Z33" s="5918"/>
      <c r="AA33" s="5918"/>
      <c r="AB33" s="3033"/>
    </row>
    <row r="34" spans="1:29" ht="13.5" customHeight="1" thickBot="1">
      <c r="A34" s="112"/>
      <c r="B34" s="237" t="s">
        <v>151</v>
      </c>
      <c r="C34" s="507" t="s">
        <v>1824</v>
      </c>
      <c r="D34" s="507"/>
      <c r="E34" s="2848"/>
      <c r="F34" s="2848"/>
      <c r="G34" s="2848"/>
      <c r="H34" s="299"/>
      <c r="I34" s="299"/>
      <c r="J34" s="299"/>
      <c r="K34" s="299"/>
      <c r="L34" s="2476" t="s">
        <v>1158</v>
      </c>
      <c r="M34" s="322" t="s">
        <v>1822</v>
      </c>
      <c r="N34" s="2798">
        <f>IF(Q34&lt;&gt;"",Q34,SUM(L31,L32,L33))</f>
        <v>0</v>
      </c>
      <c r="O34" s="976"/>
      <c r="P34" s="332"/>
      <c r="Q34" s="638"/>
      <c r="R34" s="617"/>
      <c r="S34" s="338"/>
      <c r="T34" s="2881"/>
      <c r="U34" s="4194"/>
      <c r="V34" s="4194"/>
      <c r="W34" s="4194"/>
      <c r="X34" s="4194"/>
      <c r="Y34" s="4194"/>
      <c r="Z34" s="4194"/>
      <c r="AA34" s="4194"/>
      <c r="AB34" s="4195"/>
      <c r="AC34" s="2758"/>
    </row>
    <row r="35" spans="1:29" ht="13.5" customHeight="1" thickBot="1">
      <c r="A35" s="112"/>
      <c r="B35" s="237">
        <v>10</v>
      </c>
      <c r="C35" s="507" t="s">
        <v>1825</v>
      </c>
      <c r="D35" s="507"/>
      <c r="E35" s="2848"/>
      <c r="F35" s="2848"/>
      <c r="G35" s="2848"/>
      <c r="H35" s="299"/>
      <c r="I35" s="299"/>
      <c r="J35" s="299"/>
      <c r="K35" s="299"/>
      <c r="L35" s="2476" t="s">
        <v>1128</v>
      </c>
      <c r="M35" s="322">
        <f>B35</f>
        <v>10</v>
      </c>
      <c r="N35" s="2799"/>
      <c r="O35" s="976"/>
      <c r="P35" s="332"/>
      <c r="Q35" s="823"/>
      <c r="R35" s="617"/>
      <c r="S35" s="338"/>
      <c r="U35" s="2758"/>
      <c r="V35" s="2758"/>
      <c r="W35" s="2758"/>
      <c r="X35" s="2758"/>
      <c r="Y35" s="2758"/>
      <c r="Z35" s="2758"/>
      <c r="AA35" s="2758"/>
      <c r="AB35" s="2758"/>
      <c r="AC35" s="2758"/>
    </row>
    <row r="36" spans="1:29" ht="13.5" customHeight="1">
      <c r="A36" s="112"/>
      <c r="B36" s="237">
        <v>11</v>
      </c>
      <c r="C36" s="507" t="s">
        <v>1826</v>
      </c>
      <c r="D36" s="507"/>
      <c r="E36" s="2848"/>
      <c r="F36" s="2848"/>
      <c r="G36" s="2848"/>
      <c r="H36" s="299"/>
      <c r="I36" s="299"/>
      <c r="J36" s="299"/>
      <c r="K36" s="299"/>
      <c r="L36" s="2476" t="s">
        <v>996</v>
      </c>
      <c r="M36" s="322">
        <f>B36</f>
        <v>11</v>
      </c>
      <c r="N36" s="2798">
        <f>IF(Q36&lt;&gt;"",Q36,SUM(N34,N35))</f>
        <v>0</v>
      </c>
      <c r="O36" s="976"/>
      <c r="P36" s="332"/>
      <c r="Q36" s="638"/>
      <c r="R36" s="617"/>
      <c r="S36" s="338"/>
      <c r="T36" s="2870"/>
      <c r="U36" s="2871"/>
      <c r="V36" s="2871"/>
      <c r="W36" s="2871"/>
      <c r="X36" s="2871"/>
      <c r="Y36" s="2871"/>
      <c r="Z36" s="2871"/>
      <c r="AA36" s="2871"/>
      <c r="AB36" s="2872"/>
      <c r="AC36" s="2758"/>
    </row>
    <row r="37" spans="1:29" s="1453" customFormat="1" ht="15.75" customHeight="1">
      <c r="A37" s="112"/>
      <c r="B37" s="839" t="s">
        <v>514</v>
      </c>
      <c r="C37" s="6432" t="s">
        <v>1827</v>
      </c>
      <c r="D37" s="6267"/>
      <c r="E37" s="6268"/>
      <c r="F37" s="6268"/>
      <c r="G37" s="6268"/>
      <c r="H37" s="6268"/>
      <c r="I37" s="6268"/>
      <c r="J37" s="6268"/>
      <c r="K37" s="6268"/>
      <c r="L37" s="6268"/>
      <c r="M37" s="6268"/>
      <c r="N37" s="6268"/>
      <c r="O37" s="977"/>
      <c r="P37" s="840"/>
      <c r="Q37" s="823"/>
      <c r="R37" s="575"/>
      <c r="S37" s="846"/>
      <c r="T37" s="2873"/>
      <c r="U37" s="2874" t="s">
        <v>1855</v>
      </c>
      <c r="V37" s="2878"/>
      <c r="W37" s="2878"/>
      <c r="X37" s="2878"/>
      <c r="Y37" s="2878"/>
      <c r="Z37" s="2893" t="s">
        <v>290</v>
      </c>
      <c r="AA37" s="2878"/>
      <c r="AB37" s="2880"/>
      <c r="AC37" s="4"/>
    </row>
    <row r="38" spans="1:29" s="1453" customFormat="1" ht="13.5" customHeight="1">
      <c r="A38" s="112"/>
      <c r="B38" s="237">
        <v>12</v>
      </c>
      <c r="C38" s="507" t="s">
        <v>1853</v>
      </c>
      <c r="D38" s="507"/>
      <c r="E38" s="2848"/>
      <c r="F38" s="2848"/>
      <c r="G38" s="2848"/>
      <c r="H38" s="299"/>
      <c r="I38" s="299"/>
      <c r="J38" s="299"/>
      <c r="K38" s="299"/>
      <c r="L38" s="302"/>
      <c r="M38" s="292"/>
      <c r="N38" s="2850">
        <v>8.9999999999999993E-3</v>
      </c>
      <c r="O38" s="975"/>
      <c r="P38" s="2734"/>
      <c r="Q38" s="823"/>
      <c r="R38" s="617"/>
      <c r="S38" s="338"/>
      <c r="T38" s="2873"/>
      <c r="U38" s="2874"/>
      <c r="V38" s="2875"/>
      <c r="W38" s="2875"/>
      <c r="X38" s="2875"/>
      <c r="Y38" s="2875"/>
      <c r="Z38" s="2885"/>
      <c r="AA38" s="2876"/>
      <c r="AB38" s="2877"/>
      <c r="AC38" s="4"/>
    </row>
    <row r="39" spans="1:29" ht="13.5" customHeight="1">
      <c r="A39" s="112"/>
      <c r="B39" s="237"/>
      <c r="C39" s="507" t="s">
        <v>1854</v>
      </c>
      <c r="D39" s="2847"/>
      <c r="E39" s="2848"/>
      <c r="F39" s="2848"/>
      <c r="G39" s="2848"/>
      <c r="H39" s="299"/>
      <c r="I39" s="299"/>
      <c r="J39" s="299"/>
      <c r="K39" s="299"/>
      <c r="L39" s="2476" t="s">
        <v>999</v>
      </c>
      <c r="M39" s="292">
        <f>B38</f>
        <v>12</v>
      </c>
      <c r="N39" s="2798">
        <f>IF(Q39&lt;&gt;"",Q39,IF(N36&gt;=N29,0,SUM(N29,-N36)))</f>
        <v>0</v>
      </c>
      <c r="O39" s="976"/>
      <c r="P39" s="333"/>
      <c r="Q39" s="638"/>
      <c r="R39" s="617"/>
      <c r="S39" s="856"/>
      <c r="T39" s="2890"/>
      <c r="U39" s="2891"/>
      <c r="V39" s="2891"/>
      <c r="W39" s="2891"/>
      <c r="X39" s="2891"/>
      <c r="Y39" s="2891"/>
      <c r="Z39" s="2891"/>
      <c r="AA39" s="2891"/>
      <c r="AB39" s="2892"/>
      <c r="AC39" s="2758"/>
    </row>
    <row r="40" spans="1:29" ht="13.5" customHeight="1">
      <c r="A40" s="112"/>
      <c r="B40" s="237"/>
      <c r="C40" s="2866" t="s">
        <v>1829</v>
      </c>
      <c r="D40" s="2847"/>
      <c r="E40" s="2848"/>
      <c r="F40" s="2848"/>
      <c r="G40" s="2848"/>
      <c r="H40" s="299"/>
      <c r="I40" s="299"/>
      <c r="J40" s="299"/>
      <c r="K40" s="299"/>
      <c r="L40" s="2735"/>
      <c r="M40" s="997"/>
      <c r="N40" s="2896">
        <v>250000</v>
      </c>
      <c r="O40" s="976"/>
      <c r="P40" s="333"/>
      <c r="Q40" s="823"/>
      <c r="R40" s="617"/>
      <c r="S40" s="856"/>
      <c r="T40" s="2873"/>
      <c r="U40" s="2884" t="s">
        <v>1856</v>
      </c>
      <c r="V40" s="2878"/>
      <c r="W40" s="2878"/>
      <c r="X40" s="2878"/>
      <c r="Y40" s="2879"/>
      <c r="Z40" s="2879" t="s">
        <v>476</v>
      </c>
      <c r="AA40" s="2889">
        <f>Adj_Gross_Inc</f>
        <v>0</v>
      </c>
      <c r="AB40" s="2880"/>
      <c r="AC40" s="2758"/>
    </row>
    <row r="41" spans="1:29" ht="13.5" customHeight="1">
      <c r="A41" s="112"/>
      <c r="B41" s="237">
        <v>13</v>
      </c>
      <c r="C41" s="507" t="s">
        <v>1830</v>
      </c>
      <c r="D41" s="2847"/>
      <c r="E41" s="2848"/>
      <c r="F41" s="2848"/>
      <c r="G41" s="2848"/>
      <c r="H41" s="299"/>
      <c r="I41" s="302"/>
      <c r="J41" s="237" t="s">
        <v>985</v>
      </c>
      <c r="K41" s="830">
        <f>B41</f>
        <v>13</v>
      </c>
      <c r="L41" s="2798">
        <f>IF(Q41&lt;&gt;"",Q41,AA53)</f>
        <v>0</v>
      </c>
      <c r="M41" s="997"/>
      <c r="N41" s="2897">
        <v>125000</v>
      </c>
      <c r="O41" s="976"/>
      <c r="P41" s="332"/>
      <c r="Q41" s="638"/>
      <c r="R41" s="56"/>
      <c r="S41" s="305"/>
      <c r="T41" s="2873"/>
      <c r="U41" s="2878"/>
      <c r="V41" s="2878"/>
      <c r="W41" s="2878"/>
      <c r="X41" s="2878"/>
      <c r="Y41" s="2878"/>
      <c r="Z41" s="2878"/>
      <c r="AA41" s="2878"/>
      <c r="AB41" s="2880"/>
      <c r="AC41" s="2758"/>
    </row>
    <row r="42" spans="1:29" ht="13.5" customHeight="1">
      <c r="A42" s="112"/>
      <c r="B42" s="237">
        <v>14</v>
      </c>
      <c r="C42" s="507" t="s">
        <v>1831</v>
      </c>
      <c r="D42" s="2847"/>
      <c r="E42" s="2848"/>
      <c r="F42" s="2848"/>
      <c r="G42" s="2848"/>
      <c r="H42" s="299"/>
      <c r="I42" s="302"/>
      <c r="J42" s="237" t="s">
        <v>985</v>
      </c>
      <c r="K42" s="830">
        <f>B42</f>
        <v>14</v>
      </c>
      <c r="L42" s="2798" t="str">
        <f>IF(N43="---","Filing status?",N43)</f>
        <v>Filing status?</v>
      </c>
      <c r="M42" s="997"/>
      <c r="N42" s="2897">
        <v>200000</v>
      </c>
      <c r="O42" s="976"/>
      <c r="P42" s="332"/>
      <c r="Q42" s="823"/>
      <c r="R42" s="56"/>
      <c r="S42" s="305"/>
      <c r="T42" s="2873"/>
      <c r="U42" s="2884" t="s">
        <v>1857</v>
      </c>
      <c r="V42" s="2878"/>
      <c r="W42" s="2878"/>
      <c r="X42" s="2878"/>
      <c r="Y42" s="2878"/>
      <c r="Z42" s="2878"/>
      <c r="AA42" s="2878"/>
      <c r="AB42" s="2880"/>
      <c r="AC42" s="2758"/>
    </row>
    <row r="43" spans="1:29" ht="13.5" customHeight="1">
      <c r="A43" s="112"/>
      <c r="B43" s="237">
        <v>15</v>
      </c>
      <c r="C43" s="507" t="s">
        <v>1832</v>
      </c>
      <c r="D43" s="2847"/>
      <c r="E43" s="2848"/>
      <c r="F43" s="2848"/>
      <c r="G43" s="2848"/>
      <c r="H43" s="299"/>
      <c r="I43" s="302"/>
      <c r="J43" s="237" t="s">
        <v>1135</v>
      </c>
      <c r="K43" s="830">
        <f>B43</f>
        <v>15</v>
      </c>
      <c r="L43" s="2798" t="str">
        <f>IF(N43="---","",IF(L42&gt;=L41,0,SUM(L41,-L42)))</f>
        <v/>
      </c>
      <c r="M43" s="997"/>
      <c r="N43" s="2897" t="str">
        <f>IF(OR(File_Marr_Joint&lt;&gt;"",File_Qual_Widow&lt;&gt;""),N40,IF(File_Marr_Sep&lt;&gt;"",N41,IF(OR(File_Single&lt;&gt;"",File_Head&lt;&gt;""),N42,"---")))</f>
        <v>---</v>
      </c>
      <c r="O43" s="976"/>
      <c r="P43" s="332"/>
      <c r="Q43" s="823"/>
      <c r="R43" s="56"/>
      <c r="S43" s="305"/>
      <c r="T43" s="2873"/>
      <c r="U43" s="2878"/>
      <c r="V43" s="2878" t="s">
        <v>1860</v>
      </c>
      <c r="W43" s="2878" t="s">
        <v>1861</v>
      </c>
      <c r="X43" s="2878"/>
      <c r="Y43" s="2878"/>
      <c r="Z43" s="2878"/>
      <c r="AA43" s="2878"/>
      <c r="AB43" s="2880"/>
      <c r="AC43" s="2758"/>
    </row>
    <row r="44" spans="1:29" ht="13.5" customHeight="1">
      <c r="A44" s="112"/>
      <c r="B44" s="237">
        <v>16</v>
      </c>
      <c r="C44" s="507" t="s">
        <v>1833</v>
      </c>
      <c r="D44" s="507"/>
      <c r="E44" s="2848"/>
      <c r="F44" s="2848"/>
      <c r="G44" s="2848"/>
      <c r="H44" s="299"/>
      <c r="I44" s="299"/>
      <c r="J44" s="299"/>
      <c r="K44" s="299"/>
      <c r="L44" s="807"/>
      <c r="M44" s="322">
        <f>B44</f>
        <v>16</v>
      </c>
      <c r="N44" s="2798" t="str">
        <f>IF(N43="---","",IF(Q44&lt;&gt;"",Q44,MIN(N39,L43)))</f>
        <v/>
      </c>
      <c r="O44" s="976"/>
      <c r="P44" s="332"/>
      <c r="Q44" s="638"/>
      <c r="R44" s="617"/>
      <c r="S44" s="338"/>
      <c r="T44" s="2873"/>
      <c r="U44" s="2878"/>
      <c r="V44" s="2878"/>
      <c r="W44" s="2878" t="s">
        <v>1858</v>
      </c>
      <c r="X44" s="2878"/>
      <c r="Y44" s="2685">
        <f>'2555'!AE175</f>
        <v>0</v>
      </c>
      <c r="Z44" s="2878"/>
      <c r="AA44" s="2878"/>
      <c r="AB44" s="2880"/>
      <c r="AC44" s="2758"/>
    </row>
    <row r="45" spans="1:29" s="1453" customFormat="1" ht="13.5" customHeight="1">
      <c r="A45" s="112"/>
      <c r="B45" s="237">
        <v>17</v>
      </c>
      <c r="C45" s="507" t="str">
        <f>"Net investment income tax for individuals. Multiply line 16 by "&amp;TEXT(N45,"0.0%")&amp;" ("&amp;TEXT(N45,".000")&amp;")."</f>
        <v>Net investment income tax for individuals. Multiply line 16 by 3.8% (.038).</v>
      </c>
      <c r="D45" s="507"/>
      <c r="E45" s="2848"/>
      <c r="F45" s="2848"/>
      <c r="G45" s="2848"/>
      <c r="H45" s="299"/>
      <c r="I45" s="299"/>
      <c r="J45" s="299"/>
      <c r="K45" s="299"/>
      <c r="L45" s="302"/>
      <c r="M45" s="292"/>
      <c r="N45" s="2850">
        <v>3.7999999999999999E-2</v>
      </c>
      <c r="O45" s="975"/>
      <c r="P45" s="2734"/>
      <c r="Q45" s="823"/>
      <c r="R45" s="617"/>
      <c r="S45" s="338"/>
      <c r="T45" s="2873"/>
      <c r="U45" s="2878"/>
      <c r="V45" s="2878" t="s">
        <v>1862</v>
      </c>
      <c r="W45" s="2878" t="s">
        <v>1863</v>
      </c>
      <c r="X45" s="2878"/>
      <c r="Y45" s="2878"/>
      <c r="Z45" s="2878"/>
      <c r="AA45" s="2878"/>
      <c r="AB45" s="2880"/>
      <c r="AC45" s="4"/>
    </row>
    <row r="46" spans="1:29" ht="13.5" customHeight="1">
      <c r="A46" s="112"/>
      <c r="B46" s="237"/>
      <c r="C46" s="507" t="s">
        <v>2201</v>
      </c>
      <c r="D46" s="2847"/>
      <c r="E46" s="2848"/>
      <c r="F46" s="2848"/>
      <c r="G46" s="2848"/>
      <c r="H46" s="299"/>
      <c r="I46" s="299"/>
      <c r="J46" s="299"/>
      <c r="K46" s="299"/>
      <c r="L46" s="2476" t="s">
        <v>1760</v>
      </c>
      <c r="M46" s="292">
        <f>B45</f>
        <v>17</v>
      </c>
      <c r="N46" s="2798" t="str">
        <f>IF(N43="---","",IF(Q46&lt;&gt;"",Q46,ROUND(N44*N45,0)))</f>
        <v/>
      </c>
      <c r="O46" s="976"/>
      <c r="P46" s="333"/>
      <c r="Q46" s="638"/>
      <c r="R46" s="617"/>
      <c r="S46" s="856"/>
      <c r="T46" s="2873"/>
      <c r="U46" s="2875"/>
      <c r="V46" s="2875"/>
      <c r="W46" s="2878" t="s">
        <v>1859</v>
      </c>
      <c r="X46" s="2875"/>
      <c r="Y46" s="2875"/>
      <c r="Z46" s="2875"/>
      <c r="AA46" s="2875"/>
      <c r="AB46" s="2877"/>
      <c r="AC46" s="2758"/>
    </row>
    <row r="47" spans="1:29" ht="13.5" customHeight="1">
      <c r="A47" s="112"/>
      <c r="B47" s="237"/>
      <c r="C47" s="2866" t="s">
        <v>1834</v>
      </c>
      <c r="D47" s="2847"/>
      <c r="E47" s="2848"/>
      <c r="F47" s="2848"/>
      <c r="G47" s="2848"/>
      <c r="H47" s="299"/>
      <c r="I47" s="299"/>
      <c r="J47" s="299"/>
      <c r="K47" s="299"/>
      <c r="L47" s="2735"/>
      <c r="M47" s="997"/>
      <c r="N47" s="2867"/>
      <c r="O47" s="976"/>
      <c r="P47" s="333"/>
      <c r="Q47" s="823"/>
      <c r="R47" s="617"/>
      <c r="S47" s="856"/>
      <c r="T47" s="2873"/>
      <c r="U47" s="2878"/>
      <c r="V47" s="2878"/>
      <c r="W47" s="2878" t="s">
        <v>1864</v>
      </c>
      <c r="X47" s="2887" t="s">
        <v>1870</v>
      </c>
      <c r="Y47" s="2685">
        <f>'2555'!AE181</f>
        <v>0</v>
      </c>
      <c r="Z47" s="2886" t="s">
        <v>1871</v>
      </c>
      <c r="AA47" s="2878"/>
      <c r="AB47" s="2880"/>
      <c r="AC47" s="2758"/>
    </row>
    <row r="48" spans="1:29" ht="13.5" customHeight="1">
      <c r="A48" s="112"/>
      <c r="B48" s="237" t="s">
        <v>1835</v>
      </c>
      <c r="C48" s="507" t="s">
        <v>1836</v>
      </c>
      <c r="D48" s="2847"/>
      <c r="E48" s="2848"/>
      <c r="F48" s="2848"/>
      <c r="G48" s="2848"/>
      <c r="H48" s="299"/>
      <c r="I48" s="302"/>
      <c r="J48" s="237" t="s">
        <v>1160</v>
      </c>
      <c r="K48" s="830" t="str">
        <f>B48</f>
        <v>18a</v>
      </c>
      <c r="L48" s="2799"/>
      <c r="M48" s="997"/>
      <c r="N48" s="2868"/>
      <c r="O48" s="976"/>
      <c r="P48" s="332"/>
      <c r="Q48" s="823"/>
      <c r="R48" s="56"/>
      <c r="S48" s="305"/>
      <c r="T48" s="2873"/>
      <c r="U48" s="2878"/>
      <c r="V48" s="2878" t="s">
        <v>1865</v>
      </c>
      <c r="W48" s="2878" t="s">
        <v>1867</v>
      </c>
      <c r="X48" s="2878"/>
      <c r="Y48" s="2879"/>
      <c r="Z48" s="2879" t="s">
        <v>0</v>
      </c>
      <c r="AA48" s="2889">
        <f>SUM(Y44,-Y47)</f>
        <v>0</v>
      </c>
      <c r="AB48" s="2880"/>
      <c r="AC48" s="2758"/>
    </row>
    <row r="49" spans="1:29" s="1453" customFormat="1" ht="13.5" customHeight="1">
      <c r="A49" s="112"/>
      <c r="B49" s="237" t="s">
        <v>84</v>
      </c>
      <c r="C49" s="507" t="s">
        <v>1837</v>
      </c>
      <c r="D49" s="507"/>
      <c r="E49" s="2848"/>
      <c r="F49" s="2848"/>
      <c r="G49" s="2848"/>
      <c r="H49" s="299"/>
      <c r="I49" s="299"/>
      <c r="J49" s="299"/>
      <c r="K49" s="992"/>
      <c r="L49" s="302"/>
      <c r="M49" s="997"/>
      <c r="N49" s="824"/>
      <c r="O49" s="975"/>
      <c r="P49" s="2734"/>
      <c r="Q49" s="823"/>
      <c r="R49" s="617"/>
      <c r="S49" s="338"/>
      <c r="T49" s="2873"/>
      <c r="U49" s="2878"/>
      <c r="V49" s="2878"/>
      <c r="W49" s="2878"/>
      <c r="X49" s="2878"/>
      <c r="Y49" s="2878"/>
      <c r="Z49" s="2878"/>
      <c r="AA49" s="2878"/>
      <c r="AB49" s="2880"/>
      <c r="AC49" s="4"/>
    </row>
    <row r="50" spans="1:29" ht="13.5" customHeight="1">
      <c r="A50" s="112"/>
      <c r="B50" s="302"/>
      <c r="C50" s="507" t="s">
        <v>1838</v>
      </c>
      <c r="D50" s="2847"/>
      <c r="E50" s="2848"/>
      <c r="F50" s="2848"/>
      <c r="G50" s="2848"/>
      <c r="H50" s="299"/>
      <c r="I50" s="302"/>
      <c r="J50" s="237" t="s">
        <v>985</v>
      </c>
      <c r="K50" s="322" t="s">
        <v>1839</v>
      </c>
      <c r="L50" s="2799"/>
      <c r="M50" s="997"/>
      <c r="N50" s="755"/>
      <c r="O50" s="976"/>
      <c r="P50" s="332"/>
      <c r="Q50" s="823"/>
      <c r="R50" s="56"/>
      <c r="S50" s="305"/>
      <c r="T50" s="2873"/>
      <c r="U50" s="2884" t="s">
        <v>1866</v>
      </c>
      <c r="V50" s="2875"/>
      <c r="W50" s="2875"/>
      <c r="X50" s="2875"/>
      <c r="Y50" s="2875"/>
      <c r="Z50" s="2879" t="s">
        <v>1</v>
      </c>
      <c r="AA50" s="2888"/>
      <c r="AB50" s="2877"/>
      <c r="AC50" s="2758"/>
    </row>
    <row r="51" spans="1:29" s="1453" customFormat="1" ht="13.5" customHeight="1">
      <c r="A51" s="112"/>
      <c r="B51" s="237" t="s">
        <v>85</v>
      </c>
      <c r="C51" s="507" t="s">
        <v>1841</v>
      </c>
      <c r="D51" s="507"/>
      <c r="E51" s="2848"/>
      <c r="F51" s="2848"/>
      <c r="G51" s="2848"/>
      <c r="H51" s="299"/>
      <c r="I51" s="299"/>
      <c r="J51" s="299"/>
      <c r="K51" s="992"/>
      <c r="L51" s="302"/>
      <c r="M51" s="997"/>
      <c r="N51" s="824"/>
      <c r="O51" s="975"/>
      <c r="P51" s="2734"/>
      <c r="Q51" s="823"/>
      <c r="R51" s="617"/>
      <c r="S51" s="338"/>
      <c r="T51" s="2873"/>
      <c r="U51" s="2878"/>
      <c r="V51" s="2878"/>
      <c r="W51" s="2878"/>
      <c r="X51" s="2878"/>
      <c r="Y51" s="2878"/>
      <c r="Z51" s="2878"/>
      <c r="AA51" s="2878"/>
      <c r="AB51" s="2880"/>
      <c r="AC51" s="4"/>
    </row>
    <row r="52" spans="1:29" ht="13.5" customHeight="1">
      <c r="A52" s="112"/>
      <c r="B52" s="302"/>
      <c r="C52" s="507" t="s">
        <v>1842</v>
      </c>
      <c r="D52" s="2847"/>
      <c r="E52" s="2848"/>
      <c r="F52" s="2848"/>
      <c r="G52" s="2848"/>
      <c r="H52" s="299"/>
      <c r="I52" s="302"/>
      <c r="J52" s="237" t="s">
        <v>1852</v>
      </c>
      <c r="K52" s="322" t="s">
        <v>1840</v>
      </c>
      <c r="L52" s="2799"/>
      <c r="M52" s="997"/>
      <c r="N52" s="755"/>
      <c r="O52" s="976"/>
      <c r="P52" s="332"/>
      <c r="Q52" s="823"/>
      <c r="R52" s="56"/>
      <c r="S52" s="305"/>
      <c r="T52" s="2873"/>
      <c r="U52" s="2884" t="s">
        <v>1868</v>
      </c>
      <c r="V52" s="2875"/>
      <c r="W52" s="2875"/>
      <c r="X52" s="2875"/>
      <c r="Y52" s="2875"/>
      <c r="Z52" s="2875"/>
      <c r="AA52" s="2875"/>
      <c r="AB52" s="2877"/>
      <c r="AC52" s="2758"/>
    </row>
    <row r="53" spans="1:29" ht="13.5" customHeight="1">
      <c r="A53" s="112"/>
      <c r="B53" s="237" t="s">
        <v>1843</v>
      </c>
      <c r="C53" s="507" t="s">
        <v>1846</v>
      </c>
      <c r="D53" s="2847"/>
      <c r="E53" s="2848"/>
      <c r="F53" s="2848"/>
      <c r="G53" s="2848"/>
      <c r="H53" s="299"/>
      <c r="I53" s="302"/>
      <c r="J53" s="237" t="s">
        <v>1820</v>
      </c>
      <c r="K53" s="830" t="str">
        <f>B53</f>
        <v>19a</v>
      </c>
      <c r="L53" s="2799"/>
      <c r="M53" s="997"/>
      <c r="N53" s="2868"/>
      <c r="O53" s="976"/>
      <c r="P53" s="332"/>
      <c r="Q53" s="823"/>
      <c r="R53" s="56"/>
      <c r="S53" s="305"/>
      <c r="T53" s="2873"/>
      <c r="U53" s="2884" t="s">
        <v>1869</v>
      </c>
      <c r="V53" s="2878"/>
      <c r="W53" s="2878"/>
      <c r="X53" s="2878"/>
      <c r="Y53" s="2878"/>
      <c r="Z53" s="2879" t="s">
        <v>642</v>
      </c>
      <c r="AA53" s="2889">
        <f>SUM(AA40,AA48,AA50)</f>
        <v>0</v>
      </c>
      <c r="AB53" s="2880"/>
      <c r="AC53" s="2758"/>
    </row>
    <row r="54" spans="1:29" s="1453" customFormat="1" ht="13.5" customHeight="1" thickBot="1">
      <c r="A54" s="112"/>
      <c r="B54" s="237" t="s">
        <v>84</v>
      </c>
      <c r="C54" s="507" t="s">
        <v>1847</v>
      </c>
      <c r="D54" s="507"/>
      <c r="E54" s="2848"/>
      <c r="F54" s="2848"/>
      <c r="G54" s="2848"/>
      <c r="H54" s="299"/>
      <c r="I54" s="299"/>
      <c r="J54" s="299"/>
      <c r="K54" s="992"/>
      <c r="L54" s="302"/>
      <c r="M54" s="997"/>
      <c r="N54" s="824"/>
      <c r="O54" s="975"/>
      <c r="P54" s="2734"/>
      <c r="Q54" s="823"/>
      <c r="R54" s="617"/>
      <c r="S54" s="338"/>
      <c r="T54" s="2881"/>
      <c r="U54" s="2882"/>
      <c r="V54" s="2882"/>
      <c r="W54" s="2882"/>
      <c r="X54" s="2882"/>
      <c r="Y54" s="2882"/>
      <c r="Z54" s="2882"/>
      <c r="AA54" s="2882"/>
      <c r="AB54" s="2883"/>
      <c r="AC54" s="4"/>
    </row>
    <row r="55" spans="1:29" ht="13.5" customHeight="1">
      <c r="A55" s="112"/>
      <c r="B55" s="302"/>
      <c r="C55" s="507" t="s">
        <v>1842</v>
      </c>
      <c r="D55" s="2847"/>
      <c r="E55" s="2848"/>
      <c r="F55" s="2848"/>
      <c r="G55" s="2848"/>
      <c r="H55" s="299"/>
      <c r="I55" s="302"/>
      <c r="J55" s="237" t="s">
        <v>1852</v>
      </c>
      <c r="K55" s="322" t="s">
        <v>1844</v>
      </c>
      <c r="L55" s="2799"/>
      <c r="M55" s="997"/>
      <c r="N55" s="755"/>
      <c r="O55" s="976"/>
      <c r="P55" s="332"/>
      <c r="Q55" s="823"/>
      <c r="R55" s="56"/>
      <c r="S55" s="305"/>
      <c r="U55" s="2758"/>
      <c r="V55" s="2758"/>
      <c r="W55" s="2758"/>
      <c r="X55" s="2758"/>
      <c r="Y55" s="2758"/>
      <c r="Z55" s="2758"/>
      <c r="AA55" s="2758"/>
      <c r="AB55" s="2758"/>
      <c r="AC55" s="2758"/>
    </row>
    <row r="56" spans="1:29" ht="13.5" customHeight="1">
      <c r="A56" s="112"/>
      <c r="B56" s="237" t="s">
        <v>85</v>
      </c>
      <c r="C56" s="507" t="s">
        <v>1848</v>
      </c>
      <c r="D56" s="2847"/>
      <c r="E56" s="2848"/>
      <c r="F56" s="2848"/>
      <c r="G56" s="2848"/>
      <c r="H56" s="299"/>
      <c r="I56" s="302"/>
      <c r="J56" s="237" t="s">
        <v>907</v>
      </c>
      <c r="K56" s="322" t="s">
        <v>1845</v>
      </c>
      <c r="L56" s="2798" t="str">
        <f>IF(N43="---","",IF(L55&gt;=L53,0,SUM(L53,-L55)))</f>
        <v/>
      </c>
      <c r="M56" s="997"/>
      <c r="N56" s="755"/>
      <c r="O56" s="976"/>
      <c r="P56" s="332"/>
      <c r="Q56" s="823"/>
      <c r="R56" s="56"/>
      <c r="S56" s="305"/>
      <c r="U56" s="2758"/>
      <c r="V56" s="2758"/>
      <c r="W56" s="2758"/>
      <c r="X56" s="2758"/>
      <c r="Y56" s="2758"/>
      <c r="Z56" s="2758"/>
      <c r="AA56" s="2758"/>
      <c r="AB56" s="2758"/>
      <c r="AC56" s="2758"/>
    </row>
    <row r="57" spans="1:29" ht="13.5" customHeight="1">
      <c r="A57" s="112"/>
      <c r="B57" s="237">
        <v>20</v>
      </c>
      <c r="C57" s="507" t="s">
        <v>1849</v>
      </c>
      <c r="D57" s="507"/>
      <c r="E57" s="2848"/>
      <c r="F57" s="2848"/>
      <c r="G57" s="2848"/>
      <c r="H57" s="299"/>
      <c r="I57" s="299"/>
      <c r="J57" s="299"/>
      <c r="K57" s="299"/>
      <c r="L57" s="2476" t="s">
        <v>688</v>
      </c>
      <c r="M57" s="322">
        <f>B57</f>
        <v>20</v>
      </c>
      <c r="N57" s="2798" t="str">
        <f>IF(Q57&lt;&gt;"",Q57,IF(N43="---","",MIN(L52,L56)))</f>
        <v/>
      </c>
      <c r="O57" s="976"/>
      <c r="P57" s="332"/>
      <c r="Q57" s="638"/>
      <c r="R57" s="617"/>
      <c r="S57" s="338"/>
      <c r="U57" s="2758"/>
      <c r="V57" s="2758"/>
      <c r="W57" s="2758"/>
      <c r="X57" s="2758"/>
      <c r="Y57" s="2758"/>
      <c r="Z57" s="2758"/>
      <c r="AA57" s="2758"/>
      <c r="AB57" s="2758"/>
      <c r="AC57" s="2758"/>
    </row>
    <row r="58" spans="1:29" s="1453" customFormat="1" ht="13.5" customHeight="1">
      <c r="A58" s="112"/>
      <c r="B58" s="237">
        <v>21</v>
      </c>
      <c r="C58" s="507" t="str">
        <f>"Net investment income tax for estates and trusts. Multiply line 20 by "&amp;TEXT(N58,"0.0%")&amp;" ("&amp;TEXT(N58,".038")&amp;")."</f>
        <v>Net investment income tax for estates and trusts. Multiply line 20 by 3.8% (.038).</v>
      </c>
      <c r="D58" s="507"/>
      <c r="E58" s="2848"/>
      <c r="F58" s="2848"/>
      <c r="G58" s="2848"/>
      <c r="H58" s="299"/>
      <c r="I58" s="299"/>
      <c r="J58" s="299"/>
      <c r="K58" s="299"/>
      <c r="L58" s="302"/>
      <c r="M58" s="292"/>
      <c r="N58" s="2850">
        <v>3.7999999999999999E-2</v>
      </c>
      <c r="O58" s="975"/>
      <c r="P58" s="2734"/>
      <c r="Q58" s="823"/>
      <c r="R58" s="617"/>
      <c r="S58" s="338"/>
      <c r="T58"/>
      <c r="U58" s="4"/>
      <c r="V58" s="4"/>
      <c r="W58" s="4"/>
      <c r="X58" s="4"/>
      <c r="Y58" s="4"/>
      <c r="Z58" s="4"/>
      <c r="AA58" s="4"/>
      <c r="AB58" s="4"/>
      <c r="AC58" s="4"/>
    </row>
    <row r="59" spans="1:29" ht="13.5" customHeight="1" thickBot="1">
      <c r="A59" s="112"/>
      <c r="B59" s="237"/>
      <c r="C59" s="507" t="s">
        <v>2201</v>
      </c>
      <c r="D59" s="2847"/>
      <c r="E59" s="2848"/>
      <c r="F59" s="2848"/>
      <c r="G59" s="2848"/>
      <c r="H59" s="299"/>
      <c r="I59" s="299"/>
      <c r="J59" s="299"/>
      <c r="K59" s="299"/>
      <c r="L59" s="2476" t="s">
        <v>1659</v>
      </c>
      <c r="M59" s="292">
        <f>B58</f>
        <v>21</v>
      </c>
      <c r="N59" s="2798" t="str">
        <f>IF(Q59&lt;&gt;"",ROUND(Q59,0),IF(N43="---","",ROUND(N57*N58,0)))</f>
        <v/>
      </c>
      <c r="O59" s="976"/>
      <c r="P59" s="2734"/>
      <c r="Q59" s="638"/>
      <c r="R59" s="617"/>
      <c r="S59" s="856"/>
      <c r="U59" s="2758"/>
      <c r="V59" s="2758"/>
      <c r="W59" s="2758"/>
      <c r="X59" s="2758"/>
      <c r="Y59" s="2758"/>
      <c r="Z59" s="2758"/>
      <c r="AA59" s="2758"/>
      <c r="AB59" s="2758"/>
      <c r="AC59" s="2758"/>
    </row>
    <row r="60" spans="1:29" s="893" customFormat="1" ht="15" customHeight="1">
      <c r="A60" s="112"/>
      <c r="B60" s="220" t="s">
        <v>779</v>
      </c>
      <c r="C60" s="341"/>
      <c r="D60" s="341"/>
      <c r="E60" s="341"/>
      <c r="F60" s="341"/>
      <c r="G60" s="341"/>
      <c r="H60" s="825"/>
      <c r="I60" s="826"/>
      <c r="J60" s="825"/>
      <c r="K60" s="1005" t="s">
        <v>1851</v>
      </c>
      <c r="L60" s="825"/>
      <c r="M60" s="827" t="s">
        <v>1850</v>
      </c>
      <c r="N60" s="1513" t="str">
        <f>"  ("&amp;TaxYear&amp;")"</f>
        <v xml:space="preserve">  (2016)</v>
      </c>
      <c r="O60" s="982"/>
      <c r="P60" s="2734"/>
      <c r="Q60" s="823"/>
      <c r="R60" s="56"/>
      <c r="S60" s="305"/>
      <c r="T60"/>
      <c r="U60" s="2758"/>
      <c r="V60" s="2758"/>
      <c r="W60" s="2894"/>
      <c r="X60" s="2758"/>
      <c r="Y60" s="2758"/>
      <c r="Z60" s="2758"/>
      <c r="AA60" s="2758"/>
      <c r="AB60" s="2758"/>
      <c r="AC60" s="2758"/>
    </row>
    <row r="61" spans="1:29" s="893" customFormat="1" ht="15" customHeight="1">
      <c r="A61" s="112"/>
      <c r="B61" s="985"/>
      <c r="C61" s="834"/>
      <c r="D61" s="834"/>
      <c r="E61" s="112"/>
      <c r="F61" s="112"/>
      <c r="G61" s="112"/>
      <c r="H61" s="112"/>
      <c r="I61" s="112"/>
      <c r="J61" s="112"/>
      <c r="K61" s="986"/>
      <c r="L61" s="986"/>
      <c r="M61" s="986"/>
      <c r="N61" s="986"/>
      <c r="O61" s="983"/>
      <c r="P61" s="2734"/>
      <c r="Q61" s="823"/>
      <c r="R61" s="436"/>
      <c r="S61" s="436"/>
      <c r="T61"/>
    </row>
    <row r="62" spans="1:29" s="893" customFormat="1" ht="23.25" customHeight="1">
      <c r="A62" s="64"/>
      <c r="B62" s="831"/>
      <c r="C62" s="435"/>
      <c r="D62" s="435"/>
      <c r="E62" s="437"/>
      <c r="F62" s="437"/>
      <c r="G62" s="437"/>
      <c r="H62" s="437"/>
      <c r="I62" s="437"/>
      <c r="J62" s="437"/>
      <c r="K62" s="448"/>
      <c r="L62" s="448"/>
      <c r="M62" s="448"/>
      <c r="N62" s="448"/>
      <c r="O62" s="832"/>
      <c r="P62"/>
      <c r="Q62" s="833"/>
      <c r="R62" s="436"/>
      <c r="S62" s="436"/>
      <c r="T62"/>
    </row>
    <row r="63" spans="1:29" s="893" customFormat="1" ht="24" customHeight="1" thickBot="1">
      <c r="A63" s="64"/>
      <c r="B63" s="831"/>
      <c r="C63" s="435"/>
      <c r="D63" s="435"/>
      <c r="E63" s="437"/>
      <c r="F63" s="437"/>
      <c r="G63" s="437"/>
      <c r="H63" s="437"/>
      <c r="I63" s="437"/>
      <c r="J63" s="437"/>
      <c r="K63" s="448"/>
      <c r="L63" s="448"/>
      <c r="M63" s="448"/>
      <c r="N63" s="448"/>
      <c r="O63" s="832"/>
      <c r="P63"/>
      <c r="Q63" s="833"/>
      <c r="R63" s="11"/>
      <c r="S63" s="11"/>
      <c r="T63"/>
      <c r="W63" s="2895"/>
    </row>
    <row r="64" spans="1:29" s="893" customFormat="1" ht="15" customHeight="1" thickTop="1" thickBot="1">
      <c r="A64" s="64"/>
      <c r="B64" s="208"/>
      <c r="C64" s="6248" t="s">
        <v>1872</v>
      </c>
      <c r="D64" s="6249"/>
      <c r="E64" s="6249"/>
      <c r="F64" s="6249"/>
      <c r="G64" s="6249"/>
      <c r="H64" s="6250"/>
      <c r="I64" s="342"/>
      <c r="J64" s="342"/>
      <c r="K64"/>
      <c r="L64"/>
      <c r="M64" s="342"/>
      <c r="N64" s="342"/>
      <c r="O64" s="342"/>
      <c r="P64"/>
      <c r="Q64" s="11"/>
      <c r="R64" s="11"/>
      <c r="S64" s="11"/>
      <c r="T64"/>
    </row>
    <row r="65" spans="1:23" s="893" customFormat="1" ht="8.25" customHeight="1" thickTop="1" thickBot="1">
      <c r="A65" s="64"/>
      <c r="B65" s="208"/>
      <c r="C65" s="335"/>
      <c r="D65" s="335"/>
      <c r="E65" s="64"/>
      <c r="F65" s="64"/>
      <c r="G65" s="64"/>
      <c r="H65" s="342"/>
      <c r="I65" s="342"/>
      <c r="J65" s="342"/>
      <c r="K65"/>
      <c r="L65"/>
      <c r="M65" s="342"/>
      <c r="N65" s="342"/>
      <c r="O65" s="342"/>
      <c r="P65"/>
      <c r="Q65" s="11"/>
      <c r="R65" s="11"/>
      <c r="S65" s="11"/>
      <c r="T65"/>
    </row>
    <row r="66" spans="1:23" s="893" customFormat="1" ht="17.25" customHeight="1" thickTop="1" thickBot="1">
      <c r="A66" s="64"/>
      <c r="B66" s="208"/>
      <c r="C66" s="6248" t="s">
        <v>1873</v>
      </c>
      <c r="D66" s="6249"/>
      <c r="E66" s="6249"/>
      <c r="F66" s="6249"/>
      <c r="G66" s="6249"/>
      <c r="H66" s="6250"/>
      <c r="I66" s="342"/>
      <c r="J66" s="342"/>
      <c r="K66"/>
      <c r="L66"/>
      <c r="M66" s="342"/>
      <c r="N66" s="342"/>
      <c r="O66" s="342"/>
      <c r="P66"/>
      <c r="Q66" s="11"/>
      <c r="R66"/>
      <c r="T66"/>
      <c r="W66" s="2895"/>
    </row>
    <row r="67" spans="1:23" s="893" customFormat="1" ht="12.75" customHeight="1" thickTop="1">
      <c r="A67" s="64"/>
      <c r="B67"/>
      <c r="C67"/>
      <c r="D67"/>
      <c r="E67"/>
      <c r="F67"/>
      <c r="G67"/>
      <c r="H67"/>
      <c r="I67"/>
      <c r="J67"/>
      <c r="K67"/>
      <c r="L67"/>
      <c r="M67"/>
      <c r="N67"/>
      <c r="O67"/>
      <c r="P67"/>
      <c r="Q67"/>
      <c r="R67"/>
      <c r="T67"/>
    </row>
    <row r="68" spans="1:23" s="893" customFormat="1" ht="21.75" customHeight="1">
      <c r="A68" s="64"/>
      <c r="B68"/>
      <c r="C68"/>
      <c r="D68"/>
      <c r="E68"/>
      <c r="F68"/>
      <c r="G68"/>
      <c r="H68"/>
      <c r="I68"/>
      <c r="J68"/>
      <c r="K68"/>
      <c r="L68"/>
      <c r="M68"/>
      <c r="N68"/>
      <c r="O68"/>
      <c r="P68"/>
      <c r="Q68"/>
      <c r="R68"/>
      <c r="T68"/>
    </row>
    <row r="69" spans="1:23" s="893" customFormat="1" ht="22.5" customHeight="1">
      <c r="A69" s="64"/>
      <c r="B69"/>
      <c r="C69"/>
      <c r="D69"/>
      <c r="E69"/>
      <c r="F69"/>
      <c r="G69"/>
      <c r="H69"/>
      <c r="I69"/>
      <c r="J69"/>
      <c r="K69"/>
      <c r="L69"/>
      <c r="M69"/>
      <c r="N69"/>
      <c r="O69"/>
      <c r="P69"/>
      <c r="Q69"/>
      <c r="R69"/>
      <c r="T69"/>
    </row>
    <row r="70" spans="1:23" s="893" customFormat="1" ht="12.75" customHeight="1">
      <c r="A70" s="64"/>
      <c r="B70"/>
      <c r="C70"/>
      <c r="D70"/>
      <c r="E70"/>
      <c r="F70"/>
      <c r="G70"/>
      <c r="H70"/>
      <c r="I70"/>
      <c r="J70"/>
      <c r="K70"/>
      <c r="L70"/>
      <c r="M70"/>
      <c r="N70"/>
      <c r="O70"/>
      <c r="P70"/>
      <c r="Q70"/>
      <c r="R70"/>
      <c r="T70"/>
    </row>
    <row r="71" spans="1:23" s="893" customFormat="1" ht="12.75" customHeight="1">
      <c r="A71" s="64"/>
      <c r="B71"/>
      <c r="C71"/>
      <c r="D71"/>
      <c r="E71"/>
      <c r="F71"/>
      <c r="G71"/>
      <c r="H71"/>
      <c r="I71"/>
      <c r="J71"/>
      <c r="K71"/>
      <c r="L71"/>
      <c r="M71"/>
      <c r="N71"/>
      <c r="O71"/>
      <c r="P71"/>
      <c r="Q71"/>
      <c r="R71"/>
      <c r="T71"/>
    </row>
    <row r="72" spans="1:23" s="893" customFormat="1" ht="17.25" customHeight="1">
      <c r="A72" s="64"/>
      <c r="B72"/>
      <c r="C72"/>
      <c r="D72"/>
      <c r="E72"/>
      <c r="F72"/>
      <c r="G72"/>
      <c r="H72"/>
      <c r="I72"/>
      <c r="J72"/>
      <c r="K72"/>
      <c r="L72"/>
      <c r="M72"/>
      <c r="N72"/>
      <c r="O72"/>
      <c r="P72"/>
      <c r="Q72"/>
      <c r="R72"/>
      <c r="T72"/>
    </row>
    <row r="73" spans="1:23" s="893" customFormat="1" ht="14.25" customHeight="1">
      <c r="A73" s="64"/>
      <c r="B73"/>
      <c r="C73"/>
      <c r="D73"/>
      <c r="E73"/>
      <c r="F73"/>
      <c r="G73"/>
      <c r="H73"/>
      <c r="I73"/>
      <c r="J73"/>
      <c r="K73"/>
      <c r="L73"/>
      <c r="M73"/>
      <c r="N73"/>
      <c r="O73"/>
      <c r="P73"/>
      <c r="Q73"/>
      <c r="R73"/>
      <c r="T73"/>
    </row>
    <row r="74" spans="1:23" s="893" customFormat="1">
      <c r="A74" s="64"/>
      <c r="B74"/>
      <c r="C74"/>
      <c r="D74"/>
      <c r="E74"/>
      <c r="F74"/>
      <c r="G74"/>
      <c r="H74"/>
      <c r="I74"/>
      <c r="J74"/>
      <c r="K74"/>
      <c r="L74"/>
      <c r="M74"/>
      <c r="N74"/>
      <c r="O74"/>
      <c r="P74"/>
      <c r="Q74"/>
      <c r="R74"/>
      <c r="T74"/>
    </row>
    <row r="75" spans="1:23" s="893" customFormat="1">
      <c r="A75" s="64"/>
      <c r="B75"/>
      <c r="C75"/>
      <c r="D75"/>
      <c r="E75"/>
      <c r="F75"/>
      <c r="G75"/>
      <c r="H75"/>
      <c r="I75"/>
      <c r="J75"/>
      <c r="K75"/>
      <c r="L75"/>
      <c r="M75"/>
      <c r="N75"/>
      <c r="O75"/>
      <c r="P75"/>
      <c r="Q75"/>
      <c r="R75"/>
      <c r="T75"/>
    </row>
    <row r="76" spans="1:23" s="893" customFormat="1">
      <c r="A76" s="64"/>
      <c r="B76"/>
      <c r="C76"/>
      <c r="D76"/>
      <c r="E76"/>
      <c r="F76"/>
      <c r="G76"/>
      <c r="H76"/>
      <c r="I76"/>
      <c r="J76"/>
      <c r="K76"/>
      <c r="L76"/>
      <c r="M76"/>
      <c r="N76"/>
      <c r="O76"/>
      <c r="P76"/>
      <c r="Q76"/>
      <c r="R76"/>
      <c r="T76"/>
    </row>
    <row r="77" spans="1:23" s="893" customFormat="1">
      <c r="A77" s="64"/>
      <c r="B77"/>
      <c r="C77"/>
      <c r="D77"/>
      <c r="E77"/>
      <c r="F77"/>
      <c r="G77"/>
      <c r="H77"/>
      <c r="I77"/>
      <c r="J77"/>
      <c r="K77"/>
      <c r="L77"/>
      <c r="M77"/>
      <c r="N77"/>
      <c r="O77"/>
      <c r="P77"/>
      <c r="Q77"/>
      <c r="R77"/>
      <c r="T77"/>
    </row>
    <row r="78" spans="1:23" s="893" customFormat="1">
      <c r="A78" s="64"/>
      <c r="B78"/>
      <c r="C78"/>
      <c r="D78"/>
      <c r="E78"/>
      <c r="F78"/>
      <c r="G78"/>
      <c r="H78"/>
      <c r="I78"/>
      <c r="J78"/>
      <c r="K78"/>
      <c r="L78"/>
      <c r="M78"/>
      <c r="N78"/>
      <c r="O78"/>
      <c r="P78"/>
      <c r="Q78"/>
      <c r="R78"/>
      <c r="T78"/>
    </row>
    <row r="79" spans="1:23" s="893" customFormat="1">
      <c r="A79" s="64"/>
      <c r="B79"/>
      <c r="C79"/>
      <c r="D79"/>
      <c r="E79"/>
      <c r="F79"/>
      <c r="G79"/>
      <c r="H79"/>
      <c r="I79"/>
      <c r="J79"/>
      <c r="K79"/>
      <c r="L79"/>
      <c r="M79"/>
      <c r="N79"/>
      <c r="O79"/>
      <c r="P79"/>
      <c r="Q79"/>
      <c r="R79"/>
      <c r="T79"/>
    </row>
  </sheetData>
  <sheetProtection password="F07E" sheet="1" objects="1" scenarios="1"/>
  <mergeCells count="21">
    <mergeCell ref="M3:N3"/>
    <mergeCell ref="B4:B5"/>
    <mergeCell ref="C4:D5"/>
    <mergeCell ref="E4:L4"/>
    <mergeCell ref="M4:N5"/>
    <mergeCell ref="E5:L5"/>
    <mergeCell ref="B6:D6"/>
    <mergeCell ref="E6:L6"/>
    <mergeCell ref="M6:N6"/>
    <mergeCell ref="B7:D7"/>
    <mergeCell ref="E7:L7"/>
    <mergeCell ref="M7:N7"/>
    <mergeCell ref="U23:AA33"/>
    <mergeCell ref="C64:H64"/>
    <mergeCell ref="C66:H66"/>
    <mergeCell ref="C10:E11"/>
    <mergeCell ref="L8:N8"/>
    <mergeCell ref="B9:K9"/>
    <mergeCell ref="L9:N9"/>
    <mergeCell ref="C30:N30"/>
    <mergeCell ref="C37:N37"/>
  </mergeCells>
  <conditionalFormatting sqref="B9:N9">
    <cfRule type="expression" dxfId="154" priority="91">
      <formula>IF(NoColor,1,0)</formula>
    </cfRule>
  </conditionalFormatting>
  <conditionalFormatting sqref="L17">
    <cfRule type="expression" dxfId="153" priority="90">
      <formula>IF(NoColor,1,0)</formula>
    </cfRule>
  </conditionalFormatting>
  <conditionalFormatting sqref="N59">
    <cfRule type="expression" dxfId="152" priority="68">
      <formula>IF(NoColor,1,0)</formula>
    </cfRule>
  </conditionalFormatting>
  <conditionalFormatting sqref="N13">
    <cfRule type="expression" dxfId="151" priority="66">
      <formula>IF(NoColor,1,0)</formula>
    </cfRule>
  </conditionalFormatting>
  <conditionalFormatting sqref="N57">
    <cfRule type="expression" dxfId="150" priority="67">
      <formula>IF(NoColor,1,0)</formula>
    </cfRule>
  </conditionalFormatting>
  <conditionalFormatting sqref="N14">
    <cfRule type="expression" dxfId="149" priority="65">
      <formula>IF(NoColor,1,0)</formula>
    </cfRule>
  </conditionalFormatting>
  <conditionalFormatting sqref="N15">
    <cfRule type="expression" dxfId="148" priority="64">
      <formula>IF(NoColor,1,0)</formula>
    </cfRule>
  </conditionalFormatting>
  <conditionalFormatting sqref="L19">
    <cfRule type="expression" dxfId="147" priority="63">
      <formula>IF(NoColor,1,0)</formula>
    </cfRule>
  </conditionalFormatting>
  <conditionalFormatting sqref="N20">
    <cfRule type="expression" dxfId="146" priority="62">
      <formula>IF(NoColor,1,0)</formula>
    </cfRule>
  </conditionalFormatting>
  <conditionalFormatting sqref="N26">
    <cfRule type="expression" dxfId="145" priority="58">
      <formula>IF(NoColor,1,0)</formula>
    </cfRule>
  </conditionalFormatting>
  <conditionalFormatting sqref="N29">
    <cfRule type="expression" dxfId="144" priority="55">
      <formula>IF(NoColor,1,0)</formula>
    </cfRule>
  </conditionalFormatting>
  <conditionalFormatting sqref="N34">
    <cfRule type="expression" dxfId="143" priority="51">
      <formula>IF(NoColor,1,0)</formula>
    </cfRule>
  </conditionalFormatting>
  <conditionalFormatting sqref="N36">
    <cfRule type="expression" dxfId="142" priority="49">
      <formula>IF(NoColor,1,0)</formula>
    </cfRule>
  </conditionalFormatting>
  <conditionalFormatting sqref="N40">
    <cfRule type="expression" dxfId="141" priority="48">
      <formula>IF(NoColor,1,0)</formula>
    </cfRule>
  </conditionalFormatting>
  <conditionalFormatting sqref="L43">
    <cfRule type="expression" dxfId="140" priority="45">
      <formula>IF(NoColor,1,0)</formula>
    </cfRule>
  </conditionalFormatting>
  <conditionalFormatting sqref="N44">
    <cfRule type="expression" dxfId="139" priority="44">
      <formula>IF(NoColor,1,0)</formula>
    </cfRule>
  </conditionalFormatting>
  <conditionalFormatting sqref="N46">
    <cfRule type="expression" dxfId="138" priority="43">
      <formula>IF(NoColor,1,0)</formula>
    </cfRule>
  </conditionalFormatting>
  <conditionalFormatting sqref="N47">
    <cfRule type="expression" dxfId="137" priority="42">
      <formula>IF(NoColor,1,0)</formula>
    </cfRule>
  </conditionalFormatting>
  <conditionalFormatting sqref="L56">
    <cfRule type="expression" dxfId="136" priority="36">
      <formula>IF(NoColor,1,0)</formula>
    </cfRule>
  </conditionalFormatting>
  <conditionalFormatting sqref="L23">
    <cfRule type="expression" dxfId="135" priority="34">
      <formula>IF(NoColor,1,0)</formula>
    </cfRule>
  </conditionalFormatting>
  <conditionalFormatting sqref="L25">
    <cfRule type="expression" dxfId="134" priority="33">
      <formula>IF(NoColor,1,0)</formula>
    </cfRule>
  </conditionalFormatting>
  <conditionalFormatting sqref="N27">
    <cfRule type="expression" dxfId="133" priority="32">
      <formula>IF(NoColor,1,0)</formula>
    </cfRule>
  </conditionalFormatting>
  <conditionalFormatting sqref="N28">
    <cfRule type="expression" dxfId="132" priority="31">
      <formula>IF(NoColor,1,0)</formula>
    </cfRule>
  </conditionalFormatting>
  <conditionalFormatting sqref="L31">
    <cfRule type="expression" dxfId="131" priority="30">
      <formula>IF(NoColor,1,0)</formula>
    </cfRule>
  </conditionalFormatting>
  <conditionalFormatting sqref="L33">
    <cfRule type="expression" dxfId="130" priority="28">
      <formula>IF(NoColor,1,0)</formula>
    </cfRule>
  </conditionalFormatting>
  <conditionalFormatting sqref="N35">
    <cfRule type="expression" dxfId="129" priority="27">
      <formula>IF(NoColor,1,0)</formula>
    </cfRule>
  </conditionalFormatting>
  <conditionalFormatting sqref="L48">
    <cfRule type="expression" dxfId="128" priority="26">
      <formula>IF(NoColor,1,0)</formula>
    </cfRule>
  </conditionalFormatting>
  <conditionalFormatting sqref="L50">
    <cfRule type="expression" dxfId="127" priority="25">
      <formula>IF(NoColor,1,0)</formula>
    </cfRule>
  </conditionalFormatting>
  <conditionalFormatting sqref="L52">
    <cfRule type="expression" dxfId="126" priority="24">
      <formula>IF(NoColor,1,0)</formula>
    </cfRule>
  </conditionalFormatting>
  <conditionalFormatting sqref="L53">
    <cfRule type="expression" dxfId="125" priority="23">
      <formula>IF(NoColor,1,0)</formula>
    </cfRule>
  </conditionalFormatting>
  <conditionalFormatting sqref="L55">
    <cfRule type="expression" dxfId="124" priority="22">
      <formula>IF(NoColor,1,0)</formula>
    </cfRule>
  </conditionalFormatting>
  <conditionalFormatting sqref="N39">
    <cfRule type="expression" dxfId="123" priority="21">
      <formula>IF(NoColor,1,0)</formula>
    </cfRule>
  </conditionalFormatting>
  <conditionalFormatting sqref="AA48">
    <cfRule type="expression" dxfId="122" priority="19">
      <formula>IF(NoColor,1,0)</formula>
    </cfRule>
  </conditionalFormatting>
  <conditionalFormatting sqref="AA53">
    <cfRule type="expression" dxfId="121" priority="14">
      <formula>IF(NoColor,1,0)</formula>
    </cfRule>
  </conditionalFormatting>
  <conditionalFormatting sqref="Y44">
    <cfRule type="expression" dxfId="120" priority="17">
      <formula>IF(NoColor,1,0)</formula>
    </cfRule>
  </conditionalFormatting>
  <conditionalFormatting sqref="AA50">
    <cfRule type="expression" dxfId="119" priority="12">
      <formula>IF(NoColor,1,0)</formula>
    </cfRule>
  </conditionalFormatting>
  <conditionalFormatting sqref="AA40">
    <cfRule type="expression" dxfId="118" priority="13">
      <formula>IF(NoColor,1,0)</formula>
    </cfRule>
  </conditionalFormatting>
  <conditionalFormatting sqref="N41:N43">
    <cfRule type="expression" dxfId="117" priority="11">
      <formula>IF(NoColor,1,0)</formula>
    </cfRule>
  </conditionalFormatting>
  <conditionalFormatting sqref="L41">
    <cfRule type="expression" dxfId="116" priority="10">
      <formula>IF(NoColor,1,0)</formula>
    </cfRule>
  </conditionalFormatting>
  <conditionalFormatting sqref="L42">
    <cfRule type="expression" dxfId="115" priority="9">
      <formula>IF(NoColor,1,0)</formula>
    </cfRule>
  </conditionalFormatting>
  <conditionalFormatting sqref="Y47">
    <cfRule type="expression" dxfId="114" priority="6">
      <formula>IF(NoColor,1,0)</formula>
    </cfRule>
  </conditionalFormatting>
  <conditionalFormatting sqref="L21">
    <cfRule type="expression" dxfId="113" priority="5">
      <formula>IF(NoColor,1,0)</formula>
    </cfRule>
  </conditionalFormatting>
  <conditionalFormatting sqref="F10">
    <cfRule type="expression" dxfId="112" priority="4">
      <formula>IF(NoColor,1,0)</formula>
    </cfRule>
  </conditionalFormatting>
  <conditionalFormatting sqref="F11">
    <cfRule type="expression" dxfId="111" priority="3">
      <formula>IF(NoColor,1,0)</formula>
    </cfRule>
  </conditionalFormatting>
  <conditionalFormatting sqref="F12">
    <cfRule type="expression" dxfId="110" priority="2">
      <formula>IF(NoColor,1,0)</formula>
    </cfRule>
  </conditionalFormatting>
  <conditionalFormatting sqref="L32">
    <cfRule type="expression" dxfId="109" priority="1">
      <formula>IF(NoColor,1,0)</formula>
    </cfRule>
  </conditionalFormatting>
  <hyperlinks>
    <hyperlink ref="C64:H64" r:id="rId1" display="Download Form 8960"/>
    <hyperlink ref="C66:H66" r:id="rId2" display="Download Form 8960 Instructions (Draft)"/>
  </hyperlinks>
  <printOptions horizontalCentered="1"/>
  <pageMargins left="0.44" right="0.25" top="0.47" bottom="0.25" header="0.27" footer="0.25"/>
  <pageSetup scale="91" fitToHeight="0" orientation="portrait" horizontalDpi="4294967293" verticalDpi="4294967293" r:id="rId3"/>
  <headerFooter alignWithMargins="0"/>
  <rowBreaks count="1" manualBreakCount="1">
    <brk id="60" min="1" max="12" man="1"/>
  </rowBreaks>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225"/>
  <sheetViews>
    <sheetView zoomScaleNormal="100" zoomScaleSheetLayoutView="100" workbookViewId="0">
      <selection activeCell="AI13" sqref="AI13"/>
    </sheetView>
  </sheetViews>
  <sheetFormatPr defaultColWidth="9.140625" defaultRowHeight="12.75"/>
  <cols>
    <col min="1" max="1" width="3.7109375" style="64" customWidth="1"/>
    <col min="2" max="2" width="4.7109375" style="64" customWidth="1"/>
    <col min="3" max="3" width="4" style="64" customWidth="1"/>
    <col min="4" max="36" width="3.7109375" style="64" customWidth="1"/>
    <col min="37" max="37" width="9.140625" style="64"/>
    <col min="38" max="38" width="4.42578125" style="64" customWidth="1"/>
    <col min="39" max="39" width="12.5703125" style="64" customWidth="1"/>
    <col min="40" max="45" width="9.140625" style="64"/>
    <col min="46" max="47" width="9.85546875" style="64" customWidth="1"/>
    <col min="48" max="48" width="3.28515625" style="64" customWidth="1"/>
    <col min="49" max="49" width="9.140625" style="64" customWidth="1"/>
    <col min="50" max="50" width="2.85546875" style="64" customWidth="1"/>
    <col min="51" max="51" width="3.7109375" style="64" customWidth="1"/>
    <col min="52" max="53" width="9.140625" style="64"/>
    <col min="54" max="54" width="10" style="64" customWidth="1"/>
    <col min="55" max="55" width="9.140625" style="64"/>
    <col min="56" max="56" width="13" style="64" customWidth="1"/>
    <col min="57" max="57" width="5.140625" style="64" customWidth="1"/>
    <col min="58" max="59" width="9.85546875" style="64" customWidth="1"/>
    <col min="60" max="60" width="3.42578125" style="64" customWidth="1"/>
    <col min="61" max="62" width="9.140625" style="64"/>
    <col min="63" max="63" width="11.7109375" style="64" customWidth="1"/>
    <col min="64" max="65" width="12.85546875" style="3427" customWidth="1"/>
    <col min="66" max="66" width="11.7109375" style="64" customWidth="1"/>
    <col min="67" max="67" width="9.140625" style="64" customWidth="1"/>
    <col min="68" max="16384" width="9.140625" style="64"/>
  </cols>
  <sheetData>
    <row r="1" spans="1:70" ht="24" customHeight="1">
      <c r="A1" s="1706"/>
      <c r="B1" s="3175" t="s">
        <v>2314</v>
      </c>
      <c r="C1" s="3123"/>
      <c r="D1" s="3123"/>
      <c r="E1" s="3123"/>
      <c r="F1" s="3123"/>
      <c r="G1" s="3123"/>
      <c r="H1" s="3123"/>
      <c r="I1" s="3123"/>
      <c r="J1" s="3123"/>
      <c r="K1" s="3123"/>
      <c r="L1" s="3123"/>
      <c r="M1" s="3123"/>
      <c r="N1" s="3123"/>
      <c r="O1" s="3123"/>
      <c r="P1" s="3123"/>
      <c r="Q1" s="3123"/>
      <c r="R1" s="3176"/>
      <c r="S1" s="3123"/>
      <c r="T1" s="3123"/>
      <c r="U1" s="3123"/>
      <c r="V1" s="3123"/>
      <c r="W1" s="3123"/>
      <c r="X1" s="3123"/>
      <c r="Y1" s="3123"/>
      <c r="Z1" s="3123"/>
      <c r="AA1" s="3123"/>
      <c r="AB1" s="3123"/>
      <c r="AC1" s="3123"/>
      <c r="AD1" s="3123"/>
      <c r="AE1" s="3123"/>
      <c r="AF1" s="3123"/>
      <c r="AG1" s="3123"/>
      <c r="AH1" s="3123"/>
      <c r="AI1" s="3123"/>
      <c r="AJ1" s="3123"/>
      <c r="AK1" s="1706"/>
      <c r="AL1" s="2117"/>
      <c r="AM1" s="2117"/>
      <c r="AN1" s="2117"/>
      <c r="AO1" s="2117"/>
      <c r="AP1" s="2117"/>
      <c r="AQ1" s="2117"/>
      <c r="AR1" s="2117"/>
      <c r="AS1" s="2117"/>
      <c r="AT1" s="2117"/>
      <c r="AU1" s="2117"/>
      <c r="AV1" s="2117"/>
      <c r="AW1" s="2117"/>
      <c r="AX1" s="2117"/>
      <c r="AY1" s="2117"/>
      <c r="AZ1" s="2117"/>
      <c r="BA1" s="2117"/>
      <c r="BB1" s="3358"/>
      <c r="BC1" s="2117"/>
      <c r="BD1" s="2117"/>
      <c r="BE1" s="2117"/>
      <c r="BF1" s="2117"/>
      <c r="BG1" s="2117"/>
      <c r="BH1" s="2117"/>
      <c r="BI1" s="2117"/>
      <c r="BJ1" s="2117"/>
      <c r="BK1" s="2117"/>
    </row>
    <row r="2" spans="1:70" ht="13.5" customHeight="1">
      <c r="A2" s="1706"/>
      <c r="B2" s="3685" t="str">
        <f>IF(AND(NOT(Alaska),NOT(Hawaii)),"X","")</f>
        <v>X</v>
      </c>
      <c r="C2" s="3174" t="s">
        <v>2315</v>
      </c>
      <c r="D2" s="3123"/>
      <c r="E2" s="3123"/>
      <c r="F2" s="3123"/>
      <c r="G2" s="3123"/>
      <c r="H2" s="3123"/>
      <c r="I2" s="3123"/>
      <c r="J2" s="3123"/>
      <c r="K2" s="3123"/>
      <c r="L2" s="3685" t="str">
        <f>IF(Alaska,"X","")</f>
        <v/>
      </c>
      <c r="M2" s="3174" t="s">
        <v>2231</v>
      </c>
      <c r="N2" s="3123"/>
      <c r="O2" s="3123"/>
      <c r="P2" s="3123"/>
      <c r="Q2" s="3123"/>
      <c r="R2" s="3176" t="str">
        <f>IF(AL2&lt;1,"Check one.",IF(AL2&gt;1,"Check ONLY ONE.",""))</f>
        <v/>
      </c>
      <c r="S2" s="3123"/>
      <c r="T2" s="3123"/>
      <c r="U2" s="3123"/>
      <c r="V2" s="3685" t="str">
        <f>IF(Hawaii,"X","")</f>
        <v/>
      </c>
      <c r="W2" s="3174" t="s">
        <v>2232</v>
      </c>
      <c r="X2" s="3123"/>
      <c r="Y2" s="3123"/>
      <c r="Z2" s="3123"/>
      <c r="AA2" s="3123"/>
      <c r="AB2" s="3123"/>
      <c r="AC2" s="3123"/>
      <c r="AD2" s="3123"/>
      <c r="AE2" s="3123"/>
      <c r="AF2" s="3123"/>
      <c r="AG2" s="3123"/>
      <c r="AH2" s="3123"/>
      <c r="AI2" s="3123"/>
      <c r="AJ2" s="3123"/>
      <c r="AK2" s="1706"/>
      <c r="AL2" s="2610">
        <f>SUM(AM2,AN2,AO2)</f>
        <v>1</v>
      </c>
      <c r="AM2" s="2610">
        <f>IF(B2&lt;&gt;"",1,0)</f>
        <v>1</v>
      </c>
      <c r="AN2" s="2610">
        <f>IF(L2&lt;&gt;"",1,0)</f>
        <v>0</v>
      </c>
      <c r="AO2" s="2610">
        <f>IF(V2&lt;&gt;"",1,0)</f>
        <v>0</v>
      </c>
      <c r="AP2" s="2117"/>
      <c r="AQ2" s="2117"/>
      <c r="AR2" s="6529" t="s">
        <v>2289</v>
      </c>
      <c r="AS2" s="5969"/>
      <c r="AT2" s="5969"/>
      <c r="AU2" s="5969"/>
      <c r="AV2" s="5969"/>
      <c r="AW2" s="5970"/>
      <c r="AX2" s="3426"/>
      <c r="AY2" s="2117"/>
      <c r="AZ2" s="2117"/>
      <c r="BA2" s="2611"/>
      <c r="BB2" s="3358"/>
      <c r="BC2" s="3358"/>
      <c r="BD2" s="3358"/>
      <c r="BE2" s="2117"/>
      <c r="BF2" s="2117"/>
      <c r="BG2" s="2117"/>
      <c r="BH2" s="2117"/>
      <c r="BI2" s="2117"/>
      <c r="BJ2" s="2117"/>
      <c r="BK2" s="2117"/>
    </row>
    <row r="3" spans="1:70" ht="24" customHeight="1">
      <c r="A3" s="1706"/>
      <c r="B3" s="3123"/>
      <c r="C3" s="3123"/>
      <c r="D3" s="3123"/>
      <c r="E3" s="3123"/>
      <c r="F3" s="3123"/>
      <c r="G3" s="3123"/>
      <c r="H3" s="3123"/>
      <c r="I3" s="3123"/>
      <c r="J3" s="3123"/>
      <c r="K3" s="3123"/>
      <c r="L3" s="3123"/>
      <c r="M3" s="3123"/>
      <c r="N3" s="3123"/>
      <c r="O3" s="3123"/>
      <c r="P3" s="3123"/>
      <c r="Q3" s="3123"/>
      <c r="R3" s="3123"/>
      <c r="S3" s="3123"/>
      <c r="T3" s="3123"/>
      <c r="U3" s="3123"/>
      <c r="V3" s="3123"/>
      <c r="W3" s="3123"/>
      <c r="X3" s="3123"/>
      <c r="Y3" s="3123"/>
      <c r="Z3" s="3123"/>
      <c r="AA3" s="3123"/>
      <c r="AB3" s="3123"/>
      <c r="AC3" s="3123"/>
      <c r="AD3" s="3123"/>
      <c r="AE3" s="3123"/>
      <c r="AF3" s="3123"/>
      <c r="AG3" s="3123"/>
      <c r="AH3" s="3123"/>
      <c r="AI3" s="3123"/>
      <c r="AJ3" s="3123"/>
      <c r="AK3" s="1706"/>
      <c r="AL3" s="2117"/>
      <c r="AM3" s="2117"/>
      <c r="AN3" s="2117"/>
      <c r="AO3" s="2117"/>
      <c r="AP3" s="2117"/>
      <c r="AQ3" s="2117"/>
      <c r="AR3" s="5971"/>
      <c r="AS3" s="6530"/>
      <c r="AT3" s="6530"/>
      <c r="AU3" s="6530"/>
      <c r="AV3" s="6530"/>
      <c r="AW3" s="5972"/>
      <c r="AX3" s="3426"/>
      <c r="AY3" s="2117"/>
      <c r="AZ3" s="2117"/>
      <c r="BA3" s="2117"/>
      <c r="BB3" s="2117"/>
      <c r="BC3" s="2117"/>
      <c r="BD3" s="2117"/>
      <c r="BE3" s="2117"/>
      <c r="BF3" s="2117"/>
      <c r="BG3" s="2117"/>
      <c r="BH3" s="2117"/>
      <c r="BI3" s="2611"/>
      <c r="BJ3" s="2611"/>
      <c r="BK3" s="2117"/>
      <c r="BO3" s="1473"/>
      <c r="BP3" s="1473"/>
      <c r="BQ3" s="1473"/>
      <c r="BR3" s="1473"/>
    </row>
    <row r="4" spans="1:70" ht="18" customHeight="1">
      <c r="A4" s="1706"/>
      <c r="B4" s="2399"/>
      <c r="C4" s="2399"/>
      <c r="D4" s="6156" t="s">
        <v>2223</v>
      </c>
      <c r="E4" s="6157"/>
      <c r="F4" s="6157"/>
      <c r="G4" s="6157"/>
      <c r="H4" s="2477"/>
      <c r="I4" s="6158" t="s">
        <v>2225</v>
      </c>
      <c r="J4" s="6159"/>
      <c r="K4" s="6159"/>
      <c r="L4" s="6159"/>
      <c r="M4" s="6159"/>
      <c r="N4" s="6159"/>
      <c r="O4" s="6159"/>
      <c r="P4" s="6159"/>
      <c r="Q4" s="6159"/>
      <c r="R4" s="6159"/>
      <c r="S4" s="6159"/>
      <c r="T4" s="6159"/>
      <c r="U4" s="6159"/>
      <c r="V4" s="6159"/>
      <c r="W4" s="6159"/>
      <c r="X4" s="6159"/>
      <c r="Y4" s="6159"/>
      <c r="Z4" s="6159"/>
      <c r="AA4" s="6159"/>
      <c r="AB4" s="4943"/>
      <c r="AC4" s="6528" t="s">
        <v>249</v>
      </c>
      <c r="AD4" s="6162"/>
      <c r="AE4" s="6162"/>
      <c r="AF4" s="6162"/>
      <c r="AG4" s="6162"/>
      <c r="AH4" s="6162"/>
      <c r="AI4" s="6162"/>
      <c r="AJ4" s="6162"/>
      <c r="AK4" s="1706"/>
      <c r="AL4" s="2117"/>
      <c r="AM4" s="2117"/>
      <c r="AN4" s="2117"/>
      <c r="AO4" s="2117"/>
      <c r="AP4" s="2117"/>
      <c r="AQ4" s="2117"/>
      <c r="AR4" s="5971"/>
      <c r="AS4" s="6530"/>
      <c r="AT4" s="6530"/>
      <c r="AU4" s="6530"/>
      <c r="AV4" s="6530"/>
      <c r="AW4" s="5972"/>
      <c r="AX4" s="3426"/>
      <c r="AY4" s="2117"/>
      <c r="AZ4" s="2117"/>
      <c r="BA4" s="2117"/>
      <c r="BB4" s="2117"/>
      <c r="BC4" s="2117"/>
      <c r="BD4" s="2117"/>
      <c r="BE4" s="2117"/>
      <c r="BF4" s="2117"/>
      <c r="BG4" s="2117"/>
      <c r="BH4" s="2117"/>
      <c r="BI4" s="2611"/>
      <c r="BJ4" s="2611"/>
      <c r="BK4" s="2117"/>
      <c r="BO4" s="1473"/>
      <c r="BP4" s="1473"/>
      <c r="BQ4" s="1473"/>
      <c r="BR4" s="1473"/>
    </row>
    <row r="5" spans="1:70" ht="24" customHeight="1">
      <c r="A5" s="1706"/>
      <c r="B5" s="6163" t="s">
        <v>469</v>
      </c>
      <c r="C5" s="6164"/>
      <c r="D5" s="6157"/>
      <c r="E5" s="6157"/>
      <c r="F5" s="6157"/>
      <c r="G5" s="6157"/>
      <c r="H5" s="2477"/>
      <c r="I5" s="6160"/>
      <c r="J5" s="6159"/>
      <c r="K5" s="6159"/>
      <c r="L5" s="6159"/>
      <c r="M5" s="6159"/>
      <c r="N5" s="6159"/>
      <c r="O5" s="6159"/>
      <c r="P5" s="6159"/>
      <c r="Q5" s="6159"/>
      <c r="R5" s="6159"/>
      <c r="S5" s="6159"/>
      <c r="T5" s="6159"/>
      <c r="U5" s="6159"/>
      <c r="V5" s="6159"/>
      <c r="W5" s="6159"/>
      <c r="X5" s="6159"/>
      <c r="Y5" s="6159"/>
      <c r="Z5" s="6159"/>
      <c r="AA5" s="6159"/>
      <c r="AB5" s="4943"/>
      <c r="AC5" s="6165">
        <f>TaxYear</f>
        <v>2016</v>
      </c>
      <c r="AD5" s="6166"/>
      <c r="AE5" s="6166"/>
      <c r="AF5" s="6166"/>
      <c r="AG5" s="6166"/>
      <c r="AH5" s="6166"/>
      <c r="AI5" s="6166"/>
      <c r="AJ5" s="6166"/>
      <c r="AK5" s="1706"/>
      <c r="AL5" s="2117"/>
      <c r="AM5" s="6518" t="s">
        <v>2550</v>
      </c>
      <c r="AN5" s="5228"/>
      <c r="AO5" s="5228"/>
      <c r="AP5" s="5228"/>
      <c r="AQ5" s="5228"/>
      <c r="AR5" s="5971"/>
      <c r="AS5" s="6530"/>
      <c r="AT5" s="6530"/>
      <c r="AU5" s="6530"/>
      <c r="AV5" s="6530"/>
      <c r="AW5" s="5972"/>
      <c r="AX5" s="3426"/>
      <c r="AY5" s="2117"/>
      <c r="AZ5" s="2117"/>
      <c r="BA5" s="2117"/>
      <c r="BB5" s="2117"/>
      <c r="BC5" s="2117"/>
      <c r="BD5" s="2117"/>
      <c r="BE5" s="2117"/>
      <c r="BF5" s="2117"/>
      <c r="BG5" s="2117"/>
      <c r="BH5" s="2117"/>
      <c r="BI5" s="2611"/>
      <c r="BJ5" s="2611"/>
      <c r="BK5" s="2117"/>
      <c r="BO5" s="1473"/>
      <c r="BP5" s="1473"/>
      <c r="BQ5" s="1473"/>
      <c r="BR5" s="1473"/>
    </row>
    <row r="6" spans="1:70" ht="6.75" customHeight="1">
      <c r="A6" s="1706"/>
      <c r="B6" s="2399"/>
      <c r="C6" s="2399"/>
      <c r="D6" s="2399"/>
      <c r="E6" s="2399"/>
      <c r="F6" s="2399"/>
      <c r="G6" s="2399"/>
      <c r="H6" s="2477"/>
      <c r="I6" s="3124"/>
      <c r="J6" s="3125"/>
      <c r="K6" s="3125"/>
      <c r="L6" s="3125"/>
      <c r="M6" s="3125"/>
      <c r="N6" s="3125"/>
      <c r="O6" s="3125"/>
      <c r="P6" s="3125"/>
      <c r="Q6" s="3125"/>
      <c r="R6" s="3125"/>
      <c r="S6" s="3125"/>
      <c r="T6" s="3125"/>
      <c r="U6" s="3125"/>
      <c r="V6" s="3125"/>
      <c r="W6" s="3125"/>
      <c r="X6" s="3125"/>
      <c r="Y6" s="3125"/>
      <c r="Z6" s="3125"/>
      <c r="AA6" s="3125"/>
      <c r="AB6" s="3126"/>
      <c r="AC6" s="6167"/>
      <c r="AD6" s="6168"/>
      <c r="AE6" s="6168"/>
      <c r="AF6" s="6168"/>
      <c r="AG6" s="6168"/>
      <c r="AH6" s="6168"/>
      <c r="AI6" s="6168"/>
      <c r="AJ6" s="6168"/>
      <c r="AK6" s="1706"/>
      <c r="AL6" s="2117"/>
      <c r="AM6" s="5241"/>
      <c r="AN6" s="5242"/>
      <c r="AO6" s="5242"/>
      <c r="AP6" s="5242"/>
      <c r="AQ6" s="5242"/>
      <c r="AR6" s="5971"/>
      <c r="AS6" s="6530"/>
      <c r="AT6" s="6530"/>
      <c r="AU6" s="6530"/>
      <c r="AV6" s="6530"/>
      <c r="AW6" s="5972"/>
      <c r="AX6" s="3426"/>
      <c r="AY6" s="2117"/>
      <c r="AZ6" s="2117"/>
      <c r="BA6" s="2117"/>
      <c r="BB6" s="2117"/>
      <c r="BC6" s="2117"/>
      <c r="BD6" s="2117"/>
      <c r="BE6" s="2117"/>
      <c r="BF6" s="2117"/>
      <c r="BG6" s="2117"/>
      <c r="BH6" s="2117"/>
      <c r="BI6" s="2611"/>
      <c r="BJ6" s="2611"/>
      <c r="BK6" s="2117"/>
      <c r="BO6" s="1473"/>
      <c r="BP6" s="1473"/>
      <c r="BQ6" s="1473"/>
      <c r="BR6" s="1473"/>
    </row>
    <row r="7" spans="1:70">
      <c r="A7" s="1706"/>
      <c r="B7" s="2399" t="s">
        <v>293</v>
      </c>
      <c r="C7" s="2399"/>
      <c r="D7" s="2399"/>
      <c r="E7" s="2399"/>
      <c r="F7" s="2399"/>
      <c r="G7" s="2399"/>
      <c r="H7" s="2477"/>
      <c r="I7" s="6534" t="s">
        <v>2224</v>
      </c>
      <c r="J7" s="6535"/>
      <c r="K7" s="6535"/>
      <c r="L7" s="6535"/>
      <c r="M7" s="6535"/>
      <c r="N7" s="6535"/>
      <c r="O7" s="6535"/>
      <c r="P7" s="6535"/>
      <c r="Q7" s="6535"/>
      <c r="R7" s="6535"/>
      <c r="S7" s="6535"/>
      <c r="T7" s="6535"/>
      <c r="U7" s="6535"/>
      <c r="V7" s="6535"/>
      <c r="W7" s="6535"/>
      <c r="X7" s="6535"/>
      <c r="Y7" s="6535"/>
      <c r="Z7" s="6535"/>
      <c r="AA7" s="6535"/>
      <c r="AB7" s="6536"/>
      <c r="AC7" s="3127"/>
      <c r="AD7" s="6172" t="s">
        <v>1574</v>
      </c>
      <c r="AE7" s="6157"/>
      <c r="AF7" s="6157"/>
      <c r="AG7" s="6157"/>
      <c r="AH7" s="6173">
        <v>73</v>
      </c>
      <c r="AI7" s="3402"/>
      <c r="AJ7" s="3402"/>
      <c r="AK7" s="1706"/>
      <c r="AL7" s="2117"/>
      <c r="AM7" s="5241"/>
      <c r="AN7" s="5242"/>
      <c r="AO7" s="5242"/>
      <c r="AP7" s="5242"/>
      <c r="AQ7" s="5242"/>
      <c r="AR7" s="5971"/>
      <c r="AS7" s="6530"/>
      <c r="AT7" s="6530"/>
      <c r="AU7" s="6530"/>
      <c r="AV7" s="6530"/>
      <c r="AW7" s="5972"/>
      <c r="AX7" s="3426"/>
      <c r="AY7" s="2117"/>
      <c r="AZ7" s="2117"/>
      <c r="BA7" s="2117"/>
      <c r="BB7" s="2117"/>
      <c r="BC7" s="2117"/>
      <c r="BD7" s="2117"/>
      <c r="BE7" s="2117"/>
      <c r="BF7" s="2117"/>
      <c r="BG7" s="2117"/>
      <c r="BH7" s="2117"/>
      <c r="BI7" s="2611"/>
      <c r="BJ7" s="2611"/>
      <c r="BK7" s="2117"/>
      <c r="BO7" s="1473"/>
      <c r="BP7" s="1473"/>
      <c r="BQ7" s="1473"/>
      <c r="BR7" s="1473"/>
    </row>
    <row r="8" spans="1:70" ht="13.5" customHeight="1" thickBot="1">
      <c r="A8" s="1706"/>
      <c r="B8" s="2603" t="s">
        <v>637</v>
      </c>
      <c r="C8" s="2603"/>
      <c r="D8" s="2603"/>
      <c r="E8" s="2603"/>
      <c r="F8" s="2603"/>
      <c r="G8" s="2603"/>
      <c r="H8" s="2604"/>
      <c r="I8" s="6531" t="s">
        <v>2527</v>
      </c>
      <c r="J8" s="6532"/>
      <c r="K8" s="6532"/>
      <c r="L8" s="6532"/>
      <c r="M8" s="6532"/>
      <c r="N8" s="6532"/>
      <c r="O8" s="6532"/>
      <c r="P8" s="6532"/>
      <c r="Q8" s="6532"/>
      <c r="R8" s="6532"/>
      <c r="S8" s="6532"/>
      <c r="T8" s="6532"/>
      <c r="U8" s="6532"/>
      <c r="V8" s="6532"/>
      <c r="W8" s="6532"/>
      <c r="X8" s="6532"/>
      <c r="Y8" s="6532"/>
      <c r="Z8" s="6532"/>
      <c r="AA8" s="6532"/>
      <c r="AB8" s="6533"/>
      <c r="AC8" s="3128"/>
      <c r="AD8" s="6149" t="s">
        <v>2269</v>
      </c>
      <c r="AE8" s="6150"/>
      <c r="AF8" s="6150"/>
      <c r="AG8" s="6150"/>
      <c r="AH8" s="6174"/>
      <c r="AI8" s="3129"/>
      <c r="AJ8" s="3129"/>
      <c r="AK8" s="1706"/>
      <c r="AL8" s="2117"/>
      <c r="AM8" s="5241"/>
      <c r="AN8" s="5242"/>
      <c r="AO8" s="5242"/>
      <c r="AP8" s="5242"/>
      <c r="AQ8" s="5242"/>
      <c r="AR8" s="5971"/>
      <c r="AS8" s="6530"/>
      <c r="AT8" s="6530"/>
      <c r="AU8" s="6530"/>
      <c r="AV8" s="6530"/>
      <c r="AW8" s="5972"/>
      <c r="AX8" s="3426"/>
      <c r="AY8" s="2117"/>
      <c r="AZ8" s="2117"/>
      <c r="BA8" s="2117"/>
      <c r="BB8" s="2117"/>
      <c r="BC8" s="2117"/>
      <c r="BD8" s="2117"/>
      <c r="BE8" s="2117"/>
      <c r="BF8" s="2117"/>
      <c r="BG8" s="2117"/>
      <c r="BH8" s="2117"/>
      <c r="BI8" s="2611"/>
      <c r="BJ8" s="2611"/>
      <c r="BK8" s="2117"/>
      <c r="BO8" s="1473"/>
      <c r="BP8" s="1473"/>
      <c r="BQ8" s="1473"/>
      <c r="BR8" s="1473"/>
    </row>
    <row r="9" spans="1:70">
      <c r="A9" s="1706"/>
      <c r="B9" s="3130" t="s">
        <v>2226</v>
      </c>
      <c r="C9" s="3130"/>
      <c r="D9" s="3130"/>
      <c r="E9" s="3130"/>
      <c r="F9" s="3130"/>
      <c r="G9" s="3130"/>
      <c r="H9" s="3130"/>
      <c r="I9" s="3130"/>
      <c r="J9" s="3130"/>
      <c r="K9" s="3130"/>
      <c r="L9" s="3130"/>
      <c r="M9" s="3130"/>
      <c r="N9" s="3130"/>
      <c r="O9" s="3130"/>
      <c r="P9" s="3130"/>
      <c r="Q9" s="3130"/>
      <c r="R9" s="3130"/>
      <c r="S9" s="3130"/>
      <c r="T9" s="3130"/>
      <c r="U9" s="3130"/>
      <c r="V9" s="3130"/>
      <c r="W9" s="3130"/>
      <c r="X9" s="3130"/>
      <c r="Y9" s="3131" t="s">
        <v>148</v>
      </c>
      <c r="Z9" s="2595"/>
      <c r="AA9" s="2595"/>
      <c r="AB9" s="2595"/>
      <c r="AC9" s="3169"/>
      <c r="AD9" s="3404"/>
      <c r="AE9" s="3404"/>
      <c r="AF9" s="3404"/>
      <c r="AG9" s="3404"/>
      <c r="AH9" s="3404"/>
      <c r="AI9" s="3404"/>
      <c r="AJ9" s="3404"/>
      <c r="AK9" s="1706"/>
      <c r="AL9" s="2117"/>
      <c r="AM9" s="5241"/>
      <c r="AN9" s="5242"/>
      <c r="AO9" s="5242"/>
      <c r="AP9" s="5242"/>
      <c r="AQ9" s="5242"/>
      <c r="AR9" s="5971"/>
      <c r="AS9" s="6530"/>
      <c r="AT9" s="6530"/>
      <c r="AU9" s="6530"/>
      <c r="AV9" s="6530"/>
      <c r="AW9" s="5972"/>
      <c r="AX9" s="3426"/>
      <c r="AY9" s="2117"/>
      <c r="AZ9" s="2117"/>
      <c r="BA9" s="2117"/>
      <c r="BB9" s="2117"/>
      <c r="BC9" s="2117"/>
      <c r="BD9" s="2117"/>
      <c r="BE9" s="2117"/>
      <c r="BF9" s="2117"/>
      <c r="BG9" s="2117"/>
      <c r="BH9" s="2117"/>
      <c r="BI9" s="2611"/>
      <c r="BJ9" s="2611"/>
      <c r="BK9" s="2117"/>
      <c r="BO9" s="1473"/>
      <c r="BP9" s="1473"/>
      <c r="BQ9" s="1473"/>
      <c r="BR9" s="1473"/>
    </row>
    <row r="10" spans="1:70" ht="13.5" customHeight="1">
      <c r="A10" s="1706"/>
      <c r="B10" s="6151" t="str">
        <f>IF(Names="","",Names)</f>
        <v/>
      </c>
      <c r="C10" s="6152"/>
      <c r="D10" s="6152"/>
      <c r="E10" s="6152"/>
      <c r="F10" s="6152"/>
      <c r="G10" s="6152"/>
      <c r="H10" s="6152"/>
      <c r="I10" s="6152"/>
      <c r="J10" s="6152"/>
      <c r="K10" s="6152"/>
      <c r="L10" s="5078"/>
      <c r="M10" s="5078"/>
      <c r="N10" s="5078"/>
      <c r="O10" s="5078"/>
      <c r="P10" s="5078"/>
      <c r="Q10" s="5078"/>
      <c r="R10" s="5078"/>
      <c r="S10" s="5078"/>
      <c r="T10" s="4979"/>
      <c r="U10" s="4979"/>
      <c r="V10" s="4979"/>
      <c r="W10" s="4979"/>
      <c r="X10" s="6117"/>
      <c r="Y10" s="6154" t="str">
        <f>IF(SS_Yours="","",SS_Yours)</f>
        <v/>
      </c>
      <c r="Z10" s="6155"/>
      <c r="AA10" s="6155"/>
      <c r="AB10" s="6155"/>
      <c r="AC10" s="6155"/>
      <c r="AD10" s="6155"/>
      <c r="AE10" s="6155"/>
      <c r="AF10" s="6155"/>
      <c r="AG10" s="6155"/>
      <c r="AH10" s="6155"/>
      <c r="AI10" s="6155"/>
      <c r="AJ10" s="6155"/>
      <c r="AK10" s="1706"/>
      <c r="AL10" s="2117"/>
      <c r="AM10" s="5241"/>
      <c r="AN10" s="5242"/>
      <c r="AO10" s="5242"/>
      <c r="AP10" s="5242"/>
      <c r="AQ10" s="5242"/>
      <c r="AR10" s="5971"/>
      <c r="AS10" s="6530"/>
      <c r="AT10" s="6530"/>
      <c r="AU10" s="6530"/>
      <c r="AV10" s="6530"/>
      <c r="AW10" s="5972"/>
      <c r="AX10" s="3426"/>
      <c r="AY10" s="2117"/>
      <c r="AZ10" s="2117"/>
      <c r="BA10" s="2117"/>
      <c r="BB10" s="2117"/>
      <c r="BC10" s="2117"/>
      <c r="BD10" s="2117"/>
      <c r="BE10" s="2117"/>
      <c r="BF10" s="2117"/>
      <c r="BG10" s="2117"/>
      <c r="BH10" s="2117"/>
      <c r="BI10" s="2611"/>
      <c r="BJ10" s="2611"/>
      <c r="BK10" s="2117"/>
      <c r="BO10" s="1473"/>
      <c r="BP10" s="1473"/>
      <c r="BQ10" s="1473"/>
      <c r="BR10" s="1473"/>
    </row>
    <row r="11" spans="1:70" ht="5.25" customHeight="1">
      <c r="A11" s="1706"/>
      <c r="B11" s="6153"/>
      <c r="C11" s="6153"/>
      <c r="D11" s="6153"/>
      <c r="E11" s="6153"/>
      <c r="F11" s="6153"/>
      <c r="G11" s="6153"/>
      <c r="H11" s="6153"/>
      <c r="I11" s="6153"/>
      <c r="J11" s="6153"/>
      <c r="K11" s="6153"/>
      <c r="L11" s="6153"/>
      <c r="M11" s="6153"/>
      <c r="N11" s="6153"/>
      <c r="O11" s="6153"/>
      <c r="P11" s="6153"/>
      <c r="Q11" s="6153"/>
      <c r="R11" s="6153"/>
      <c r="S11" s="6153"/>
      <c r="T11" s="6119"/>
      <c r="U11" s="6119"/>
      <c r="V11" s="6119"/>
      <c r="W11" s="6119"/>
      <c r="X11" s="6120"/>
      <c r="Y11" s="5411"/>
      <c r="Z11" s="5412"/>
      <c r="AA11" s="5412"/>
      <c r="AB11" s="5412"/>
      <c r="AC11" s="5412"/>
      <c r="AD11" s="5412"/>
      <c r="AE11" s="5412"/>
      <c r="AF11" s="5412"/>
      <c r="AG11" s="5412"/>
      <c r="AH11" s="5412"/>
      <c r="AI11" s="5412"/>
      <c r="AJ11" s="5412"/>
      <c r="AK11" s="1706"/>
      <c r="AL11" s="2117"/>
      <c r="AM11" s="6519"/>
      <c r="AN11" s="5115"/>
      <c r="AO11" s="5115"/>
      <c r="AP11" s="5115"/>
      <c r="AQ11" s="5115"/>
      <c r="AR11" s="5973"/>
      <c r="AS11" s="5974"/>
      <c r="AT11" s="5974"/>
      <c r="AU11" s="5974"/>
      <c r="AV11" s="5974"/>
      <c r="AW11" s="5975"/>
      <c r="AX11" s="3426"/>
      <c r="AY11" s="2117"/>
      <c r="AZ11" s="2117"/>
      <c r="BA11" s="2117"/>
      <c r="BB11" s="2117"/>
      <c r="BC11" s="2117"/>
      <c r="BD11" s="2117"/>
      <c r="BE11" s="2117"/>
      <c r="BF11" s="2117"/>
      <c r="BG11" s="2117"/>
      <c r="BH11" s="2117"/>
      <c r="BI11" s="2611"/>
      <c r="BJ11" s="2611"/>
      <c r="BK11" s="2117"/>
      <c r="BO11" s="1473"/>
      <c r="BP11" s="1473"/>
      <c r="BQ11" s="1473"/>
      <c r="BR11" s="1473"/>
    </row>
    <row r="12" spans="1:70" ht="5.25" customHeight="1" thickBot="1">
      <c r="A12" s="1706"/>
      <c r="B12" s="6540" t="s">
        <v>3220</v>
      </c>
      <c r="C12" s="5821"/>
      <c r="D12" s="5821"/>
      <c r="E12" s="5821"/>
      <c r="F12" s="5821"/>
      <c r="G12" s="5821"/>
      <c r="H12" s="5821"/>
      <c r="I12" s="5821"/>
      <c r="J12" s="5821"/>
      <c r="K12" s="5821"/>
      <c r="L12" s="5821"/>
      <c r="M12" s="5821"/>
      <c r="N12" s="5821"/>
      <c r="O12" s="5821"/>
      <c r="P12" s="5821"/>
      <c r="Q12" s="5821"/>
      <c r="R12" s="5821"/>
      <c r="S12" s="5821"/>
      <c r="T12" s="5821"/>
      <c r="U12" s="5821"/>
      <c r="V12" s="5821"/>
      <c r="W12" s="5821"/>
      <c r="X12" s="5821"/>
      <c r="Y12" s="5821"/>
      <c r="Z12" s="5821"/>
      <c r="AA12" s="5821"/>
      <c r="AB12" s="5821"/>
      <c r="AC12" s="5821"/>
      <c r="AD12" s="5821"/>
      <c r="AE12" s="5821"/>
      <c r="AF12" s="5821"/>
      <c r="AG12" s="5821"/>
      <c r="AH12" s="5821"/>
      <c r="AI12" s="2399"/>
      <c r="AJ12" s="2399"/>
      <c r="AK12" s="1706"/>
      <c r="AL12" s="2117"/>
      <c r="AM12" s="2117"/>
      <c r="AN12" s="2117"/>
      <c r="AO12" s="2117"/>
      <c r="AP12" s="2117"/>
      <c r="AQ12" s="2117"/>
      <c r="AR12" s="2117"/>
      <c r="AS12" s="2117"/>
      <c r="AT12" s="2117"/>
      <c r="AU12" s="2117"/>
      <c r="AV12" s="2117"/>
      <c r="AW12" s="2117"/>
      <c r="AX12" s="2117"/>
      <c r="AY12" s="2117"/>
      <c r="AZ12" s="2117"/>
      <c r="BA12" s="2117"/>
      <c r="BB12" s="2117"/>
      <c r="BC12" s="2117"/>
      <c r="BD12" s="2117"/>
      <c r="BE12" s="2117"/>
      <c r="BF12" s="2117"/>
      <c r="BG12" s="2117"/>
      <c r="BH12" s="2117"/>
      <c r="BI12" s="2611"/>
      <c r="BJ12" s="2611"/>
      <c r="BK12" s="2117"/>
      <c r="BO12" s="1473"/>
      <c r="BP12" s="1473"/>
      <c r="BQ12" s="1473"/>
      <c r="BR12" s="1473"/>
    </row>
    <row r="13" spans="1:70" ht="15" customHeight="1" thickBot="1">
      <c r="A13" s="1706"/>
      <c r="B13" s="6541"/>
      <c r="C13" s="6541"/>
      <c r="D13" s="6541"/>
      <c r="E13" s="6541"/>
      <c r="F13" s="6541"/>
      <c r="G13" s="6541"/>
      <c r="H13" s="6541"/>
      <c r="I13" s="6541"/>
      <c r="J13" s="6541"/>
      <c r="K13" s="6541"/>
      <c r="L13" s="6541"/>
      <c r="M13" s="6541"/>
      <c r="N13" s="6541"/>
      <c r="O13" s="6541"/>
      <c r="P13" s="6541"/>
      <c r="Q13" s="6541"/>
      <c r="R13" s="6541"/>
      <c r="S13" s="6541"/>
      <c r="T13" s="6541"/>
      <c r="U13" s="6541"/>
      <c r="V13" s="6541"/>
      <c r="W13" s="6541"/>
      <c r="X13" s="6541"/>
      <c r="Y13" s="6541"/>
      <c r="Z13" s="6541"/>
      <c r="AA13" s="6541"/>
      <c r="AB13" s="6541"/>
      <c r="AC13" s="6541"/>
      <c r="AD13" s="6541"/>
      <c r="AE13" s="6541"/>
      <c r="AF13" s="6541"/>
      <c r="AG13" s="6541"/>
      <c r="AH13" s="6541"/>
      <c r="AI13" s="2573"/>
      <c r="AJ13" s="2399"/>
      <c r="AK13" s="1706"/>
      <c r="AL13" s="2117"/>
      <c r="AM13" s="2117"/>
      <c r="AN13" s="2117"/>
      <c r="AO13" s="2117"/>
      <c r="AP13" s="2117"/>
      <c r="AQ13" s="2117"/>
      <c r="AR13" s="2117"/>
      <c r="AS13" s="2117"/>
      <c r="AT13" s="2117"/>
      <c r="AU13" s="2117"/>
      <c r="AV13" s="2117"/>
      <c r="AW13" s="2117"/>
      <c r="AX13" s="2117"/>
      <c r="AY13" s="2117"/>
      <c r="AZ13" s="2117"/>
      <c r="BA13" s="2117"/>
      <c r="BB13" s="2117"/>
      <c r="BC13" s="2117"/>
      <c r="BD13" s="2117"/>
      <c r="BE13" s="2117"/>
      <c r="BF13" s="2117"/>
      <c r="BG13" s="2117"/>
      <c r="BH13" s="2117"/>
      <c r="BI13" s="2611"/>
      <c r="BJ13" s="2611"/>
      <c r="BK13" s="2117"/>
      <c r="BO13" s="1473"/>
      <c r="BP13" s="1473"/>
      <c r="BQ13" s="1473"/>
      <c r="BR13" s="1473"/>
    </row>
    <row r="14" spans="1:70" ht="6" customHeight="1">
      <c r="A14" s="1706"/>
      <c r="B14" s="4864"/>
      <c r="C14" s="4864"/>
      <c r="D14" s="4864"/>
      <c r="E14" s="4864"/>
      <c r="F14" s="4864"/>
      <c r="G14" s="4864"/>
      <c r="H14" s="4864"/>
      <c r="I14" s="4864"/>
      <c r="J14" s="4864"/>
      <c r="K14" s="4864"/>
      <c r="L14" s="4864"/>
      <c r="M14" s="4864"/>
      <c r="N14" s="4864"/>
      <c r="O14" s="4864"/>
      <c r="P14" s="4864"/>
      <c r="Q14" s="4864"/>
      <c r="R14" s="4864"/>
      <c r="S14" s="4864"/>
      <c r="T14" s="4864"/>
      <c r="U14" s="4864"/>
      <c r="V14" s="4864"/>
      <c r="W14" s="4864"/>
      <c r="X14" s="4864"/>
      <c r="Y14" s="4864"/>
      <c r="Z14" s="4864"/>
      <c r="AA14" s="4864"/>
      <c r="AB14" s="4864"/>
      <c r="AC14" s="4864"/>
      <c r="AD14" s="4864"/>
      <c r="AE14" s="4864"/>
      <c r="AF14" s="4864"/>
      <c r="AG14" s="4864"/>
      <c r="AH14" s="4864"/>
      <c r="AI14" s="3132"/>
      <c r="AJ14" s="3132"/>
      <c r="AK14" s="1706"/>
      <c r="AL14" s="2117"/>
      <c r="AM14" s="2117"/>
      <c r="AN14" s="2117"/>
      <c r="AO14" s="2117"/>
      <c r="AP14" s="2117"/>
      <c r="AQ14" s="2117"/>
      <c r="AR14" s="2117"/>
      <c r="AS14" s="2117"/>
      <c r="AT14" s="2117"/>
      <c r="AU14" s="2117"/>
      <c r="AV14" s="2117"/>
      <c r="AW14" s="2117"/>
      <c r="AX14" s="2117"/>
      <c r="AY14" s="2117"/>
      <c r="AZ14" s="2117"/>
      <c r="BA14" s="2117"/>
      <c r="BB14" s="2117"/>
      <c r="BC14" s="2117"/>
      <c r="BD14" s="2117"/>
      <c r="BE14" s="2117"/>
      <c r="BF14" s="2117"/>
      <c r="BG14" s="2117"/>
      <c r="BH14" s="2117"/>
      <c r="BI14" s="2611"/>
      <c r="BJ14" s="2611"/>
      <c r="BK14" s="2117"/>
      <c r="BO14" s="1473"/>
      <c r="BP14" s="1473"/>
      <c r="BQ14" s="1473"/>
      <c r="BR14" s="1473"/>
    </row>
    <row r="15" spans="1:70" ht="18" customHeight="1">
      <c r="A15" s="1706"/>
      <c r="B15" s="3407" t="s">
        <v>92</v>
      </c>
      <c r="C15" s="3408"/>
      <c r="D15" s="3409" t="s">
        <v>2532</v>
      </c>
      <c r="E15" s="3133"/>
      <c r="F15" s="3133"/>
      <c r="G15" s="3133"/>
      <c r="H15" s="3133"/>
      <c r="I15" s="3133"/>
      <c r="J15" s="3133"/>
      <c r="K15" s="3133"/>
      <c r="L15" s="3133"/>
      <c r="M15" s="3133"/>
      <c r="N15" s="3133"/>
      <c r="O15" s="3133"/>
      <c r="P15" s="3133"/>
      <c r="Q15" s="3133"/>
      <c r="R15" s="3133"/>
      <c r="S15" s="3133"/>
      <c r="T15" s="3133"/>
      <c r="U15" s="3133"/>
      <c r="V15" s="3133"/>
      <c r="W15" s="3133"/>
      <c r="X15" s="3133"/>
      <c r="Y15" s="3133"/>
      <c r="Z15" s="3133"/>
      <c r="AA15" s="3133"/>
      <c r="AB15" s="3133"/>
      <c r="AC15" s="3133"/>
      <c r="AD15" s="3133"/>
      <c r="AE15" s="3133"/>
      <c r="AF15" s="3133"/>
      <c r="AG15" s="3133"/>
      <c r="AH15" s="3133"/>
      <c r="AI15" s="3167"/>
      <c r="AJ15" s="3405" t="str">
        <f>IF(AND($AI$13&lt;&gt;"",OR(File_Head&lt;&gt;"",File_Marr_Joint&lt;&gt;"",File_Qual_Widow&lt;&gt;"",File_Single&lt;&gt;"")),"Relief checkbox for 'Married Filing Separately'. See instructions.","")</f>
        <v/>
      </c>
      <c r="AK15" s="1706"/>
      <c r="AL15" s="2479"/>
      <c r="AM15" s="3364" t="str">
        <f>IF(AJ15&lt;&gt;"","Check this box to remove message.","")</f>
        <v/>
      </c>
      <c r="AN15" s="2117"/>
      <c r="AO15" s="2117"/>
      <c r="AP15" s="2117"/>
      <c r="AQ15" s="2117"/>
      <c r="AR15" s="2117"/>
      <c r="AS15" s="2117"/>
      <c r="AT15" s="2117"/>
      <c r="AU15" s="2117"/>
      <c r="AV15" s="2117"/>
      <c r="AW15" s="2117"/>
      <c r="AX15" s="2117"/>
      <c r="AY15" s="2117"/>
      <c r="AZ15" s="2117"/>
      <c r="BA15" s="2117"/>
      <c r="BB15" s="2117"/>
      <c r="BC15" s="2117"/>
      <c r="BD15" s="2117"/>
      <c r="BE15" s="2117"/>
      <c r="BF15" s="2117"/>
      <c r="BG15" s="2117"/>
      <c r="BH15" s="2117"/>
      <c r="BI15" s="2611"/>
      <c r="BJ15" s="2611"/>
      <c r="BK15" s="2117"/>
      <c r="BO15" s="1473"/>
      <c r="BP15" s="1473"/>
      <c r="BQ15" s="1473"/>
      <c r="BR15" s="1473"/>
    </row>
    <row r="16" spans="1:70">
      <c r="A16" s="1706"/>
      <c r="B16" s="2399"/>
      <c r="C16" s="2399"/>
      <c r="D16" s="2399"/>
      <c r="E16" s="2399"/>
      <c r="F16" s="2399"/>
      <c r="G16" s="2399"/>
      <c r="H16" s="2399"/>
      <c r="I16" s="2399"/>
      <c r="J16" s="2399"/>
      <c r="K16" s="2399"/>
      <c r="L16" s="2399"/>
      <c r="M16" s="2399"/>
      <c r="N16" s="2399"/>
      <c r="O16" s="2399"/>
      <c r="P16" s="2399"/>
      <c r="Q16" s="2399"/>
      <c r="R16" s="2399"/>
      <c r="S16" s="2399"/>
      <c r="T16" s="2399"/>
      <c r="U16" s="2399"/>
      <c r="V16" s="2399"/>
      <c r="W16" s="2399"/>
      <c r="X16" s="2399"/>
      <c r="Y16" s="2399"/>
      <c r="Z16" s="2399"/>
      <c r="AA16" s="2399"/>
      <c r="AB16" s="2399"/>
      <c r="AC16" s="2399"/>
      <c r="AD16" s="3134"/>
      <c r="AE16" s="2399"/>
      <c r="AF16" s="2399"/>
      <c r="AG16" s="2399"/>
      <c r="AH16" s="2399"/>
      <c r="AI16" s="2399"/>
      <c r="AJ16" s="2399"/>
      <c r="AK16" s="1706"/>
      <c r="AL16" s="2117"/>
      <c r="AM16" s="2117"/>
      <c r="AN16" s="2117"/>
      <c r="AO16" s="2117"/>
      <c r="AP16" s="2117"/>
      <c r="AQ16" s="2117"/>
      <c r="AR16" s="3360"/>
      <c r="AS16" s="3360"/>
      <c r="AT16" s="3360"/>
      <c r="AU16" s="3360"/>
      <c r="AV16" s="3360"/>
      <c r="AW16" s="3360"/>
      <c r="AX16" s="3360"/>
      <c r="AY16" s="2117"/>
      <c r="AZ16" s="2611"/>
      <c r="BA16" s="2611"/>
      <c r="BB16" s="3359"/>
      <c r="BC16" s="3359"/>
      <c r="BD16" s="3359"/>
      <c r="BE16" s="2611"/>
      <c r="BF16" s="2611"/>
      <c r="BG16" s="2611"/>
      <c r="BH16" s="2611"/>
      <c r="BI16" s="2611"/>
      <c r="BJ16" s="2611"/>
      <c r="BK16" s="2117"/>
      <c r="BO16" s="1473"/>
      <c r="BP16" s="1473"/>
      <c r="BQ16" s="1473"/>
      <c r="BR16" s="1473"/>
    </row>
    <row r="17" spans="1:70" ht="15" customHeight="1">
      <c r="A17" s="1706"/>
      <c r="B17" s="2399"/>
      <c r="C17" s="3135" t="s">
        <v>243</v>
      </c>
      <c r="D17" s="2399" t="s">
        <v>2227</v>
      </c>
      <c r="E17" s="2399"/>
      <c r="F17" s="2399"/>
      <c r="G17" s="2399"/>
      <c r="H17" s="2399"/>
      <c r="I17" s="2399"/>
      <c r="J17" s="2399"/>
      <c r="K17" s="2399"/>
      <c r="L17" s="2399"/>
      <c r="M17" s="2399"/>
      <c r="N17" s="2399"/>
      <c r="O17" s="2399"/>
      <c r="P17" s="2399"/>
      <c r="Q17" s="2399"/>
      <c r="R17" s="2399"/>
      <c r="S17" s="2399"/>
      <c r="T17" s="2399"/>
      <c r="U17" s="2399"/>
      <c r="V17" s="2399"/>
      <c r="W17" s="2399"/>
      <c r="X17" s="2399"/>
      <c r="Y17" s="2399"/>
      <c r="Z17" s="2399"/>
      <c r="AA17" s="2399"/>
      <c r="AB17" s="2399"/>
      <c r="AC17" s="2399"/>
      <c r="AD17" s="3136">
        <v>1</v>
      </c>
      <c r="AE17" s="5122">
        <f>IF(AND(File_Marr_Sep&lt;&gt;"",AI13=""),"",'1040'!AG37)</f>
        <v>0</v>
      </c>
      <c r="AF17" s="6539"/>
      <c r="AG17" s="6539"/>
      <c r="AH17" s="6539"/>
      <c r="AI17" s="6539"/>
      <c r="AJ17" s="6539"/>
      <c r="AK17" s="1706"/>
      <c r="AL17" s="2117"/>
      <c r="AM17" s="2117"/>
      <c r="AN17" s="6552" t="s">
        <v>2450</v>
      </c>
      <c r="AO17" s="5846"/>
      <c r="AP17" s="5846"/>
      <c r="AQ17" s="5846"/>
      <c r="AR17" s="5846"/>
      <c r="AS17" s="5846"/>
      <c r="AT17" s="5846"/>
      <c r="AU17" s="5846"/>
      <c r="AV17" s="5846"/>
      <c r="AW17" s="5846"/>
      <c r="AX17" s="3421"/>
      <c r="AY17" s="2117"/>
      <c r="AZ17" s="6552" t="s">
        <v>2451</v>
      </c>
      <c r="BA17" s="6553"/>
      <c r="BB17" s="6553"/>
      <c r="BC17" s="6553"/>
      <c r="BD17" s="6553"/>
      <c r="BE17" s="6553"/>
      <c r="BF17" s="6553"/>
      <c r="BG17" s="6553"/>
      <c r="BH17" s="6553"/>
      <c r="BI17" s="6553"/>
      <c r="BJ17" s="3421"/>
      <c r="BK17" s="2117"/>
      <c r="BO17" s="1473"/>
      <c r="BP17" s="1473"/>
      <c r="BQ17" s="1473"/>
      <c r="BR17" s="1473"/>
    </row>
    <row r="18" spans="1:70" ht="6.75" customHeight="1">
      <c r="A18" s="1706"/>
      <c r="B18" s="2399"/>
      <c r="C18" s="2399"/>
      <c r="D18" s="2399"/>
      <c r="E18" s="2399"/>
      <c r="F18" s="2399"/>
      <c r="G18" s="2399"/>
      <c r="H18" s="2399"/>
      <c r="I18" s="2399"/>
      <c r="J18" s="2399"/>
      <c r="K18" s="2399"/>
      <c r="L18" s="2399"/>
      <c r="M18" s="2399"/>
      <c r="N18" s="2399"/>
      <c r="O18" s="2399"/>
      <c r="P18" s="2399"/>
      <c r="Q18" s="2399"/>
      <c r="R18" s="2399"/>
      <c r="S18" s="2399"/>
      <c r="T18" s="2399"/>
      <c r="U18" s="2399"/>
      <c r="V18" s="2399"/>
      <c r="W18" s="2399"/>
      <c r="X18" s="2399"/>
      <c r="Y18" s="2399"/>
      <c r="Z18" s="2399"/>
      <c r="AA18" s="2399"/>
      <c r="AB18" s="2399"/>
      <c r="AC18" s="2399"/>
      <c r="AD18" s="3137"/>
      <c r="AE18" s="2399"/>
      <c r="AF18" s="2399"/>
      <c r="AG18" s="2399"/>
      <c r="AH18" s="2399"/>
      <c r="AI18" s="2399"/>
      <c r="AJ18" s="2399"/>
      <c r="AK18" s="1706"/>
      <c r="AL18" s="2117"/>
      <c r="AM18" s="2117"/>
      <c r="AN18" s="6558"/>
      <c r="AO18" s="5004"/>
      <c r="AP18" s="5004"/>
      <c r="AQ18" s="5004"/>
      <c r="AR18" s="5004"/>
      <c r="AS18" s="5004"/>
      <c r="AT18" s="5004"/>
      <c r="AU18" s="5004"/>
      <c r="AV18" s="5004"/>
      <c r="AW18" s="6559"/>
      <c r="AX18" s="3416"/>
      <c r="AY18" s="2117"/>
      <c r="AZ18" s="6554"/>
      <c r="BA18" s="6555"/>
      <c r="BB18" s="6555"/>
      <c r="BC18" s="6555"/>
      <c r="BD18" s="6555"/>
      <c r="BE18" s="6555"/>
      <c r="BF18" s="6555"/>
      <c r="BG18" s="6555"/>
      <c r="BH18" s="6555"/>
      <c r="BI18" s="6555"/>
      <c r="BJ18" s="3416"/>
      <c r="BK18" s="2117"/>
    </row>
    <row r="19" spans="1:70" ht="15">
      <c r="A19" s="1706"/>
      <c r="B19" s="2399"/>
      <c r="C19" s="3135" t="s">
        <v>550</v>
      </c>
      <c r="D19" s="2399" t="s">
        <v>2228</v>
      </c>
      <c r="E19" s="2399"/>
      <c r="F19" s="2399"/>
      <c r="G19" s="2399"/>
      <c r="H19" s="2399"/>
      <c r="I19" s="2399"/>
      <c r="J19" s="2399"/>
      <c r="K19" s="2399"/>
      <c r="L19" s="3137"/>
      <c r="M19" s="6526"/>
      <c r="N19" s="6527"/>
      <c r="O19" s="6527"/>
      <c r="P19" s="6527"/>
      <c r="Q19" s="6527"/>
      <c r="R19" s="6527"/>
      <c r="S19" s="3135" t="s">
        <v>84</v>
      </c>
      <c r="T19" s="2399" t="s">
        <v>2230</v>
      </c>
      <c r="U19" s="2399"/>
      <c r="V19" s="2399"/>
      <c r="W19" s="2399"/>
      <c r="X19" s="2399"/>
      <c r="Y19" s="2399"/>
      <c r="Z19" s="2399"/>
      <c r="AA19" s="2399"/>
      <c r="AB19" s="2399"/>
      <c r="AC19" s="2399"/>
      <c r="AD19" s="3137"/>
      <c r="AE19" s="2399"/>
      <c r="AF19" s="2399"/>
      <c r="AG19" s="2399"/>
      <c r="AH19" s="2399"/>
      <c r="AI19" s="2399"/>
      <c r="AJ19" s="2399"/>
      <c r="AK19" s="1706"/>
      <c r="AL19" s="2117"/>
      <c r="AM19" s="2117"/>
      <c r="AN19" s="6558"/>
      <c r="AO19" s="5004"/>
      <c r="AP19" s="5004"/>
      <c r="AQ19" s="5004"/>
      <c r="AR19" s="5004"/>
      <c r="AS19" s="5004"/>
      <c r="AT19" s="5004"/>
      <c r="AU19" s="5004"/>
      <c r="AV19" s="5004"/>
      <c r="AW19" s="6559"/>
      <c r="AX19" s="3416"/>
      <c r="AY19" s="2117"/>
      <c r="AZ19" s="6554"/>
      <c r="BA19" s="6555"/>
      <c r="BB19" s="6555"/>
      <c r="BC19" s="6555"/>
      <c r="BD19" s="6555"/>
      <c r="BE19" s="6555"/>
      <c r="BF19" s="6555"/>
      <c r="BG19" s="6555"/>
      <c r="BH19" s="6555"/>
      <c r="BI19" s="6555"/>
      <c r="BJ19" s="3416"/>
      <c r="BK19" s="2117"/>
    </row>
    <row r="20" spans="1:70" ht="15">
      <c r="A20" s="1706"/>
      <c r="B20" s="2399"/>
      <c r="C20" s="2399"/>
      <c r="D20" s="2399" t="s">
        <v>2229</v>
      </c>
      <c r="E20" s="2399"/>
      <c r="F20" s="2399"/>
      <c r="G20" s="2399"/>
      <c r="H20" s="2399"/>
      <c r="I20" s="2399"/>
      <c r="J20" s="2399"/>
      <c r="K20" s="3140" t="s">
        <v>1414</v>
      </c>
      <c r="L20" s="3138" t="s">
        <v>550</v>
      </c>
      <c r="M20" s="5121">
        <f>AU43</f>
        <v>0</v>
      </c>
      <c r="N20" s="6489"/>
      <c r="O20" s="6489"/>
      <c r="P20" s="6489"/>
      <c r="Q20" s="6489"/>
      <c r="R20" s="6489"/>
      <c r="S20" s="2399"/>
      <c r="T20" s="2399" t="s">
        <v>2229</v>
      </c>
      <c r="U20" s="2399"/>
      <c r="V20" s="2399"/>
      <c r="W20" s="2399"/>
      <c r="X20" s="2399"/>
      <c r="Y20" s="2399"/>
      <c r="Z20" s="2399"/>
      <c r="AA20" s="2399"/>
      <c r="AB20" s="2399"/>
      <c r="AC20" s="3140" t="s">
        <v>907</v>
      </c>
      <c r="AD20" s="3136" t="s">
        <v>551</v>
      </c>
      <c r="AE20" s="5122">
        <f>BG43</f>
        <v>0</v>
      </c>
      <c r="AF20" s="6489"/>
      <c r="AG20" s="6489"/>
      <c r="AH20" s="6489"/>
      <c r="AI20" s="6489"/>
      <c r="AJ20" s="6489"/>
      <c r="AK20" s="1706"/>
      <c r="AL20" s="2117"/>
      <c r="AM20" s="1473" t="s">
        <v>150</v>
      </c>
      <c r="AN20" s="6560"/>
      <c r="AO20" s="5200"/>
      <c r="AP20" s="5200"/>
      <c r="AQ20" s="5200"/>
      <c r="AR20" s="5200"/>
      <c r="AS20" s="5200"/>
      <c r="AT20" s="5200"/>
      <c r="AU20" s="5200"/>
      <c r="AV20" s="5200"/>
      <c r="AW20" s="5200"/>
      <c r="AX20" s="3416"/>
      <c r="AY20" s="2117"/>
      <c r="AZ20" s="6556"/>
      <c r="BA20" s="6557"/>
      <c r="BB20" s="6557"/>
      <c r="BC20" s="6557"/>
      <c r="BD20" s="6557"/>
      <c r="BE20" s="6557"/>
      <c r="BF20" s="6557"/>
      <c r="BG20" s="6557"/>
      <c r="BH20" s="6557"/>
      <c r="BI20" s="6557"/>
      <c r="BJ20" s="3416"/>
      <c r="BK20" s="2117"/>
    </row>
    <row r="21" spans="1:70" ht="7.5" customHeight="1" thickBot="1">
      <c r="A21" s="1706"/>
      <c r="B21" s="2399"/>
      <c r="C21" s="2399"/>
      <c r="D21" s="2399"/>
      <c r="E21" s="2399"/>
      <c r="F21" s="2399"/>
      <c r="G21" s="2399"/>
      <c r="H21" s="2399"/>
      <c r="I21" s="2399"/>
      <c r="J21" s="2399"/>
      <c r="K21" s="2399"/>
      <c r="L21" s="2399"/>
      <c r="M21" s="2399"/>
      <c r="N21" s="2399"/>
      <c r="O21" s="2399"/>
      <c r="P21" s="2399"/>
      <c r="Q21" s="2399"/>
      <c r="R21" s="2399"/>
      <c r="S21" s="2399"/>
      <c r="T21" s="2399"/>
      <c r="U21" s="2399"/>
      <c r="V21" s="2399"/>
      <c r="W21" s="2399"/>
      <c r="X21" s="2399"/>
      <c r="Y21" s="2399"/>
      <c r="Z21" s="2399"/>
      <c r="AA21" s="2399"/>
      <c r="AB21" s="2399"/>
      <c r="AC21" s="2399"/>
      <c r="AD21" s="3137"/>
      <c r="AE21" s="2399"/>
      <c r="AF21" s="2399"/>
      <c r="AG21" s="2399"/>
      <c r="AH21" s="2399"/>
      <c r="AI21" s="2399"/>
      <c r="AJ21" s="2399"/>
      <c r="AK21" s="1706"/>
      <c r="AL21" s="2117"/>
      <c r="AM21" s="2117"/>
      <c r="AN21" s="3168"/>
      <c r="AO21" s="3161"/>
      <c r="AP21" s="3161"/>
      <c r="AQ21" s="3161"/>
      <c r="AR21" s="3161"/>
      <c r="AS21" s="3161"/>
      <c r="AT21" s="3161"/>
      <c r="AU21" s="3161"/>
      <c r="AV21" s="3161"/>
      <c r="AW21" s="3161"/>
      <c r="AX21" s="3162"/>
      <c r="AY21" s="2117"/>
      <c r="AZ21" s="3168"/>
      <c r="BA21" s="3161"/>
      <c r="BB21" s="3161"/>
      <c r="BC21" s="3161"/>
      <c r="BD21" s="3161"/>
      <c r="BE21" s="3161"/>
      <c r="BF21" s="3161"/>
      <c r="BG21" s="3161"/>
      <c r="BH21" s="3161"/>
      <c r="BI21" s="3161"/>
      <c r="BJ21" s="3162"/>
      <c r="BK21" s="2117"/>
    </row>
    <row r="22" spans="1:70" ht="15.75" thickBot="1">
      <c r="A22" s="1706"/>
      <c r="B22" s="3139" t="s">
        <v>245</v>
      </c>
      <c r="C22" s="3135"/>
      <c r="D22" s="2598" t="s">
        <v>3221</v>
      </c>
      <c r="E22" s="2399"/>
      <c r="F22" s="2399"/>
      <c r="G22" s="2399"/>
      <c r="H22" s="2399"/>
      <c r="I22" s="2399"/>
      <c r="J22" s="2399"/>
      <c r="K22" s="2399"/>
      <c r="L22" s="2399"/>
      <c r="M22" s="2399"/>
      <c r="N22" s="2399"/>
      <c r="O22" s="2399"/>
      <c r="P22" s="2399"/>
      <c r="Q22" s="2399"/>
      <c r="R22" s="2399"/>
      <c r="S22" s="2399"/>
      <c r="T22" s="2399"/>
      <c r="U22" s="2399"/>
      <c r="V22" s="2399"/>
      <c r="W22" s="2399"/>
      <c r="X22" s="2399"/>
      <c r="Y22" s="2399"/>
      <c r="Z22" s="2399"/>
      <c r="AA22" s="2399"/>
      <c r="AB22" s="2399"/>
      <c r="AC22" s="3140" t="s">
        <v>442</v>
      </c>
      <c r="AD22" s="3136">
        <v>3</v>
      </c>
      <c r="AE22" s="5122">
        <f>IF(AM22&lt;&gt;"",AM22,SUM(M20,AE20))</f>
        <v>0</v>
      </c>
      <c r="AF22" s="6489"/>
      <c r="AG22" s="6489"/>
      <c r="AH22" s="6489"/>
      <c r="AI22" s="6489"/>
      <c r="AJ22" s="6489"/>
      <c r="AK22" s="1706"/>
      <c r="AL22" s="4183">
        <v>3</v>
      </c>
      <c r="AM22" s="3323"/>
      <c r="AN22" s="2399"/>
      <c r="AO22" s="2598" t="s">
        <v>2291</v>
      </c>
      <c r="AP22" s="2399"/>
      <c r="AQ22" s="2399"/>
      <c r="AR22" s="2399"/>
      <c r="AS22" s="2399"/>
      <c r="AT22" s="2399"/>
      <c r="AU22" s="2399"/>
      <c r="AV22" s="2399"/>
      <c r="AW22" s="2399"/>
      <c r="AX22" s="3170"/>
      <c r="AY22" s="2117"/>
      <c r="AZ22" s="3169"/>
      <c r="BA22" s="2598" t="s">
        <v>2301</v>
      </c>
      <c r="BB22" s="2399"/>
      <c r="BC22" s="2399"/>
      <c r="BD22" s="2399"/>
      <c r="BE22" s="2399"/>
      <c r="BF22" s="2399"/>
      <c r="BG22" s="2399"/>
      <c r="BH22" s="2399"/>
      <c r="BI22" s="2399"/>
      <c r="BJ22" s="3170"/>
      <c r="BK22" s="2117"/>
    </row>
    <row r="23" spans="1:70" ht="6" customHeight="1">
      <c r="A23" s="1706"/>
      <c r="B23" s="2399"/>
      <c r="C23" s="2399"/>
      <c r="D23" s="2399"/>
      <c r="E23" s="2399"/>
      <c r="F23" s="2399"/>
      <c r="G23" s="2399"/>
      <c r="H23" s="2399"/>
      <c r="I23" s="2399"/>
      <c r="J23" s="2399"/>
      <c r="K23" s="2399"/>
      <c r="L23" s="2399"/>
      <c r="M23" s="2399"/>
      <c r="N23" s="2399"/>
      <c r="O23" s="2399"/>
      <c r="P23" s="2399"/>
      <c r="Q23" s="2399"/>
      <c r="R23" s="2399"/>
      <c r="S23" s="2399"/>
      <c r="T23" s="2399"/>
      <c r="U23" s="2399"/>
      <c r="V23" s="2399"/>
      <c r="W23" s="2399"/>
      <c r="X23" s="2399"/>
      <c r="Y23" s="2399"/>
      <c r="Z23" s="2399"/>
      <c r="AA23" s="2399"/>
      <c r="AB23" s="2399"/>
      <c r="AC23" s="2399"/>
      <c r="AD23" s="3137"/>
      <c r="AE23" s="2399"/>
      <c r="AF23" s="2399"/>
      <c r="AG23" s="2399"/>
      <c r="AH23" s="2399"/>
      <c r="AI23" s="2399"/>
      <c r="AJ23" s="2399"/>
      <c r="AK23" s="1706"/>
      <c r="AL23" s="2117"/>
      <c r="AM23" s="2117"/>
      <c r="AN23" s="3169"/>
      <c r="AO23" s="2399"/>
      <c r="AP23" s="2399"/>
      <c r="AQ23" s="2399"/>
      <c r="AR23" s="2399"/>
      <c r="AS23" s="2399"/>
      <c r="AT23" s="2399"/>
      <c r="AU23" s="2399"/>
      <c r="AV23" s="2399"/>
      <c r="AW23" s="2399"/>
      <c r="AX23" s="3170"/>
      <c r="AY23" s="2117"/>
      <c r="AZ23" s="3169"/>
      <c r="BA23" s="2399"/>
      <c r="BB23" s="2399"/>
      <c r="BC23" s="2399"/>
      <c r="BD23" s="2399"/>
      <c r="BE23" s="2399"/>
      <c r="BF23" s="2399"/>
      <c r="BG23" s="2399"/>
      <c r="BH23" s="2399"/>
      <c r="BI23" s="2399"/>
      <c r="BJ23" s="3170"/>
      <c r="BK23" s="2117"/>
    </row>
    <row r="24" spans="1:70" ht="15">
      <c r="A24" s="1706"/>
      <c r="B24" s="2399"/>
      <c r="C24" s="3135" t="s">
        <v>246</v>
      </c>
      <c r="D24" s="2598" t="s">
        <v>3071</v>
      </c>
      <c r="E24" s="2399"/>
      <c r="F24" s="2399"/>
      <c r="G24" s="2399"/>
      <c r="H24" s="2399"/>
      <c r="I24" s="2399"/>
      <c r="J24" s="2399"/>
      <c r="K24" s="2399"/>
      <c r="L24" s="2399"/>
      <c r="M24" s="2399"/>
      <c r="N24" s="2399"/>
      <c r="O24" s="2399"/>
      <c r="P24" s="2399"/>
      <c r="Q24" s="2399"/>
      <c r="R24" s="2399"/>
      <c r="S24" s="2399"/>
      <c r="T24" s="2399"/>
      <c r="U24" s="2399"/>
      <c r="V24" s="2399"/>
      <c r="W24" s="2399"/>
      <c r="X24" s="2399"/>
      <c r="Y24" s="2399"/>
      <c r="Z24" s="2399"/>
      <c r="AA24" s="2399"/>
      <c r="AB24" s="2399"/>
      <c r="AC24" s="2399"/>
      <c r="AD24" s="3137"/>
      <c r="AE24" s="2399"/>
      <c r="AF24" s="2399"/>
      <c r="AG24" s="2399"/>
      <c r="AH24" s="2399"/>
      <c r="AI24" s="2399"/>
      <c r="AJ24" s="2399"/>
      <c r="AK24" s="1706"/>
      <c r="AL24" s="2117"/>
      <c r="AM24" s="3361">
        <f>IF($AE$17&gt;8,LOOKUP($AE$17,$AO$56:$AO$64,$AP$56:$AP$64)+(($AE$17-8)*AP65),LOOKUP($AE$17,$AO$56:$AO$64,$AP$56:$AP$64))</f>
        <v>0</v>
      </c>
      <c r="AN24" s="3171" t="s">
        <v>476</v>
      </c>
      <c r="AO24" s="3141" t="s">
        <v>2290</v>
      </c>
      <c r="AP24" s="2399"/>
      <c r="AQ24" s="2399"/>
      <c r="AR24" s="2399"/>
      <c r="AS24" s="2399"/>
      <c r="AT24" s="2399"/>
      <c r="AU24" s="2399"/>
      <c r="AV24" s="2399"/>
      <c r="AW24" s="2399"/>
      <c r="AX24" s="3170"/>
      <c r="AY24" s="2117"/>
      <c r="AZ24" s="3171" t="s">
        <v>476</v>
      </c>
      <c r="BA24" s="3141" t="s">
        <v>2302</v>
      </c>
      <c r="BB24" s="2399"/>
      <c r="BC24" s="2399"/>
      <c r="BD24" s="2399"/>
      <c r="BE24" s="2399"/>
      <c r="BF24" s="2399"/>
      <c r="BG24" s="2399"/>
      <c r="BH24" s="2399"/>
      <c r="BI24" s="2399"/>
      <c r="BJ24" s="3170"/>
      <c r="BK24" s="2117"/>
    </row>
    <row r="25" spans="1:70" ht="14.25" customHeight="1">
      <c r="A25" s="1706"/>
      <c r="B25" s="2399"/>
      <c r="C25" s="2399"/>
      <c r="D25" s="2598" t="s">
        <v>3072</v>
      </c>
      <c r="E25" s="2399"/>
      <c r="F25" s="2399"/>
      <c r="G25" s="2399"/>
      <c r="H25" s="2399"/>
      <c r="I25" s="2399"/>
      <c r="J25" s="2399"/>
      <c r="K25" s="2399"/>
      <c r="L25" s="2399"/>
      <c r="M25" s="2399"/>
      <c r="N25" s="3140" t="s">
        <v>61</v>
      </c>
      <c r="O25" s="3179" t="str">
        <f>IF(AND($AL$2=1,L2&lt;&gt;""),"X","")</f>
        <v/>
      </c>
      <c r="P25" s="2598" t="s">
        <v>2231</v>
      </c>
      <c r="Q25" s="2598"/>
      <c r="R25" s="3140" t="s">
        <v>84</v>
      </c>
      <c r="S25" s="3179" t="str">
        <f>IF(AND($AL$2=1,V2&lt;&gt;""),"X","")</f>
        <v/>
      </c>
      <c r="T25" s="2598" t="s">
        <v>2232</v>
      </c>
      <c r="U25" s="2399"/>
      <c r="V25" s="3140" t="s">
        <v>85</v>
      </c>
      <c r="W25" s="3179" t="str">
        <f>IF(AND($AL$2=1,B2&lt;&gt;""),"X","")</f>
        <v>X</v>
      </c>
      <c r="X25" s="2399" t="s">
        <v>2233</v>
      </c>
      <c r="Y25" s="2399"/>
      <c r="Z25" s="2399"/>
      <c r="AA25" s="2399"/>
      <c r="AB25" s="2399"/>
      <c r="AC25" s="2399"/>
      <c r="AD25" s="3136">
        <v>4</v>
      </c>
      <c r="AE25" s="5122">
        <f>IF(AND(File_Marr_Sep&lt;&gt;"",AI13=""),"",IF(W25&lt;&gt;"",AM24,IF(O25&lt;&gt;"",AM25,IF(S25&lt;&gt;"",AM26,""))))</f>
        <v>0</v>
      </c>
      <c r="AF25" s="6489"/>
      <c r="AG25" s="6489"/>
      <c r="AH25" s="6489"/>
      <c r="AI25" s="6489"/>
      <c r="AJ25" s="6489"/>
      <c r="AK25" s="1706"/>
      <c r="AL25" s="2117"/>
      <c r="AM25" s="3361">
        <f>IF($AE$17&gt;8,LOOKUP($AE$17,$AO$56:$AO$64,$AQ$56:$AQ$64)+(($AE$17-8)*AQ65),LOOKUP($AE$17,$AO$56:$AO$64,$AQ$56:$AQ$64))</f>
        <v>0</v>
      </c>
      <c r="AN25" s="3169"/>
      <c r="AO25" s="3141" t="s">
        <v>2295</v>
      </c>
      <c r="AP25" s="2399"/>
      <c r="AQ25" s="2399"/>
      <c r="AR25" s="2399"/>
      <c r="AS25" s="2399"/>
      <c r="AT25" s="3172" t="s">
        <v>476</v>
      </c>
      <c r="AU25" s="3190">
        <f>Adj_Gross_Inc</f>
        <v>0</v>
      </c>
      <c r="AV25" s="2399"/>
      <c r="AW25" s="2399"/>
      <c r="AX25" s="3170"/>
      <c r="AY25" s="2117"/>
      <c r="AZ25" s="3169"/>
      <c r="BA25" s="3141" t="s">
        <v>3330</v>
      </c>
      <c r="BB25" s="2399"/>
      <c r="BC25" s="2399"/>
      <c r="BD25" s="2399"/>
      <c r="BE25" s="2399"/>
      <c r="BF25" s="3172"/>
      <c r="BG25" s="2399"/>
      <c r="BH25" s="2399"/>
      <c r="BI25" s="2399"/>
      <c r="BJ25" s="3170"/>
      <c r="BK25" s="2117"/>
    </row>
    <row r="26" spans="1:70" ht="12.75" customHeight="1" thickBot="1">
      <c r="A26" s="1706"/>
      <c r="B26" s="2399"/>
      <c r="C26" s="2399"/>
      <c r="D26" s="2399"/>
      <c r="E26" s="2399"/>
      <c r="F26" s="2399"/>
      <c r="G26" s="2399"/>
      <c r="H26" s="2399"/>
      <c r="I26" s="2399"/>
      <c r="J26" s="2399"/>
      <c r="K26" s="2399"/>
      <c r="L26" s="2399"/>
      <c r="M26" s="2399"/>
      <c r="N26" s="2399"/>
      <c r="O26" s="2399"/>
      <c r="P26" s="2399"/>
      <c r="Q26" s="2399"/>
      <c r="R26" s="2399"/>
      <c r="S26" s="2399"/>
      <c r="T26" s="2399"/>
      <c r="U26" s="2399"/>
      <c r="V26" s="2399"/>
      <c r="W26" s="2399"/>
      <c r="X26" s="2399"/>
      <c r="Y26" s="2399"/>
      <c r="Z26" s="2399"/>
      <c r="AA26" s="2399"/>
      <c r="AB26" s="2399"/>
      <c r="AC26" s="2399"/>
      <c r="AD26" s="3137"/>
      <c r="AE26" s="2399"/>
      <c r="AF26" s="2399"/>
      <c r="AG26" s="2399"/>
      <c r="AH26" s="2399"/>
      <c r="AI26" s="2399"/>
      <c r="AJ26" s="3161"/>
      <c r="AK26" s="1706"/>
      <c r="AL26" s="2117"/>
      <c r="AM26" s="3361">
        <f>IF($AE$17&gt;8,LOOKUP($AE$17,$AO$56:$AO$64,$AR$56:$AR$64)+(($AE$17-8)*AR65),LOOKUP($AE$17,$AO$56:$AO$64,$AR$56:$AR$64))</f>
        <v>0</v>
      </c>
      <c r="AN26" s="3169"/>
      <c r="AO26" s="3141"/>
      <c r="AP26" s="2399"/>
      <c r="AQ26" s="2399"/>
      <c r="AR26" s="2399"/>
      <c r="AS26" s="2399"/>
      <c r="AT26" s="2399"/>
      <c r="AU26" s="2399"/>
      <c r="AV26" s="2399"/>
      <c r="AW26" s="2399"/>
      <c r="AX26" s="3170"/>
      <c r="AY26" s="2117"/>
      <c r="AZ26" s="3169"/>
      <c r="BA26" s="3141" t="s">
        <v>2303</v>
      </c>
      <c r="BB26" s="2399"/>
      <c r="BC26" s="2399"/>
      <c r="BD26" s="2399"/>
      <c r="BE26" s="2399"/>
      <c r="BF26" s="3172" t="s">
        <v>476</v>
      </c>
      <c r="BG26" s="3189"/>
      <c r="BH26" s="2399"/>
      <c r="BI26" s="2399"/>
      <c r="BJ26" s="3170"/>
      <c r="BK26" s="2117"/>
    </row>
    <row r="27" spans="1:70" ht="15.75" customHeight="1" thickBot="1">
      <c r="A27" s="1706"/>
      <c r="B27" s="2399"/>
      <c r="C27" s="3135" t="s">
        <v>333</v>
      </c>
      <c r="D27" s="2598" t="s">
        <v>3073</v>
      </c>
      <c r="E27" s="2399"/>
      <c r="F27" s="2399"/>
      <c r="G27" s="2399"/>
      <c r="H27" s="2399"/>
      <c r="I27" s="2399"/>
      <c r="J27" s="2399"/>
      <c r="K27" s="2399"/>
      <c r="L27" s="2399"/>
      <c r="M27" s="2399"/>
      <c r="N27" s="2399"/>
      <c r="O27" s="2399"/>
      <c r="P27" s="2399"/>
      <c r="Q27" s="2399"/>
      <c r="R27" s="2399"/>
      <c r="S27" s="2399"/>
      <c r="T27" s="2399"/>
      <c r="U27" s="2399"/>
      <c r="V27" s="2399"/>
      <c r="W27" s="2399"/>
      <c r="X27" s="2399"/>
      <c r="Y27" s="2399"/>
      <c r="Z27" s="2399"/>
      <c r="AA27" s="2399"/>
      <c r="AB27" s="2399"/>
      <c r="AC27" s="3140" t="s">
        <v>3074</v>
      </c>
      <c r="AD27" s="3136">
        <v>5</v>
      </c>
      <c r="AE27" s="6568" t="str">
        <f>IF(AM27&lt;&gt;"",ROUND(AM27,0),IF(OR(AE25="",AE25=0),"",AS74))</f>
        <v/>
      </c>
      <c r="AF27" s="5535"/>
      <c r="AG27" s="5535"/>
      <c r="AH27" s="5535"/>
      <c r="AI27" s="5535"/>
      <c r="AJ27" s="4301" t="str">
        <f>"%"</f>
        <v>%</v>
      </c>
      <c r="AK27" s="1706"/>
      <c r="AL27" s="4183">
        <v>5</v>
      </c>
      <c r="AM27" s="3323"/>
      <c r="AN27" s="3169"/>
      <c r="AO27" s="3141"/>
      <c r="AP27" s="2399"/>
      <c r="AQ27" s="2399"/>
      <c r="AR27" s="2399"/>
      <c r="AS27" s="2399"/>
      <c r="AT27" s="2399"/>
      <c r="AU27" s="2399"/>
      <c r="AV27" s="2399"/>
      <c r="AW27" s="2399"/>
      <c r="AX27" s="3170"/>
      <c r="AY27" s="2117"/>
      <c r="AZ27" s="3169"/>
      <c r="BA27" s="3141"/>
      <c r="BB27" s="2399"/>
      <c r="BC27" s="2399"/>
      <c r="BD27" s="2399"/>
      <c r="BE27" s="2399"/>
      <c r="BF27" s="2399"/>
      <c r="BG27" s="2399"/>
      <c r="BH27" s="2399"/>
      <c r="BI27" s="2399"/>
      <c r="BJ27" s="3170"/>
      <c r="BK27" s="2117"/>
    </row>
    <row r="28" spans="1:70" ht="15" customHeight="1">
      <c r="A28" s="1706"/>
      <c r="B28" s="2399"/>
      <c r="C28" s="3135" t="s">
        <v>172</v>
      </c>
      <c r="D28" s="2598" t="s">
        <v>2528</v>
      </c>
      <c r="E28" s="2399"/>
      <c r="F28" s="2399"/>
      <c r="G28" s="2399"/>
      <c r="H28" s="2399"/>
      <c r="I28" s="2399"/>
      <c r="J28" s="2399"/>
      <c r="K28" s="2399"/>
      <c r="L28" s="2399"/>
      <c r="M28" s="2399"/>
      <c r="N28" s="2399"/>
      <c r="O28" s="2399"/>
      <c r="P28" s="2399"/>
      <c r="Q28" s="2399"/>
      <c r="R28" s="2399"/>
      <c r="S28" s="2399"/>
      <c r="T28" s="2399"/>
      <c r="U28" s="2399"/>
      <c r="V28" s="2399"/>
      <c r="W28" s="2399"/>
      <c r="X28" s="2399"/>
      <c r="Y28" s="2399"/>
      <c r="Z28" s="2399"/>
      <c r="AA28" s="2399"/>
      <c r="AB28" s="2399"/>
      <c r="AC28" s="2399"/>
      <c r="AD28" s="3143"/>
      <c r="AE28" s="3144"/>
      <c r="AF28" s="3144"/>
      <c r="AG28" s="3144"/>
      <c r="AH28" s="3144"/>
      <c r="AI28" s="3144"/>
      <c r="AJ28" s="3144"/>
      <c r="AK28" s="1706"/>
      <c r="AL28" s="2117"/>
      <c r="AM28" s="2610">
        <v>401</v>
      </c>
      <c r="AN28" s="3171" t="s">
        <v>0</v>
      </c>
      <c r="AO28" s="3141" t="s">
        <v>2292</v>
      </c>
      <c r="AP28" s="2399"/>
      <c r="AQ28" s="2399"/>
      <c r="AR28" s="2399"/>
      <c r="AS28" s="2399"/>
      <c r="AT28" s="2399"/>
      <c r="AU28" s="2399"/>
      <c r="AV28" s="2399"/>
      <c r="AW28" s="2399"/>
      <c r="AX28" s="3170"/>
      <c r="AY28" s="2117"/>
      <c r="AZ28" s="3171" t="s">
        <v>0</v>
      </c>
      <c r="BA28" s="3141" t="s">
        <v>2304</v>
      </c>
      <c r="BB28" s="2399"/>
      <c r="BC28" s="2399"/>
      <c r="BD28" s="2399"/>
      <c r="BE28" s="2399"/>
      <c r="BF28" s="2399"/>
      <c r="BG28" s="2399"/>
      <c r="BH28" s="2399"/>
      <c r="BI28" s="2399"/>
      <c r="BJ28" s="3170"/>
      <c r="BK28" s="2117"/>
    </row>
    <row r="29" spans="1:70" ht="15.75">
      <c r="A29" s="1706"/>
      <c r="B29" s="2399"/>
      <c r="C29" s="2399"/>
      <c r="D29" s="3178" t="str">
        <f>IF(OR(AL2&lt;&gt;1,AE25="",AE25=0),"",IF(AE27=AM28,"","X"))</f>
        <v/>
      </c>
      <c r="E29" s="3145" t="s">
        <v>3075</v>
      </c>
      <c r="F29" s="2399"/>
      <c r="G29" s="2399"/>
      <c r="H29" s="2399"/>
      <c r="I29" s="2399"/>
      <c r="J29" s="2399"/>
      <c r="K29" s="2399"/>
      <c r="L29" s="2399"/>
      <c r="M29" s="2399"/>
      <c r="N29" s="2399"/>
      <c r="O29" s="2399"/>
      <c r="P29" s="2399"/>
      <c r="Q29" s="2399"/>
      <c r="R29" s="2399"/>
      <c r="S29" s="2399"/>
      <c r="T29" s="2399"/>
      <c r="U29" s="2399"/>
      <c r="V29" s="2399"/>
      <c r="W29" s="2399"/>
      <c r="X29" s="2399"/>
      <c r="Y29" s="2399"/>
      <c r="Z29" s="2399"/>
      <c r="AA29" s="2399"/>
      <c r="AB29" s="2399"/>
      <c r="AC29" s="2399"/>
      <c r="AD29" s="3143"/>
      <c r="AE29" s="3144"/>
      <c r="AF29" s="3144"/>
      <c r="AG29" s="3144"/>
      <c r="AH29" s="3144"/>
      <c r="AI29" s="3144"/>
      <c r="AJ29" s="3144"/>
      <c r="AK29" s="1706"/>
      <c r="AL29" s="2117"/>
      <c r="AM29" s="2610">
        <v>134</v>
      </c>
      <c r="AN29" s="3169"/>
      <c r="AO29" s="3141" t="s">
        <v>2293</v>
      </c>
      <c r="AP29" s="2399"/>
      <c r="AQ29" s="2399"/>
      <c r="AR29" s="2399"/>
      <c r="AS29" s="2399"/>
      <c r="AT29" s="2399"/>
      <c r="AU29" s="2399"/>
      <c r="AV29" s="2399"/>
      <c r="AW29" s="2399"/>
      <c r="AX29" s="3170"/>
      <c r="AY29" s="2117"/>
      <c r="AZ29" s="3169"/>
      <c r="BA29" s="3141" t="s">
        <v>2305</v>
      </c>
      <c r="BB29" s="2399"/>
      <c r="BC29" s="2399"/>
      <c r="BD29" s="2399"/>
      <c r="BE29" s="2399"/>
      <c r="BF29" s="2399"/>
      <c r="BG29" s="2399"/>
      <c r="BH29" s="2399"/>
      <c r="BI29" s="2399"/>
      <c r="BJ29" s="3170"/>
      <c r="BK29" s="2117"/>
    </row>
    <row r="30" spans="1:70" ht="14.25" customHeight="1">
      <c r="A30" s="1706"/>
      <c r="B30" s="2399"/>
      <c r="C30" s="2399"/>
      <c r="D30" s="2399"/>
      <c r="E30" s="2399"/>
      <c r="F30" s="2399"/>
      <c r="G30" s="2399"/>
      <c r="H30" s="2399"/>
      <c r="I30" s="2399"/>
      <c r="J30" s="2399"/>
      <c r="K30" s="2399"/>
      <c r="L30" s="2399"/>
      <c r="M30" s="2399"/>
      <c r="N30" s="2399"/>
      <c r="O30" s="2399"/>
      <c r="P30" s="2399"/>
      <c r="Q30" s="2399"/>
      <c r="R30" s="2399"/>
      <c r="S30" s="2399"/>
      <c r="T30" s="2399"/>
      <c r="U30" s="2399"/>
      <c r="V30" s="2399"/>
      <c r="W30" s="2399"/>
      <c r="X30" s="2399"/>
      <c r="Y30" s="2399"/>
      <c r="Z30" s="2399"/>
      <c r="AA30" s="2399"/>
      <c r="AB30" s="2399"/>
      <c r="AC30" s="2399"/>
      <c r="AD30" s="3143"/>
      <c r="AE30" s="3144"/>
      <c r="AF30" s="3144"/>
      <c r="AG30" s="3144"/>
      <c r="AH30" s="3144"/>
      <c r="AI30" s="3144"/>
      <c r="AJ30" s="3144"/>
      <c r="AK30" s="1706"/>
      <c r="AL30" s="2117"/>
      <c r="AM30" s="2610"/>
      <c r="AN30" s="3169"/>
      <c r="AO30" s="3141" t="s">
        <v>2294</v>
      </c>
      <c r="AP30" s="2399"/>
      <c r="AQ30" s="2399"/>
      <c r="AR30" s="2399"/>
      <c r="AS30" s="3172" t="s">
        <v>0</v>
      </c>
      <c r="AT30" s="3190">
        <f>'1040'!V40</f>
        <v>0</v>
      </c>
      <c r="AU30" s="2399"/>
      <c r="AV30" s="2399"/>
      <c r="AW30" s="2399"/>
      <c r="AX30" s="3170"/>
      <c r="AY30" s="2117"/>
      <c r="AZ30" s="3169"/>
      <c r="BA30" s="3141" t="s">
        <v>2306</v>
      </c>
      <c r="BB30" s="2399"/>
      <c r="BC30" s="2399"/>
      <c r="BD30" s="2399"/>
      <c r="BE30" s="2399"/>
      <c r="BF30" s="2399"/>
      <c r="BG30" s="2399"/>
      <c r="BH30" s="2399"/>
      <c r="BI30" s="2399"/>
      <c r="BJ30" s="3170"/>
      <c r="BK30" s="2117"/>
    </row>
    <row r="31" spans="1:70" ht="12.75" customHeight="1">
      <c r="A31" s="1706"/>
      <c r="B31" s="2399"/>
      <c r="C31" s="2399"/>
      <c r="D31" s="3178" t="str">
        <f>IF(OR(AL2&lt;&gt;1,AE25="",AE25=0),"",IF(AE27=AM28,"X",""))</f>
        <v/>
      </c>
      <c r="E31" s="2598" t="s">
        <v>3222</v>
      </c>
      <c r="F31" s="2399"/>
      <c r="G31" s="2399"/>
      <c r="H31" s="2399"/>
      <c r="I31" s="2399"/>
      <c r="J31" s="2399"/>
      <c r="K31" s="2399"/>
      <c r="L31" s="2399"/>
      <c r="M31" s="2399"/>
      <c r="N31" s="2399"/>
      <c r="O31" s="2399"/>
      <c r="P31" s="2399"/>
      <c r="Q31" s="2399"/>
      <c r="R31" s="2399"/>
      <c r="S31" s="2399"/>
      <c r="T31" s="2399"/>
      <c r="U31" s="2399"/>
      <c r="V31" s="2399"/>
      <c r="W31" s="2399"/>
      <c r="X31" s="2399"/>
      <c r="Y31" s="2399"/>
      <c r="Z31" s="2399"/>
      <c r="AA31" s="2399"/>
      <c r="AB31" s="2399"/>
      <c r="AC31" s="2399"/>
      <c r="AD31" s="3143"/>
      <c r="AE31" s="3144"/>
      <c r="AF31" s="3144"/>
      <c r="AG31" s="3144"/>
      <c r="AH31" s="3144"/>
      <c r="AI31" s="3144"/>
      <c r="AJ31" s="3144"/>
      <c r="AK31" s="1706"/>
      <c r="AL31" s="2117"/>
      <c r="AM31" s="2610">
        <v>302</v>
      </c>
      <c r="AN31" s="3169"/>
      <c r="AO31" s="3141"/>
      <c r="AP31" s="2399"/>
      <c r="AQ31" s="2399"/>
      <c r="AR31" s="2399"/>
      <c r="AS31" s="2399"/>
      <c r="AT31" s="2399"/>
      <c r="AU31" s="2399"/>
      <c r="AV31" s="2399"/>
      <c r="AW31" s="2399"/>
      <c r="AX31" s="3170"/>
      <c r="AY31" s="2117"/>
      <c r="AZ31" s="3169"/>
      <c r="BA31" s="3141" t="s">
        <v>2307</v>
      </c>
      <c r="BB31" s="2399"/>
      <c r="BC31" s="2399"/>
      <c r="BD31" s="2399"/>
      <c r="BE31" s="3172" t="s">
        <v>0</v>
      </c>
      <c r="BF31" s="3189"/>
      <c r="BG31" s="2399"/>
      <c r="BH31" s="2399"/>
      <c r="BI31" s="2399"/>
      <c r="BJ31" s="3170"/>
      <c r="BK31" s="2117"/>
    </row>
    <row r="32" spans="1:70" ht="13.5" customHeight="1">
      <c r="A32" s="1706"/>
      <c r="B32" s="2399"/>
      <c r="C32" s="2399"/>
      <c r="D32" s="2399"/>
      <c r="E32" s="2598" t="s">
        <v>2529</v>
      </c>
      <c r="F32" s="2399"/>
      <c r="G32" s="2399"/>
      <c r="H32" s="2399"/>
      <c r="I32" s="2399"/>
      <c r="J32" s="2399"/>
      <c r="K32" s="2399"/>
      <c r="L32" s="2399"/>
      <c r="M32" s="2399"/>
      <c r="N32" s="2399"/>
      <c r="O32" s="2399"/>
      <c r="P32" s="2399"/>
      <c r="Q32" s="2399"/>
      <c r="R32" s="2399"/>
      <c r="S32" s="2399"/>
      <c r="T32" s="2399"/>
      <c r="U32" s="2399"/>
      <c r="V32" s="2399"/>
      <c r="W32" s="2399"/>
      <c r="X32" s="2399"/>
      <c r="Y32" s="2399"/>
      <c r="Z32" s="2399"/>
      <c r="AA32" s="2399"/>
      <c r="AB32" s="2399"/>
      <c r="AC32" s="2399"/>
      <c r="AD32" s="3143"/>
      <c r="AE32" s="3144"/>
      <c r="AF32" s="3144"/>
      <c r="AG32" s="3144"/>
      <c r="AH32" s="3144"/>
      <c r="AI32" s="3144"/>
      <c r="AJ32" s="3144"/>
      <c r="AK32" s="1706"/>
      <c r="AL32" s="2117"/>
      <c r="AM32" s="2117"/>
      <c r="AN32" s="3169"/>
      <c r="AO32" s="3141"/>
      <c r="AP32" s="2399"/>
      <c r="AQ32" s="2399"/>
      <c r="AR32" s="2399"/>
      <c r="AS32" s="2399"/>
      <c r="AT32" s="2399"/>
      <c r="AU32" s="2399"/>
      <c r="AV32" s="2399"/>
      <c r="AW32" s="2399"/>
      <c r="AX32" s="3170"/>
      <c r="AY32" s="2117"/>
      <c r="AZ32" s="3169"/>
      <c r="BA32" s="3141"/>
      <c r="BB32" s="2399"/>
      <c r="BC32" s="2399"/>
      <c r="BD32" s="2399"/>
      <c r="BE32" s="2399"/>
      <c r="BF32" s="2399"/>
      <c r="BG32" s="2399"/>
      <c r="BH32" s="2399"/>
      <c r="BI32" s="2399"/>
      <c r="BJ32" s="3170"/>
      <c r="BK32" s="2117"/>
    </row>
    <row r="33" spans="1:63">
      <c r="A33" s="1706"/>
      <c r="B33" s="2399"/>
      <c r="C33" s="2399"/>
      <c r="D33" s="2399"/>
      <c r="E33" s="2399"/>
      <c r="F33" s="2399"/>
      <c r="G33" s="2399"/>
      <c r="H33" s="2399"/>
      <c r="I33" s="2399"/>
      <c r="J33" s="2399"/>
      <c r="K33" s="2399"/>
      <c r="L33" s="2399"/>
      <c r="M33" s="2399"/>
      <c r="N33" s="2399"/>
      <c r="O33" s="2399"/>
      <c r="P33" s="2399"/>
      <c r="Q33" s="2399"/>
      <c r="R33" s="2399"/>
      <c r="S33" s="2399"/>
      <c r="T33" s="2399"/>
      <c r="U33" s="2399"/>
      <c r="V33" s="2399"/>
      <c r="W33" s="2399"/>
      <c r="X33" s="2399"/>
      <c r="Y33" s="2399"/>
      <c r="Z33" s="2399"/>
      <c r="AA33" s="2399"/>
      <c r="AB33" s="2399"/>
      <c r="AC33" s="2399"/>
      <c r="AD33" s="3143"/>
      <c r="AE33" s="3144"/>
      <c r="AF33" s="3144"/>
      <c r="AG33" s="3144"/>
      <c r="AH33" s="3144"/>
      <c r="AI33" s="3144"/>
      <c r="AJ33" s="3144"/>
      <c r="AK33" s="1706"/>
      <c r="AL33" s="2117"/>
      <c r="AM33" s="2117"/>
      <c r="AN33" s="3171" t="s">
        <v>1</v>
      </c>
      <c r="AO33" s="3141" t="s">
        <v>2296</v>
      </c>
      <c r="AP33" s="2399"/>
      <c r="AQ33" s="2399"/>
      <c r="AR33" s="2399"/>
      <c r="AS33" s="2399"/>
      <c r="AT33" s="2399"/>
      <c r="AU33" s="2399"/>
      <c r="AV33" s="2399"/>
      <c r="AW33" s="2399"/>
      <c r="AX33" s="3170"/>
      <c r="AY33" s="2117"/>
      <c r="AZ33" s="3171" t="s">
        <v>1</v>
      </c>
      <c r="BA33" s="3141" t="s">
        <v>2308</v>
      </c>
      <c r="BB33" s="2399"/>
      <c r="BC33" s="2399"/>
      <c r="BD33" s="2399"/>
      <c r="BE33" s="2399"/>
      <c r="BF33" s="2399"/>
      <c r="BG33" s="2399"/>
      <c r="BH33" s="2399"/>
      <c r="BI33" s="2399"/>
      <c r="BJ33" s="3170"/>
      <c r="BK33" s="2117"/>
    </row>
    <row r="34" spans="1:63" ht="13.5" customHeight="1">
      <c r="A34" s="1706"/>
      <c r="B34" s="2399"/>
      <c r="C34" s="3135" t="s">
        <v>173</v>
      </c>
      <c r="D34" s="2399" t="s">
        <v>2234</v>
      </c>
      <c r="E34" s="2399"/>
      <c r="F34" s="2399"/>
      <c r="G34" s="2399"/>
      <c r="H34" s="2399"/>
      <c r="I34" s="2399"/>
      <c r="J34" s="2399"/>
      <c r="K34" s="2399"/>
      <c r="L34" s="2399"/>
      <c r="M34" s="2399"/>
      <c r="N34" s="2399"/>
      <c r="O34" s="2399"/>
      <c r="P34" s="2399"/>
      <c r="Q34" s="2399"/>
      <c r="R34" s="2399"/>
      <c r="S34" s="2399"/>
      <c r="T34" s="2399"/>
      <c r="U34" s="2399"/>
      <c r="V34" s="2399"/>
      <c r="W34" s="2399"/>
      <c r="X34" s="2399"/>
      <c r="Y34" s="2399"/>
      <c r="Z34" s="2399"/>
      <c r="AA34" s="2399"/>
      <c r="AB34" s="2399"/>
      <c r="AC34" s="2399"/>
      <c r="AD34" s="3136">
        <v>7</v>
      </c>
      <c r="AE34" s="6537" t="str">
        <f>IF(AND(File_Marr_Sep&lt;&gt;"",AI13=""),"",IF(OR(AL2&lt;&gt;1,AE27=0,AE17=0,D31="X"),"",LOOKUP(AE27,AZ54:AZ223,BA54:BA223)))</f>
        <v/>
      </c>
      <c r="AF34" s="6538"/>
      <c r="AG34" s="6538"/>
      <c r="AH34" s="6538"/>
      <c r="AI34" s="6538"/>
      <c r="AJ34" s="6538"/>
      <c r="AK34" s="1706"/>
      <c r="AL34" s="2117"/>
      <c r="AM34" s="2117"/>
      <c r="AN34" s="3169"/>
      <c r="AO34" s="3141" t="s">
        <v>2297</v>
      </c>
      <c r="AP34" s="2399"/>
      <c r="AQ34" s="2399"/>
      <c r="AR34" s="2399"/>
      <c r="AS34" s="3172" t="s">
        <v>1</v>
      </c>
      <c r="AT34" s="3190">
        <f>IF(ISERROR(SUM('2555'!AE184,-'2555'!AE198)),"",SUM('2555'!AE184,-'2555'!AE198))</f>
        <v>0</v>
      </c>
      <c r="AU34" s="2399"/>
      <c r="AV34" s="2399"/>
      <c r="AW34" s="2399"/>
      <c r="AX34" s="3170"/>
      <c r="AY34" s="2117"/>
      <c r="AZ34" s="3169"/>
      <c r="BA34" s="3141" t="s">
        <v>2310</v>
      </c>
      <c r="BB34" s="2399"/>
      <c r="BC34" s="2399"/>
      <c r="BD34" s="2399"/>
      <c r="BE34" s="3172"/>
      <c r="BF34" s="3172"/>
      <c r="BG34" s="2399"/>
      <c r="BH34" s="2399"/>
      <c r="BI34" s="2399"/>
      <c r="BJ34" s="3170"/>
      <c r="BK34" s="2117"/>
    </row>
    <row r="35" spans="1:63" ht="6" customHeight="1" thickBot="1">
      <c r="A35" s="1706"/>
      <c r="B35" s="2399"/>
      <c r="C35" s="2399"/>
      <c r="D35" s="2399"/>
      <c r="E35" s="2399"/>
      <c r="F35" s="2399"/>
      <c r="G35" s="2399"/>
      <c r="H35" s="2399"/>
      <c r="I35" s="2399"/>
      <c r="J35" s="2399"/>
      <c r="K35" s="2399"/>
      <c r="L35" s="2399"/>
      <c r="M35" s="2399"/>
      <c r="N35" s="2399"/>
      <c r="O35" s="2399"/>
      <c r="P35" s="2399"/>
      <c r="Q35" s="2399"/>
      <c r="R35" s="2399"/>
      <c r="S35" s="2399"/>
      <c r="T35" s="2399"/>
      <c r="U35" s="2399"/>
      <c r="V35" s="2399"/>
      <c r="W35" s="2399"/>
      <c r="X35" s="2399"/>
      <c r="Y35" s="2399"/>
      <c r="Z35" s="2399"/>
      <c r="AA35" s="2399"/>
      <c r="AB35" s="2399"/>
      <c r="AC35" s="2399"/>
      <c r="AD35" s="3137"/>
      <c r="AE35" s="2399"/>
      <c r="AF35" s="2399"/>
      <c r="AG35" s="2399"/>
      <c r="AH35" s="2399"/>
      <c r="AI35" s="2399"/>
      <c r="AJ35" s="2399"/>
      <c r="AK35" s="1706"/>
      <c r="AL35" s="2611"/>
      <c r="AM35" s="3362"/>
      <c r="AN35" s="3169"/>
      <c r="AO35" s="3141"/>
      <c r="AP35" s="2399"/>
      <c r="AQ35" s="2399"/>
      <c r="AR35" s="2399"/>
      <c r="AS35" s="2399"/>
      <c r="AT35" s="2399"/>
      <c r="AU35" s="2399"/>
      <c r="AV35" s="2399"/>
      <c r="AW35" s="2399"/>
      <c r="AX35" s="3170"/>
      <c r="AY35" s="2117"/>
      <c r="AZ35" s="3169"/>
      <c r="BA35" s="3141"/>
      <c r="BB35" s="2399"/>
      <c r="BC35" s="2399"/>
      <c r="BD35" s="2399"/>
      <c r="BE35" s="2399"/>
      <c r="BF35" s="2399"/>
      <c r="BG35" s="2399"/>
      <c r="BH35" s="2399"/>
      <c r="BI35" s="2399"/>
      <c r="BJ35" s="3170"/>
      <c r="BK35" s="2117"/>
    </row>
    <row r="36" spans="1:63" ht="14.25" customHeight="1" thickBot="1">
      <c r="A36" s="1706"/>
      <c r="B36" s="2399"/>
      <c r="C36" s="3135" t="s">
        <v>62</v>
      </c>
      <c r="D36" s="3141" t="s">
        <v>3223</v>
      </c>
      <c r="E36" s="2399"/>
      <c r="F36" s="2399"/>
      <c r="G36" s="2399"/>
      <c r="H36" s="2399"/>
      <c r="I36" s="2399"/>
      <c r="J36" s="2399"/>
      <c r="K36" s="2399"/>
      <c r="L36" s="3137"/>
      <c r="M36" s="6526"/>
      <c r="N36" s="6527"/>
      <c r="O36" s="6527"/>
      <c r="P36" s="6527"/>
      <c r="Q36" s="6527"/>
      <c r="R36" s="6527"/>
      <c r="S36" s="3135" t="s">
        <v>84</v>
      </c>
      <c r="T36" s="2598" t="s">
        <v>2530</v>
      </c>
      <c r="U36" s="2399"/>
      <c r="V36" s="2399"/>
      <c r="W36" s="2399"/>
      <c r="X36" s="2399"/>
      <c r="Y36" s="2399"/>
      <c r="Z36" s="2399"/>
      <c r="AA36" s="2399"/>
      <c r="AB36" s="2399"/>
      <c r="AC36" s="2399"/>
      <c r="AD36" s="3146"/>
      <c r="AE36" s="2478"/>
      <c r="AF36" s="2478"/>
      <c r="AG36" s="2478"/>
      <c r="AH36" s="2478"/>
      <c r="AI36" s="2478"/>
      <c r="AJ36" s="2478"/>
      <c r="AK36" s="1706"/>
      <c r="AL36" s="4183" t="s">
        <v>62</v>
      </c>
      <c r="AM36" s="3323"/>
      <c r="AN36" s="3169"/>
      <c r="AO36" s="3141"/>
      <c r="AP36" s="2399"/>
      <c r="AQ36" s="2399"/>
      <c r="AR36" s="2399"/>
      <c r="AS36" s="2399"/>
      <c r="AT36" s="2399"/>
      <c r="AU36" s="2399"/>
      <c r="AV36" s="2399"/>
      <c r="AW36" s="2399"/>
      <c r="AX36" s="3170"/>
      <c r="AY36" s="2117"/>
      <c r="AZ36" s="3169"/>
      <c r="BA36" s="3141" t="s">
        <v>2309</v>
      </c>
      <c r="BB36" s="2399"/>
      <c r="BC36" s="2399"/>
      <c r="BD36" s="2399"/>
      <c r="BE36" s="3172" t="s">
        <v>1</v>
      </c>
      <c r="BF36" s="3190">
        <f>IF(ISERROR(SUM('2555'!AE184,-'2555'!AE198)),"",SUM('2555'!AE184,-'2555'!AE198))</f>
        <v>0</v>
      </c>
      <c r="BG36" s="2399"/>
      <c r="BH36" s="2399"/>
      <c r="BI36" s="2399"/>
      <c r="BJ36" s="3170"/>
      <c r="BK36" s="2117"/>
    </row>
    <row r="37" spans="1:63" ht="15.75" thickBot="1">
      <c r="A37" s="1706"/>
      <c r="B37" s="2603"/>
      <c r="C37" s="2603"/>
      <c r="D37" s="3826" t="s">
        <v>3224</v>
      </c>
      <c r="E37" s="2603"/>
      <c r="F37" s="2603"/>
      <c r="G37" s="2603"/>
      <c r="H37" s="2603"/>
      <c r="I37" s="2603"/>
      <c r="J37" s="2603"/>
      <c r="K37" s="2603"/>
      <c r="L37" s="3147" t="s">
        <v>62</v>
      </c>
      <c r="M37" s="5144" t="str">
        <f>IF(AND(File_Marr_Sep&lt;&gt;"",AI13=""),"",IF(AM36&lt;&gt;"",ROUND(AM36,0),IF(OR(AL2&lt;&gt;1,AE27=0,AE17=0,D31="X"),"",ROUND(AE22*AE34,0))))</f>
        <v/>
      </c>
      <c r="N37" s="6524"/>
      <c r="O37" s="6524"/>
      <c r="P37" s="6524"/>
      <c r="Q37" s="6524"/>
      <c r="R37" s="6524"/>
      <c r="S37" s="2603"/>
      <c r="T37" s="3406" t="s">
        <v>2531</v>
      </c>
      <c r="U37" s="2603"/>
      <c r="V37" s="2603"/>
      <c r="W37" s="2603"/>
      <c r="X37" s="2603"/>
      <c r="Y37" s="2603"/>
      <c r="Z37" s="2603"/>
      <c r="AA37" s="2603"/>
      <c r="AB37" s="2603"/>
      <c r="AC37" s="2603"/>
      <c r="AD37" s="3148" t="s">
        <v>64</v>
      </c>
      <c r="AE37" s="6525" t="str">
        <f>IF(AND(File_Marr_Sep&lt;&gt;"",AI13=""),"",IF(AM37&lt;&gt;"",ROUND(AM37,0),IF(OR(AL2&lt;&gt;1,AE27=0,AE17=0,D31="X"),"",ROUND(M37/12,0))))</f>
        <v/>
      </c>
      <c r="AF37" s="6524"/>
      <c r="AG37" s="6524"/>
      <c r="AH37" s="6524"/>
      <c r="AI37" s="6524"/>
      <c r="AJ37" s="6524"/>
      <c r="AK37" s="1706"/>
      <c r="AL37" s="4183" t="s">
        <v>64</v>
      </c>
      <c r="AM37" s="3323"/>
      <c r="AN37" s="3169"/>
      <c r="AO37" s="3141"/>
      <c r="AP37" s="2399"/>
      <c r="AQ37" s="2399"/>
      <c r="AR37" s="2399"/>
      <c r="AS37" s="2399"/>
      <c r="AT37" s="2399"/>
      <c r="AU37" s="2399"/>
      <c r="AV37" s="2399"/>
      <c r="AW37" s="2399"/>
      <c r="AX37" s="3170"/>
      <c r="AY37" s="2117"/>
      <c r="AZ37" s="3169"/>
      <c r="BA37" s="3141"/>
      <c r="BB37" s="2399"/>
      <c r="BC37" s="2399"/>
      <c r="BD37" s="2399"/>
      <c r="BE37" s="2399"/>
      <c r="BF37" s="2399"/>
      <c r="BG37" s="2399"/>
      <c r="BH37" s="2399"/>
      <c r="BI37" s="2399"/>
      <c r="BJ37" s="3170"/>
      <c r="BK37" s="2117"/>
    </row>
    <row r="38" spans="1:63" ht="15.75">
      <c r="A38" s="1706"/>
      <c r="B38" s="3407" t="s">
        <v>194</v>
      </c>
      <c r="C38" s="3408"/>
      <c r="D38" s="3409" t="s">
        <v>2533</v>
      </c>
      <c r="E38" s="3133"/>
      <c r="F38" s="3133"/>
      <c r="G38" s="3133"/>
      <c r="H38" s="3133"/>
      <c r="I38" s="3133"/>
      <c r="J38" s="3133"/>
      <c r="K38" s="3133"/>
      <c r="L38" s="3133"/>
      <c r="M38" s="3132"/>
      <c r="N38" s="3132"/>
      <c r="O38" s="3132"/>
      <c r="P38" s="3132"/>
      <c r="Q38" s="3132"/>
      <c r="R38" s="3132"/>
      <c r="S38" s="3133"/>
      <c r="T38" s="3133"/>
      <c r="U38" s="3133"/>
      <c r="V38" s="3133"/>
      <c r="W38" s="3133"/>
      <c r="X38" s="3133"/>
      <c r="Y38" s="3133"/>
      <c r="Z38" s="3133"/>
      <c r="AA38" s="3133"/>
      <c r="AB38" s="3133"/>
      <c r="AC38" s="3133"/>
      <c r="AD38" s="3133"/>
      <c r="AE38" s="3133"/>
      <c r="AF38" s="3133"/>
      <c r="AG38" s="3133"/>
      <c r="AH38" s="3133"/>
      <c r="AI38" s="3133"/>
      <c r="AJ38" s="3133"/>
      <c r="AK38" s="1706"/>
      <c r="AL38" s="2117"/>
      <c r="AM38" s="3362"/>
      <c r="AN38" s="3171" t="s">
        <v>642</v>
      </c>
      <c r="AO38" s="3141" t="s">
        <v>2298</v>
      </c>
      <c r="AP38" s="2399"/>
      <c r="AQ38" s="2399"/>
      <c r="AR38" s="2399"/>
      <c r="AS38" s="2399"/>
      <c r="AT38" s="2399"/>
      <c r="AU38" s="2399"/>
      <c r="AV38" s="2399"/>
      <c r="AW38" s="2399"/>
      <c r="AX38" s="3170"/>
      <c r="AY38" s="2117"/>
      <c r="AZ38" s="3171" t="s">
        <v>642</v>
      </c>
      <c r="BA38" s="3141" t="s">
        <v>2311</v>
      </c>
      <c r="BB38" s="2399"/>
      <c r="BC38" s="2399"/>
      <c r="BD38" s="2399"/>
      <c r="BE38" s="2399"/>
      <c r="BF38" s="2399"/>
      <c r="BG38" s="2399"/>
      <c r="BH38" s="2399"/>
      <c r="BI38" s="2399"/>
      <c r="BJ38" s="3170"/>
      <c r="BK38" s="2117"/>
    </row>
    <row r="39" spans="1:63" ht="18" customHeight="1">
      <c r="A39" s="1706"/>
      <c r="B39" s="2399"/>
      <c r="C39" s="3135" t="s">
        <v>175</v>
      </c>
      <c r="D39" s="2598" t="s">
        <v>2534</v>
      </c>
      <c r="E39" s="2399"/>
      <c r="F39" s="2399"/>
      <c r="G39" s="2399"/>
      <c r="H39" s="2399"/>
      <c r="I39" s="2399"/>
      <c r="J39" s="2399"/>
      <c r="K39" s="2399"/>
      <c r="L39" s="2399"/>
      <c r="M39" s="2399"/>
      <c r="N39" s="2399"/>
      <c r="O39" s="2399"/>
      <c r="P39" s="2399"/>
      <c r="Q39" s="2399"/>
      <c r="R39" s="2399"/>
      <c r="S39" s="2399"/>
      <c r="T39" s="2399"/>
      <c r="U39" s="2399"/>
      <c r="V39" s="2399"/>
      <c r="W39" s="2399"/>
      <c r="X39" s="2399"/>
      <c r="Y39" s="2399"/>
      <c r="Z39" s="2399"/>
      <c r="AA39" s="2399"/>
      <c r="AB39" s="2399"/>
      <c r="AC39" s="2399"/>
      <c r="AD39" s="2399"/>
      <c r="AE39" s="2399"/>
      <c r="AF39" s="2399"/>
      <c r="AG39" s="2399"/>
      <c r="AH39" s="2399"/>
      <c r="AI39" s="2399"/>
      <c r="AJ39" s="2399"/>
      <c r="AK39" s="1706"/>
      <c r="AL39" s="2117"/>
      <c r="AM39" s="2117"/>
      <c r="AN39" s="3169"/>
      <c r="AO39" s="3141" t="s">
        <v>2299</v>
      </c>
      <c r="AP39" s="2399"/>
      <c r="AQ39" s="2399"/>
      <c r="AR39" s="2399"/>
      <c r="AS39" s="2399"/>
      <c r="AT39" s="2399"/>
      <c r="AU39" s="2399"/>
      <c r="AV39" s="2399"/>
      <c r="AW39" s="2399"/>
      <c r="AX39" s="3170"/>
      <c r="AY39" s="2117"/>
      <c r="AZ39" s="3169"/>
      <c r="BA39" s="3141" t="s">
        <v>2312</v>
      </c>
      <c r="BB39" s="2399"/>
      <c r="BC39" s="2399"/>
      <c r="BD39" s="2399"/>
      <c r="BE39" s="2399"/>
      <c r="BF39" s="2399"/>
      <c r="BG39" s="2399"/>
      <c r="BH39" s="2399"/>
      <c r="BI39" s="2399"/>
      <c r="BJ39" s="3170"/>
      <c r="BK39" s="2117"/>
    </row>
    <row r="40" spans="1:63" ht="15.75">
      <c r="A40" s="1706"/>
      <c r="B40" s="2399"/>
      <c r="C40" s="3135"/>
      <c r="D40" s="3122"/>
      <c r="E40" s="3145" t="s">
        <v>668</v>
      </c>
      <c r="F40" s="2399"/>
      <c r="G40" s="2598" t="s">
        <v>3226</v>
      </c>
      <c r="H40" s="2399"/>
      <c r="I40" s="2598" t="s">
        <v>3227</v>
      </c>
      <c r="J40" s="2399"/>
      <c r="K40" s="2399"/>
      <c r="L40" s="2399"/>
      <c r="M40" s="2399"/>
      <c r="N40" s="2399"/>
      <c r="O40" s="2399"/>
      <c r="P40" s="2399"/>
      <c r="Q40" s="2399"/>
      <c r="R40" s="2399"/>
      <c r="S40" s="2399"/>
      <c r="T40" s="2399"/>
      <c r="U40" s="2399"/>
      <c r="V40" s="2399"/>
      <c r="W40" s="2399"/>
      <c r="X40" s="2399"/>
      <c r="Y40" s="2399"/>
      <c r="Z40" s="3179" t="str">
        <f>IF(OR(AL2&lt;&gt;1,D40&lt;&gt;""),"","X")</f>
        <v>X</v>
      </c>
      <c r="AA40" s="3145" t="s">
        <v>3077</v>
      </c>
      <c r="AB40" s="2399"/>
      <c r="AC40" s="2399"/>
      <c r="AD40" s="2399"/>
      <c r="AE40" s="2399"/>
      <c r="AF40" s="2399"/>
      <c r="AG40" s="2399"/>
      <c r="AH40" s="2399"/>
      <c r="AI40" s="2399"/>
      <c r="AJ40" s="2399"/>
      <c r="AK40" s="1706"/>
      <c r="AL40" s="2117"/>
      <c r="AM40" s="2117"/>
      <c r="AN40" s="3169"/>
      <c r="AO40" s="3142" t="s">
        <v>2300</v>
      </c>
      <c r="AP40" s="2399"/>
      <c r="AQ40" s="2399"/>
      <c r="AR40" s="2399"/>
      <c r="AS40" s="3172" t="s">
        <v>642</v>
      </c>
      <c r="AT40" s="3190">
        <f>IF('1040'!O53&gt;'1040'!AB53,SUM('1040'!O53,-'1040'!AB53),0)</f>
        <v>0</v>
      </c>
      <c r="AU40" s="2399"/>
      <c r="AV40" s="2399"/>
      <c r="AW40" s="2399"/>
      <c r="AX40" s="3170"/>
      <c r="AY40" s="2117"/>
      <c r="AZ40" s="3169"/>
      <c r="BA40" s="3142" t="s">
        <v>2313</v>
      </c>
      <c r="BB40" s="2399"/>
      <c r="BC40" s="2399"/>
      <c r="BD40" s="2399"/>
      <c r="BE40" s="3172" t="s">
        <v>642</v>
      </c>
      <c r="BF40" s="3189"/>
      <c r="BG40" s="2399"/>
      <c r="BH40" s="2399"/>
      <c r="BI40" s="2399"/>
      <c r="BJ40" s="3170"/>
      <c r="BK40" s="2117"/>
    </row>
    <row r="41" spans="1:63">
      <c r="A41" s="1706"/>
      <c r="B41" s="2399"/>
      <c r="C41" s="2399"/>
      <c r="D41" s="2399"/>
      <c r="E41" s="2399"/>
      <c r="F41" s="2399"/>
      <c r="G41" s="2399"/>
      <c r="H41" s="2399"/>
      <c r="I41" s="2399" t="s">
        <v>3225</v>
      </c>
      <c r="J41" s="2399"/>
      <c r="K41" s="2399"/>
      <c r="L41" s="2399"/>
      <c r="M41" s="2399"/>
      <c r="N41" s="2399"/>
      <c r="O41" s="2399"/>
      <c r="P41" s="2399"/>
      <c r="Q41" s="2399"/>
      <c r="R41" s="2399"/>
      <c r="S41" s="2399"/>
      <c r="T41" s="2399"/>
      <c r="U41" s="2399"/>
      <c r="V41" s="2399"/>
      <c r="W41" s="2399"/>
      <c r="X41" s="2399"/>
      <c r="Y41" s="2399"/>
      <c r="Z41" s="2399"/>
      <c r="AA41" s="2399"/>
      <c r="AB41" s="2399"/>
      <c r="AC41" s="2399"/>
      <c r="AD41" s="2399"/>
      <c r="AE41" s="2399"/>
      <c r="AF41" s="2399"/>
      <c r="AG41" s="2399"/>
      <c r="AH41" s="2399"/>
      <c r="AI41" s="2399"/>
      <c r="AJ41" s="2399"/>
      <c r="AK41" s="1706"/>
      <c r="AL41" s="2117"/>
      <c r="AM41" s="2117"/>
      <c r="AN41" s="3169"/>
      <c r="AO41" s="3141"/>
      <c r="AP41" s="2399"/>
      <c r="AQ41" s="2399"/>
      <c r="AR41" s="2399"/>
      <c r="AS41" s="2399"/>
      <c r="AT41" s="2399"/>
      <c r="AU41" s="2399"/>
      <c r="AV41" s="2399"/>
      <c r="AW41" s="2399"/>
      <c r="AX41" s="3170"/>
      <c r="AY41" s="2117"/>
      <c r="AZ41" s="3169"/>
      <c r="BA41" s="3141"/>
      <c r="BB41" s="2399"/>
      <c r="BC41" s="2399"/>
      <c r="BD41" s="2399"/>
      <c r="BE41" s="2399"/>
      <c r="BF41" s="2399"/>
      <c r="BG41" s="2399"/>
      <c r="BH41" s="2399"/>
      <c r="BI41" s="2399"/>
      <c r="BJ41" s="3170"/>
      <c r="BK41" s="2117"/>
    </row>
    <row r="42" spans="1:63" ht="14.25" customHeight="1">
      <c r="A42" s="1706"/>
      <c r="B42" s="2399"/>
      <c r="C42" s="3135" t="s">
        <v>176</v>
      </c>
      <c r="D42" s="2598" t="s">
        <v>2535</v>
      </c>
      <c r="E42" s="2399"/>
      <c r="F42" s="2399"/>
      <c r="G42" s="2399"/>
      <c r="H42" s="2399"/>
      <c r="I42" s="2399"/>
      <c r="J42" s="2399"/>
      <c r="K42" s="2399"/>
      <c r="L42" s="2399"/>
      <c r="M42" s="2399"/>
      <c r="N42" s="2399"/>
      <c r="O42" s="2399"/>
      <c r="P42" s="2399"/>
      <c r="Q42" s="2399"/>
      <c r="R42" s="2399"/>
      <c r="S42" s="2399"/>
      <c r="T42" s="2399"/>
      <c r="U42" s="2399"/>
      <c r="V42" s="2399"/>
      <c r="W42" s="2399"/>
      <c r="X42" s="2399"/>
      <c r="Y42" s="2399"/>
      <c r="Z42" s="2399"/>
      <c r="AA42" s="2399"/>
      <c r="AB42" s="2399"/>
      <c r="AC42" s="2399"/>
      <c r="AD42" s="2399"/>
      <c r="AE42" s="2399"/>
      <c r="AF42" s="2399"/>
      <c r="AG42" s="2399"/>
      <c r="AH42" s="2399"/>
      <c r="AI42" s="2399"/>
      <c r="AJ42" s="2399"/>
      <c r="AK42" s="1706"/>
      <c r="AL42" s="2117"/>
      <c r="AM42" s="2117"/>
      <c r="AN42" s="3169"/>
      <c r="AO42" s="3141"/>
      <c r="AP42" s="2399"/>
      <c r="AQ42" s="2399"/>
      <c r="AR42" s="2399"/>
      <c r="AS42" s="2399"/>
      <c r="AT42" s="2399"/>
      <c r="AU42" s="2399"/>
      <c r="AV42" s="2399"/>
      <c r="AW42" s="2598" t="s">
        <v>150</v>
      </c>
      <c r="AX42" s="3170"/>
      <c r="AY42" s="2117"/>
      <c r="AZ42" s="3169"/>
      <c r="BA42" s="3141"/>
      <c r="BB42" s="2399"/>
      <c r="BC42" s="2399"/>
      <c r="BD42" s="2399"/>
      <c r="BE42" s="2399"/>
      <c r="BF42" s="2399"/>
      <c r="BG42" s="2399"/>
      <c r="BH42" s="2399"/>
      <c r="BI42" s="2598" t="s">
        <v>150</v>
      </c>
      <c r="BJ42" s="3170"/>
      <c r="BK42" s="2117"/>
    </row>
    <row r="43" spans="1:63" ht="15.75">
      <c r="A43" s="1706"/>
      <c r="B43" s="2399"/>
      <c r="C43" s="3135"/>
      <c r="D43" s="3122"/>
      <c r="E43" s="2598" t="s">
        <v>3076</v>
      </c>
      <c r="F43" s="2399"/>
      <c r="G43" s="2399"/>
      <c r="H43" s="2399"/>
      <c r="I43" s="2399"/>
      <c r="J43" s="2399"/>
      <c r="K43" s="2399"/>
      <c r="L43" s="2399"/>
      <c r="M43" s="2399"/>
      <c r="N43" s="2399"/>
      <c r="O43" s="2399"/>
      <c r="P43" s="2399"/>
      <c r="Q43" s="2399"/>
      <c r="R43" s="2399"/>
      <c r="S43" s="2399"/>
      <c r="T43" s="2399"/>
      <c r="U43" s="2399"/>
      <c r="V43" s="2399"/>
      <c r="W43" s="2399"/>
      <c r="X43" s="2399"/>
      <c r="Y43" s="2399"/>
      <c r="Z43" s="3179" t="str">
        <f>IF(OR(AL2&lt;&gt;1,D43&lt;&gt;""),"","X")</f>
        <v>X</v>
      </c>
      <c r="AA43" s="2598" t="s">
        <v>2536</v>
      </c>
      <c r="AB43" s="2399"/>
      <c r="AC43" s="2399"/>
      <c r="AD43" s="2399"/>
      <c r="AE43" s="2399"/>
      <c r="AF43" s="2399"/>
      <c r="AG43" s="2399"/>
      <c r="AH43" s="2399"/>
      <c r="AI43" s="2399"/>
      <c r="AJ43" s="2399"/>
      <c r="AK43" s="1706"/>
      <c r="AL43" s="2117"/>
      <c r="AM43" s="2117"/>
      <c r="AN43" s="3171" t="s">
        <v>53</v>
      </c>
      <c r="AO43" s="3141" t="s">
        <v>3329</v>
      </c>
      <c r="AP43" s="2399"/>
      <c r="AQ43" s="2399"/>
      <c r="AR43" s="2399"/>
      <c r="AS43" s="2399"/>
      <c r="AT43" s="3172" t="s">
        <v>53</v>
      </c>
      <c r="AU43" s="3190">
        <f>IF(AW43&lt;&gt;"",ROUND(AW43,0),ROUND(SUM(AU25,AT30,AT34,AT40),0))</f>
        <v>0</v>
      </c>
      <c r="AV43" s="2399"/>
      <c r="AW43" s="3415"/>
      <c r="AX43" s="3422"/>
      <c r="AY43" s="2117"/>
      <c r="AZ43" s="3171" t="s">
        <v>53</v>
      </c>
      <c r="BA43" s="3141" t="s">
        <v>3329</v>
      </c>
      <c r="BB43" s="2399"/>
      <c r="BC43" s="2399"/>
      <c r="BD43" s="2399"/>
      <c r="BE43" s="2399"/>
      <c r="BF43" s="3172" t="s">
        <v>53</v>
      </c>
      <c r="BG43" s="3188">
        <f>IF(BI43&lt;&gt;"",ROUND(BI43,0),ROUND(SUM(BG26,BF31,BF36,BF40),0))</f>
        <v>0</v>
      </c>
      <c r="BH43" s="2399"/>
      <c r="BI43" s="3415"/>
      <c r="BJ43" s="3422"/>
      <c r="BK43" s="2117"/>
    </row>
    <row r="44" spans="1:63">
      <c r="A44" s="1706"/>
      <c r="B44" s="2399"/>
      <c r="C44" s="2399"/>
      <c r="D44" s="2399"/>
      <c r="E44" s="2399" t="s">
        <v>2235</v>
      </c>
      <c r="F44" s="2399"/>
      <c r="G44" s="2399"/>
      <c r="H44" s="2399"/>
      <c r="I44" s="2399"/>
      <c r="J44" s="2399"/>
      <c r="K44" s="2399"/>
      <c r="L44" s="2399"/>
      <c r="M44" s="2399"/>
      <c r="N44" s="2399"/>
      <c r="O44" s="2399"/>
      <c r="P44" s="2399"/>
      <c r="Q44" s="2399"/>
      <c r="R44" s="2399"/>
      <c r="S44" s="2399"/>
      <c r="T44" s="2399"/>
      <c r="U44" s="2399"/>
      <c r="V44" s="2399"/>
      <c r="W44" s="2399"/>
      <c r="X44" s="2399"/>
      <c r="Y44" s="2399"/>
      <c r="Z44" s="2399"/>
      <c r="AA44" s="2399" t="s">
        <v>2236</v>
      </c>
      <c r="AB44" s="2399"/>
      <c r="AC44" s="2399"/>
      <c r="AD44" s="2399"/>
      <c r="AE44" s="2399"/>
      <c r="AF44" s="2399"/>
      <c r="AG44" s="2399"/>
      <c r="AH44" s="2399"/>
      <c r="AI44" s="2399"/>
      <c r="AJ44" s="2399"/>
      <c r="AK44" s="1706"/>
      <c r="AL44" s="2117"/>
      <c r="AM44" s="2117"/>
      <c r="AN44" s="3171"/>
      <c r="AO44" s="3141" t="s">
        <v>3328</v>
      </c>
      <c r="AP44" s="2399"/>
      <c r="AQ44" s="2399"/>
      <c r="AR44" s="2399"/>
      <c r="AS44" s="2399"/>
      <c r="AT44" s="2399"/>
      <c r="AU44" s="2399"/>
      <c r="AV44" s="2399"/>
      <c r="AW44" s="2399"/>
      <c r="AX44" s="3422"/>
      <c r="AY44" s="2117"/>
      <c r="AZ44" s="3171"/>
      <c r="BA44" s="3141" t="s">
        <v>3331</v>
      </c>
      <c r="BB44" s="2399"/>
      <c r="BC44" s="2399"/>
      <c r="BD44" s="2399"/>
      <c r="BE44" s="2399"/>
      <c r="BF44" s="2399"/>
      <c r="BG44" s="2399"/>
      <c r="BH44" s="2399"/>
      <c r="BI44" s="2399"/>
      <c r="BJ44" s="3422"/>
      <c r="BK44" s="2117"/>
    </row>
    <row r="45" spans="1:63" ht="12.75" customHeight="1">
      <c r="A45" s="1706"/>
      <c r="B45" s="3132"/>
      <c r="C45" s="3132"/>
      <c r="D45" s="3132"/>
      <c r="E45" s="3132"/>
      <c r="F45" s="3132"/>
      <c r="G45" s="3132"/>
      <c r="H45" s="3132"/>
      <c r="I45" s="3132"/>
      <c r="J45" s="3132"/>
      <c r="K45" s="3132"/>
      <c r="L45" s="3132"/>
      <c r="M45" s="3132"/>
      <c r="N45" s="3132"/>
      <c r="O45" s="3132"/>
      <c r="P45" s="3132"/>
      <c r="Q45" s="3132"/>
      <c r="R45" s="3132"/>
      <c r="S45" s="3132"/>
      <c r="T45" s="3132"/>
      <c r="U45" s="3132"/>
      <c r="V45" s="3132"/>
      <c r="W45" s="3132"/>
      <c r="X45" s="3132"/>
      <c r="Y45" s="3132"/>
      <c r="Z45" s="3132"/>
      <c r="AA45" s="3132"/>
      <c r="AB45" s="3132"/>
      <c r="AC45" s="3132"/>
      <c r="AD45" s="3132"/>
      <c r="AE45" s="3132"/>
      <c r="AF45" s="3132"/>
      <c r="AG45" s="3132"/>
      <c r="AH45" s="3132"/>
      <c r="AI45" s="3132"/>
      <c r="AJ45" s="3132"/>
      <c r="AK45" s="1706"/>
      <c r="AL45" s="2117"/>
      <c r="AM45" s="2117"/>
      <c r="AN45" s="3173"/>
      <c r="AO45" s="3154"/>
      <c r="AP45" s="3132"/>
      <c r="AQ45" s="3132"/>
      <c r="AR45" s="3132"/>
      <c r="AS45" s="3132"/>
      <c r="AT45" s="3132"/>
      <c r="AU45" s="3132"/>
      <c r="AV45" s="2399"/>
      <c r="AW45" s="3132"/>
      <c r="AX45" s="3170"/>
      <c r="AY45" s="2117"/>
      <c r="AZ45" s="3173"/>
      <c r="BA45" s="3154"/>
      <c r="BB45" s="3132"/>
      <c r="BC45" s="3132"/>
      <c r="BD45" s="3132"/>
      <c r="BE45" s="3132"/>
      <c r="BF45" s="3132"/>
      <c r="BG45" s="3132"/>
      <c r="BH45" s="3132"/>
      <c r="BI45" s="3132"/>
      <c r="BJ45" s="3170"/>
      <c r="BK45" s="2117"/>
    </row>
    <row r="46" spans="1:63" ht="5.25" customHeight="1">
      <c r="A46" s="1706"/>
      <c r="B46" s="6509" t="s">
        <v>2237</v>
      </c>
      <c r="C46" s="6510"/>
      <c r="D46" s="6510"/>
      <c r="E46" s="6510"/>
      <c r="F46" s="6510"/>
      <c r="G46" s="6512" t="s">
        <v>2560</v>
      </c>
      <c r="H46" s="6513"/>
      <c r="I46" s="6513"/>
      <c r="J46" s="6513"/>
      <c r="K46" s="6513"/>
      <c r="L46" s="6512" t="s">
        <v>2538</v>
      </c>
      <c r="M46" s="6513"/>
      <c r="N46" s="6513"/>
      <c r="O46" s="6513"/>
      <c r="P46" s="6513"/>
      <c r="Q46" s="6512" t="s">
        <v>2537</v>
      </c>
      <c r="R46" s="6513"/>
      <c r="S46" s="6513"/>
      <c r="T46" s="6513"/>
      <c r="U46" s="6513"/>
      <c r="V46" s="6512" t="s">
        <v>2563</v>
      </c>
      <c r="W46" s="6513"/>
      <c r="X46" s="6513"/>
      <c r="Y46" s="6513"/>
      <c r="Z46" s="6513"/>
      <c r="AA46" s="6512" t="s">
        <v>2565</v>
      </c>
      <c r="AB46" s="6513"/>
      <c r="AC46" s="6513"/>
      <c r="AD46" s="6513"/>
      <c r="AE46" s="6513"/>
      <c r="AF46" s="6512" t="s">
        <v>2567</v>
      </c>
      <c r="AG46" s="6513"/>
      <c r="AH46" s="6513"/>
      <c r="AI46" s="6513"/>
      <c r="AJ46" s="6515"/>
      <c r="AK46" s="1706"/>
      <c r="AL46" s="2117"/>
      <c r="AM46" s="2117"/>
      <c r="AN46" s="6520" t="s">
        <v>2558</v>
      </c>
      <c r="AO46" s="5986"/>
      <c r="AP46" s="5986"/>
      <c r="AQ46" s="5986"/>
      <c r="AR46" s="5986"/>
      <c r="AS46" s="5986"/>
      <c r="AT46" s="5986"/>
      <c r="AU46" s="5986"/>
      <c r="AV46" s="5986"/>
      <c r="AW46" s="5986"/>
      <c r="AX46" s="3425"/>
      <c r="AY46" s="2117"/>
      <c r="AZ46" s="6520" t="s">
        <v>2559</v>
      </c>
      <c r="BA46" s="5986"/>
      <c r="BB46" s="5986"/>
      <c r="BC46" s="5986"/>
      <c r="BD46" s="5986"/>
      <c r="BE46" s="5986"/>
      <c r="BF46" s="5986"/>
      <c r="BG46" s="5986"/>
      <c r="BH46" s="5986"/>
      <c r="BI46" s="5986"/>
      <c r="BJ46" s="3425"/>
      <c r="BK46" s="2117"/>
    </row>
    <row r="47" spans="1:63">
      <c r="A47" s="1706"/>
      <c r="B47" s="6511"/>
      <c r="C47" s="6511"/>
      <c r="D47" s="6511"/>
      <c r="E47" s="6511"/>
      <c r="F47" s="6511"/>
      <c r="G47" s="6514"/>
      <c r="H47" s="6514"/>
      <c r="I47" s="6514"/>
      <c r="J47" s="6514"/>
      <c r="K47" s="6514"/>
      <c r="L47" s="6514"/>
      <c r="M47" s="6514"/>
      <c r="N47" s="6514"/>
      <c r="O47" s="6514"/>
      <c r="P47" s="6514"/>
      <c r="Q47" s="6514"/>
      <c r="R47" s="6514"/>
      <c r="S47" s="6514"/>
      <c r="T47" s="6514"/>
      <c r="U47" s="6514"/>
      <c r="V47" s="6514"/>
      <c r="W47" s="6514"/>
      <c r="X47" s="6514"/>
      <c r="Y47" s="6514"/>
      <c r="Z47" s="6514"/>
      <c r="AA47" s="6514"/>
      <c r="AB47" s="6514"/>
      <c r="AC47" s="6514"/>
      <c r="AD47" s="6514"/>
      <c r="AE47" s="6514"/>
      <c r="AF47" s="6514"/>
      <c r="AG47" s="6514"/>
      <c r="AH47" s="6514"/>
      <c r="AI47" s="6514"/>
      <c r="AJ47" s="6516"/>
      <c r="AK47" s="1706"/>
      <c r="AL47" s="2117"/>
      <c r="AM47" s="2574"/>
      <c r="AN47" s="5988"/>
      <c r="AO47" s="5989"/>
      <c r="AP47" s="5989"/>
      <c r="AQ47" s="5989"/>
      <c r="AR47" s="5989"/>
      <c r="AS47" s="5989"/>
      <c r="AT47" s="5989"/>
      <c r="AU47" s="5989"/>
      <c r="AV47" s="5989"/>
      <c r="AW47" s="6521"/>
      <c r="AX47" s="3423"/>
      <c r="AY47" s="2117"/>
      <c r="AZ47" s="5988"/>
      <c r="BA47" s="5989"/>
      <c r="BB47" s="5989"/>
      <c r="BC47" s="5989"/>
      <c r="BD47" s="5989"/>
      <c r="BE47" s="5989"/>
      <c r="BF47" s="5989"/>
      <c r="BG47" s="5989"/>
      <c r="BH47" s="5989"/>
      <c r="BI47" s="6521"/>
      <c r="BJ47" s="3423"/>
      <c r="BK47" s="2117"/>
    </row>
    <row r="48" spans="1:63">
      <c r="A48" s="1706"/>
      <c r="B48" s="6511"/>
      <c r="C48" s="6511"/>
      <c r="D48" s="6511"/>
      <c r="E48" s="6511"/>
      <c r="F48" s="6511"/>
      <c r="G48" s="6514"/>
      <c r="H48" s="6514"/>
      <c r="I48" s="6514"/>
      <c r="J48" s="6514"/>
      <c r="K48" s="6514"/>
      <c r="L48" s="6514"/>
      <c r="M48" s="6514"/>
      <c r="N48" s="6514"/>
      <c r="O48" s="6514"/>
      <c r="P48" s="6514"/>
      <c r="Q48" s="6514"/>
      <c r="R48" s="6514"/>
      <c r="S48" s="6514"/>
      <c r="T48" s="6514"/>
      <c r="U48" s="6514"/>
      <c r="V48" s="6514"/>
      <c r="W48" s="6514"/>
      <c r="X48" s="6514"/>
      <c r="Y48" s="6514"/>
      <c r="Z48" s="6514"/>
      <c r="AA48" s="6514"/>
      <c r="AB48" s="6514"/>
      <c r="AC48" s="6514"/>
      <c r="AD48" s="6514"/>
      <c r="AE48" s="6514"/>
      <c r="AF48" s="6514"/>
      <c r="AG48" s="6514"/>
      <c r="AH48" s="6514"/>
      <c r="AI48" s="6514"/>
      <c r="AJ48" s="6516"/>
      <c r="AK48" s="1706"/>
      <c r="AL48" s="2117"/>
      <c r="AM48" s="2574"/>
      <c r="AN48" s="5988"/>
      <c r="AO48" s="5989"/>
      <c r="AP48" s="5989"/>
      <c r="AQ48" s="5989"/>
      <c r="AR48" s="5989"/>
      <c r="AS48" s="5989"/>
      <c r="AT48" s="5989"/>
      <c r="AU48" s="5989"/>
      <c r="AV48" s="5989"/>
      <c r="AW48" s="6521"/>
      <c r="AX48" s="3423"/>
      <c r="AY48" s="2117"/>
      <c r="AZ48" s="5988"/>
      <c r="BA48" s="5989"/>
      <c r="BB48" s="5989"/>
      <c r="BC48" s="5989"/>
      <c r="BD48" s="5989"/>
      <c r="BE48" s="5989"/>
      <c r="BF48" s="5989"/>
      <c r="BG48" s="5989"/>
      <c r="BH48" s="5989"/>
      <c r="BI48" s="6521"/>
      <c r="BJ48" s="3423"/>
      <c r="BK48" s="2117"/>
    </row>
    <row r="49" spans="1:74">
      <c r="A49" s="1706"/>
      <c r="B49" s="6511"/>
      <c r="C49" s="6511"/>
      <c r="D49" s="6511"/>
      <c r="E49" s="6511"/>
      <c r="F49" s="6511"/>
      <c r="G49" s="6514"/>
      <c r="H49" s="6514"/>
      <c r="I49" s="6514"/>
      <c r="J49" s="6514"/>
      <c r="K49" s="6514"/>
      <c r="L49" s="6514"/>
      <c r="M49" s="6514"/>
      <c r="N49" s="6514"/>
      <c r="O49" s="6514"/>
      <c r="P49" s="6514"/>
      <c r="Q49" s="6514"/>
      <c r="R49" s="6514"/>
      <c r="S49" s="6514"/>
      <c r="T49" s="6514"/>
      <c r="U49" s="6514"/>
      <c r="V49" s="6514"/>
      <c r="W49" s="6514"/>
      <c r="X49" s="6514"/>
      <c r="Y49" s="6514"/>
      <c r="Z49" s="6514"/>
      <c r="AA49" s="6514"/>
      <c r="AB49" s="6514"/>
      <c r="AC49" s="6514"/>
      <c r="AD49" s="6514"/>
      <c r="AE49" s="6514"/>
      <c r="AF49" s="6514"/>
      <c r="AG49" s="6514"/>
      <c r="AH49" s="6514"/>
      <c r="AI49" s="6514"/>
      <c r="AJ49" s="6516"/>
      <c r="AK49" s="1706"/>
      <c r="AL49" s="2117"/>
      <c r="AM49" s="2574"/>
      <c r="AN49" s="6522"/>
      <c r="AO49" s="6523"/>
      <c r="AP49" s="6523"/>
      <c r="AQ49" s="6523"/>
      <c r="AR49" s="6523"/>
      <c r="AS49" s="6523"/>
      <c r="AT49" s="6523"/>
      <c r="AU49" s="6523"/>
      <c r="AV49" s="6523"/>
      <c r="AW49" s="6523"/>
      <c r="AX49" s="3424"/>
      <c r="AY49" s="2117"/>
      <c r="AZ49" s="6522"/>
      <c r="BA49" s="6523"/>
      <c r="BB49" s="6523"/>
      <c r="BC49" s="6523"/>
      <c r="BD49" s="6523"/>
      <c r="BE49" s="6523"/>
      <c r="BF49" s="6523"/>
      <c r="BG49" s="6523"/>
      <c r="BH49" s="6523"/>
      <c r="BI49" s="6523"/>
      <c r="BJ49" s="3424"/>
      <c r="BK49" s="2117"/>
      <c r="BO49" s="3458"/>
      <c r="BP49" s="3458"/>
      <c r="BQ49" s="3458"/>
      <c r="BR49" s="3458"/>
      <c r="BS49" s="3458"/>
      <c r="BT49" s="3458"/>
      <c r="BU49" s="3458"/>
      <c r="BV49" s="3458"/>
    </row>
    <row r="50" spans="1:74" ht="15">
      <c r="A50" s="1706"/>
      <c r="B50" s="3149" t="s">
        <v>1233</v>
      </c>
      <c r="C50" s="3150"/>
      <c r="D50" s="6517" t="s">
        <v>2239</v>
      </c>
      <c r="E50" s="6517"/>
      <c r="F50" s="6517"/>
      <c r="G50" s="6505"/>
      <c r="H50" s="6505"/>
      <c r="I50" s="6505"/>
      <c r="J50" s="6505"/>
      <c r="K50" s="6505"/>
      <c r="L50" s="6505"/>
      <c r="M50" s="6505"/>
      <c r="N50" s="6505"/>
      <c r="O50" s="6505"/>
      <c r="P50" s="6505"/>
      <c r="Q50" s="6506" t="str">
        <f>IF(OR(D40&lt;&gt;"",D43="",D31="X"),"",IF(M37&lt;&gt;"",M37,""))</f>
        <v/>
      </c>
      <c r="R50" s="6507"/>
      <c r="S50" s="6507"/>
      <c r="T50" s="6507"/>
      <c r="U50" s="6508"/>
      <c r="V50" s="6493" t="str">
        <f>IF(OR(D40&lt;&gt;"",D43="",G50="",L50="",D31="X"),"",IF(Q50="",L50,IF(SUM(L50,-Q50)&lt;0,0,SUM(L50,-Q50))))</f>
        <v/>
      </c>
      <c r="W50" s="6493"/>
      <c r="X50" s="6493"/>
      <c r="Y50" s="6493"/>
      <c r="Z50" s="6493"/>
      <c r="AA50" s="6493" t="str">
        <f>IF(OR(D40&lt;&gt;"",D43="",D31="X"),"",IF(AND(G50&lt;&gt;"",L50&lt;&gt;""),MIN(G50,V50),""))</f>
        <v/>
      </c>
      <c r="AB50" s="6493"/>
      <c r="AC50" s="6493"/>
      <c r="AD50" s="6493"/>
      <c r="AE50" s="6493"/>
      <c r="AF50" s="6505"/>
      <c r="AG50" s="6505"/>
      <c r="AH50" s="6505"/>
      <c r="AI50" s="6505"/>
      <c r="AJ50" s="6569"/>
      <c r="AK50" s="1706"/>
      <c r="AM50" s="2613"/>
      <c r="AN50" s="2117"/>
      <c r="AO50" s="2117"/>
      <c r="AP50" s="2117"/>
      <c r="AQ50" s="2117"/>
      <c r="AR50" s="2117"/>
      <c r="AS50" s="2117"/>
      <c r="AT50" s="2117"/>
      <c r="AU50" s="2117"/>
      <c r="AV50" s="2117"/>
      <c r="AW50" s="2117"/>
      <c r="AX50" s="2117"/>
      <c r="AY50" s="2117"/>
      <c r="AZ50" s="2117"/>
      <c r="BA50" s="2117"/>
      <c r="BB50" s="2117"/>
      <c r="BC50" s="2117"/>
      <c r="BD50" s="2117"/>
      <c r="BE50" s="2117"/>
      <c r="BF50" s="2117"/>
      <c r="BG50" s="2117"/>
      <c r="BH50" s="2117"/>
      <c r="BI50" s="2117"/>
      <c r="BJ50" s="2117"/>
      <c r="BK50" s="2117"/>
      <c r="BO50" s="3458"/>
      <c r="BP50" s="3458"/>
      <c r="BQ50" s="3458"/>
      <c r="BR50" s="3458"/>
      <c r="BS50" s="3458"/>
      <c r="BT50" s="3458"/>
      <c r="BU50" s="3458"/>
      <c r="BV50" s="3458"/>
    </row>
    <row r="51" spans="1:74">
      <c r="A51" s="1706"/>
      <c r="B51" s="6509" t="s">
        <v>2238</v>
      </c>
      <c r="C51" s="6510"/>
      <c r="D51" s="6510"/>
      <c r="E51" s="6510"/>
      <c r="F51" s="6510"/>
      <c r="G51" s="6512" t="s">
        <v>2561</v>
      </c>
      <c r="H51" s="6513"/>
      <c r="I51" s="6513"/>
      <c r="J51" s="6513"/>
      <c r="K51" s="6513"/>
      <c r="L51" s="6512" t="s">
        <v>2562</v>
      </c>
      <c r="M51" s="6513"/>
      <c r="N51" s="6513"/>
      <c r="O51" s="6513"/>
      <c r="P51" s="6513"/>
      <c r="Q51" s="6512" t="s">
        <v>3228</v>
      </c>
      <c r="R51" s="6513"/>
      <c r="S51" s="6513"/>
      <c r="T51" s="6513"/>
      <c r="U51" s="6513"/>
      <c r="V51" s="6512" t="s">
        <v>2564</v>
      </c>
      <c r="W51" s="6513"/>
      <c r="X51" s="6513"/>
      <c r="Y51" s="6513"/>
      <c r="Z51" s="6513"/>
      <c r="AA51" s="6512" t="s">
        <v>2566</v>
      </c>
      <c r="AB51" s="6513"/>
      <c r="AC51" s="6513"/>
      <c r="AD51" s="6513"/>
      <c r="AE51" s="6513"/>
      <c r="AF51" s="6512" t="s">
        <v>2568</v>
      </c>
      <c r="AG51" s="6513"/>
      <c r="AH51" s="6513"/>
      <c r="AI51" s="6513"/>
      <c r="AJ51" s="6515"/>
      <c r="AK51" s="1706"/>
      <c r="AL51" s="1473"/>
      <c r="AM51" s="3357"/>
      <c r="AN51" s="2613" t="s">
        <v>2448</v>
      </c>
      <c r="BO51" s="3458"/>
      <c r="BP51" s="3458"/>
      <c r="BQ51" s="3458"/>
      <c r="BR51" s="3458"/>
      <c r="BS51" s="3458"/>
      <c r="BT51" s="3458"/>
      <c r="BU51" s="3458"/>
      <c r="BV51" s="3458"/>
    </row>
    <row r="52" spans="1:74" ht="16.5" customHeight="1">
      <c r="A52" s="1706"/>
      <c r="B52" s="6511"/>
      <c r="C52" s="6511"/>
      <c r="D52" s="6511"/>
      <c r="E52" s="6511"/>
      <c r="F52" s="6511"/>
      <c r="G52" s="6514"/>
      <c r="H52" s="6514"/>
      <c r="I52" s="6514"/>
      <c r="J52" s="6514"/>
      <c r="K52" s="6514"/>
      <c r="L52" s="6514"/>
      <c r="M52" s="6514"/>
      <c r="N52" s="6514"/>
      <c r="O52" s="6514"/>
      <c r="P52" s="6514"/>
      <c r="Q52" s="6514"/>
      <c r="R52" s="6514"/>
      <c r="S52" s="6514"/>
      <c r="T52" s="6514"/>
      <c r="U52" s="6514"/>
      <c r="V52" s="6514"/>
      <c r="W52" s="6514"/>
      <c r="X52" s="6514"/>
      <c r="Y52" s="6514"/>
      <c r="Z52" s="6514"/>
      <c r="AA52" s="6514"/>
      <c r="AB52" s="6514"/>
      <c r="AC52" s="6514"/>
      <c r="AD52" s="6514"/>
      <c r="AE52" s="6514"/>
      <c r="AF52" s="6514"/>
      <c r="AG52" s="6514"/>
      <c r="AH52" s="6514"/>
      <c r="AI52" s="6514"/>
      <c r="AJ52" s="6516"/>
      <c r="AK52" s="1706"/>
      <c r="AL52" s="1473"/>
      <c r="AM52" s="3357"/>
      <c r="AN52" s="2613" t="s">
        <v>2445</v>
      </c>
      <c r="BO52" s="3458"/>
      <c r="BP52" s="3458"/>
      <c r="BQ52" s="3458"/>
      <c r="BR52" s="3458"/>
      <c r="BS52" s="3458"/>
      <c r="BT52" s="3458"/>
      <c r="BU52" s="3458"/>
      <c r="BV52" s="3458"/>
    </row>
    <row r="53" spans="1:74" ht="16.5" customHeight="1">
      <c r="A53" s="1706"/>
      <c r="B53" s="6511"/>
      <c r="C53" s="6511"/>
      <c r="D53" s="6511"/>
      <c r="E53" s="6511"/>
      <c r="F53" s="6511"/>
      <c r="G53" s="6514"/>
      <c r="H53" s="6514"/>
      <c r="I53" s="6514"/>
      <c r="J53" s="6514"/>
      <c r="K53" s="6514"/>
      <c r="L53" s="6514"/>
      <c r="M53" s="6514"/>
      <c r="N53" s="6514"/>
      <c r="O53" s="6514"/>
      <c r="P53" s="6514"/>
      <c r="Q53" s="6514"/>
      <c r="R53" s="6514"/>
      <c r="S53" s="6514"/>
      <c r="T53" s="6514"/>
      <c r="U53" s="6514"/>
      <c r="V53" s="6514"/>
      <c r="W53" s="6514"/>
      <c r="X53" s="6514"/>
      <c r="Y53" s="6514"/>
      <c r="Z53" s="6514"/>
      <c r="AA53" s="6514"/>
      <c r="AB53" s="6514"/>
      <c r="AC53" s="6514"/>
      <c r="AD53" s="6514"/>
      <c r="AE53" s="6514"/>
      <c r="AF53" s="6514"/>
      <c r="AG53" s="6514"/>
      <c r="AH53" s="6514"/>
      <c r="AI53" s="6514"/>
      <c r="AJ53" s="6516"/>
      <c r="AK53" s="1706"/>
      <c r="AM53" s="3357"/>
      <c r="AN53" s="2613" t="s">
        <v>2446</v>
      </c>
      <c r="AY53" s="6542" t="s">
        <v>3333</v>
      </c>
      <c r="AZ53" s="4563"/>
      <c r="BA53" s="4563"/>
      <c r="BB53" s="4563"/>
      <c r="BC53" s="3458"/>
      <c r="BD53" s="3458"/>
      <c r="BE53" s="3458"/>
      <c r="BF53" s="3458"/>
      <c r="BG53" s="3458"/>
      <c r="BH53" s="3458"/>
      <c r="BI53" s="3458"/>
      <c r="BJ53" s="3458"/>
      <c r="BL53" s="64"/>
      <c r="BM53" s="64"/>
    </row>
    <row r="54" spans="1:74" ht="16.5" customHeight="1">
      <c r="A54" s="1706"/>
      <c r="B54" s="6511"/>
      <c r="C54" s="6511"/>
      <c r="D54" s="6511"/>
      <c r="E54" s="6511"/>
      <c r="F54" s="6511"/>
      <c r="G54" s="6514"/>
      <c r="H54" s="6514"/>
      <c r="I54" s="6514"/>
      <c r="J54" s="6514"/>
      <c r="K54" s="6514"/>
      <c r="L54" s="6514"/>
      <c r="M54" s="6514"/>
      <c r="N54" s="6514"/>
      <c r="O54" s="6514"/>
      <c r="P54" s="6514"/>
      <c r="Q54" s="6514"/>
      <c r="R54" s="6514"/>
      <c r="S54" s="6514"/>
      <c r="T54" s="6514"/>
      <c r="U54" s="6514"/>
      <c r="V54" s="6514"/>
      <c r="W54" s="6514"/>
      <c r="X54" s="6514"/>
      <c r="Y54" s="6514"/>
      <c r="Z54" s="6514"/>
      <c r="AA54" s="6514"/>
      <c r="AB54" s="6514"/>
      <c r="AC54" s="6514"/>
      <c r="AD54" s="6514"/>
      <c r="AE54" s="6514"/>
      <c r="AF54" s="6514"/>
      <c r="AG54" s="6514"/>
      <c r="AH54" s="6514"/>
      <c r="AI54" s="6514"/>
      <c r="AJ54" s="6516"/>
      <c r="AK54" s="1706"/>
      <c r="AN54" s="2613" t="s">
        <v>2447</v>
      </c>
      <c r="AO54" s="3430" t="s">
        <v>2553</v>
      </c>
      <c r="AP54" s="3431"/>
      <c r="AQ54" s="3431"/>
      <c r="AR54" s="3432"/>
      <c r="AZ54" s="4009">
        <v>0</v>
      </c>
      <c r="BA54" s="4010">
        <v>2.0299999999999999E-2</v>
      </c>
      <c r="BC54" s="3458"/>
      <c r="BD54" s="3458"/>
      <c r="BE54" s="3458"/>
      <c r="BF54" s="3458"/>
      <c r="BG54" s="3458"/>
      <c r="BH54" s="3458"/>
      <c r="BI54" s="3458"/>
      <c r="BJ54" s="3458"/>
      <c r="BL54" s="64"/>
      <c r="BM54" s="64"/>
    </row>
    <row r="55" spans="1:74" ht="16.5" customHeight="1">
      <c r="A55" s="1706"/>
      <c r="B55" s="3149" t="s">
        <v>355</v>
      </c>
      <c r="C55" s="3150"/>
      <c r="D55" s="6504" t="s">
        <v>2240</v>
      </c>
      <c r="E55" s="6504"/>
      <c r="F55" s="6504"/>
      <c r="G55" s="6505"/>
      <c r="H55" s="6505"/>
      <c r="I55" s="6505"/>
      <c r="J55" s="6505"/>
      <c r="K55" s="6505"/>
      <c r="L55" s="6505"/>
      <c r="M55" s="6505"/>
      <c r="N55" s="6505"/>
      <c r="O55" s="6505"/>
      <c r="P55" s="6505"/>
      <c r="Q55" s="6506" t="str">
        <f>IF(OR(G55="",L55="",$D$40&lt;&gt;"",$D$43&lt;&gt;"",$D$31="X"),"",$AE$37)</f>
        <v/>
      </c>
      <c r="R55" s="6507"/>
      <c r="S55" s="6507"/>
      <c r="T55" s="6507"/>
      <c r="U55" s="6508"/>
      <c r="V55" s="6493" t="str">
        <f>IF(OR(G55="",L55="",$D$40&lt;&gt;"",$D$43&lt;&gt;"",$D$31="X"),"",IF(Q55="",L55,IF(SUM(L55,-Q55)&lt;0,0,SUM(L55,-Q55))))</f>
        <v/>
      </c>
      <c r="W55" s="6493"/>
      <c r="X55" s="6493"/>
      <c r="Y55" s="6493"/>
      <c r="Z55" s="6493"/>
      <c r="AA55" s="6493" t="str">
        <f>IF(OR(G55="",L55="",$D$40&lt;&gt;"",$D$43&lt;&gt;"",$D$31="X"),"",MIN(G55,V55))</f>
        <v/>
      </c>
      <c r="AB55" s="6493"/>
      <c r="AC55" s="6493"/>
      <c r="AD55" s="6493"/>
      <c r="AE55" s="6493"/>
      <c r="AF55" s="6494"/>
      <c r="AG55" s="6494"/>
      <c r="AH55" s="6494"/>
      <c r="AI55" s="6494"/>
      <c r="AJ55" s="6495"/>
      <c r="AK55" s="1706"/>
      <c r="AO55" s="3433"/>
      <c r="AP55" s="3428" t="s">
        <v>2551</v>
      </c>
      <c r="AQ55" s="3428" t="s">
        <v>2231</v>
      </c>
      <c r="AR55" s="3429" t="s">
        <v>2232</v>
      </c>
      <c r="AZ55" s="4011">
        <v>133</v>
      </c>
      <c r="BA55" s="4012">
        <v>3.0499999999999999E-2</v>
      </c>
      <c r="BC55" s="3458"/>
      <c r="BD55" s="3458"/>
      <c r="BE55" s="3458"/>
      <c r="BF55" s="3458"/>
      <c r="BG55" s="3458"/>
      <c r="BH55" s="3458"/>
      <c r="BI55" s="3458"/>
      <c r="BJ55" s="3458"/>
      <c r="BL55" s="64"/>
      <c r="BM55" s="64"/>
    </row>
    <row r="56" spans="1:74" ht="14.25" customHeight="1">
      <c r="A56" s="1706"/>
      <c r="B56" s="3149" t="s">
        <v>1237</v>
      </c>
      <c r="C56" s="3150"/>
      <c r="D56" s="6504" t="s">
        <v>2241</v>
      </c>
      <c r="E56" s="6504"/>
      <c r="F56" s="6504"/>
      <c r="G56" s="6505"/>
      <c r="H56" s="6505"/>
      <c r="I56" s="6505"/>
      <c r="J56" s="6505"/>
      <c r="K56" s="6505"/>
      <c r="L56" s="6505"/>
      <c r="M56" s="6505"/>
      <c r="N56" s="6505"/>
      <c r="O56" s="6505"/>
      <c r="P56" s="6505"/>
      <c r="Q56" s="6506" t="str">
        <f t="shared" ref="Q56:Q66" si="0">IF(OR(G56="",L56="",$D$40&lt;&gt;"",$D$43&lt;&gt;"",$D$31="X"),"",$AE$37)</f>
        <v/>
      </c>
      <c r="R56" s="6507"/>
      <c r="S56" s="6507"/>
      <c r="T56" s="6507"/>
      <c r="U56" s="6508"/>
      <c r="V56" s="6493" t="str">
        <f t="shared" ref="V56:V66" si="1">IF(OR(G56="",L56="",$D$40&lt;&gt;"",$D$43&lt;&gt;"",$D$31="X"),"",IF(Q56="",L56,IF(SUM(L56,-Q56)&lt;0,0,SUM(L56,-Q56))))</f>
        <v/>
      </c>
      <c r="W56" s="6493"/>
      <c r="X56" s="6493"/>
      <c r="Y56" s="6493"/>
      <c r="Z56" s="6493"/>
      <c r="AA56" s="6493" t="str">
        <f t="shared" ref="AA56:AA66" si="2">IF(OR(G56="",L56="",$D$40&lt;&gt;"",$D$43&lt;&gt;"",$D$31="X"),"",MIN(G56,V56))</f>
        <v/>
      </c>
      <c r="AB56" s="6493"/>
      <c r="AC56" s="6493"/>
      <c r="AD56" s="6493"/>
      <c r="AE56" s="6493"/>
      <c r="AF56" s="6494"/>
      <c r="AG56" s="6494"/>
      <c r="AH56" s="6494"/>
      <c r="AI56" s="6494"/>
      <c r="AJ56" s="6495"/>
      <c r="AK56" s="1706"/>
      <c r="AO56" s="3434">
        <v>0</v>
      </c>
      <c r="AP56" s="3435"/>
      <c r="AQ56" s="3435"/>
      <c r="AR56" s="3436"/>
      <c r="AZ56" s="4011">
        <v>134</v>
      </c>
      <c r="BA56" s="4012">
        <v>3.1099999999999999E-2</v>
      </c>
      <c r="BC56" s="3458"/>
      <c r="BD56" s="3458"/>
      <c r="BE56" s="3458"/>
      <c r="BF56" s="3458"/>
      <c r="BG56" s="3458"/>
      <c r="BH56" s="3458"/>
      <c r="BI56" s="3458"/>
      <c r="BJ56" s="3458"/>
      <c r="BL56" s="64"/>
      <c r="BM56" s="64"/>
    </row>
    <row r="57" spans="1:74" ht="14.25" customHeight="1">
      <c r="A57" s="1706"/>
      <c r="B57" s="3149" t="s">
        <v>1258</v>
      </c>
      <c r="C57" s="3150"/>
      <c r="D57" s="6504" t="s">
        <v>2242</v>
      </c>
      <c r="E57" s="6504"/>
      <c r="F57" s="6504"/>
      <c r="G57" s="6505"/>
      <c r="H57" s="6505"/>
      <c r="I57" s="6505"/>
      <c r="J57" s="6505"/>
      <c r="K57" s="6505"/>
      <c r="L57" s="6505"/>
      <c r="M57" s="6505"/>
      <c r="N57" s="6505"/>
      <c r="O57" s="6505"/>
      <c r="P57" s="6505"/>
      <c r="Q57" s="6506" t="str">
        <f t="shared" si="0"/>
        <v/>
      </c>
      <c r="R57" s="6507"/>
      <c r="S57" s="6507"/>
      <c r="T57" s="6507"/>
      <c r="U57" s="6508"/>
      <c r="V57" s="6493" t="str">
        <f t="shared" si="1"/>
        <v/>
      </c>
      <c r="W57" s="6493"/>
      <c r="X57" s="6493"/>
      <c r="Y57" s="6493"/>
      <c r="Z57" s="6493"/>
      <c r="AA57" s="6493" t="str">
        <f t="shared" si="2"/>
        <v/>
      </c>
      <c r="AB57" s="6493"/>
      <c r="AC57" s="6493"/>
      <c r="AD57" s="6493"/>
      <c r="AE57" s="6493"/>
      <c r="AF57" s="6494"/>
      <c r="AG57" s="6494"/>
      <c r="AH57" s="6494"/>
      <c r="AI57" s="6494"/>
      <c r="AJ57" s="6495"/>
      <c r="AK57" s="1706"/>
      <c r="AO57" s="3434">
        <v>1</v>
      </c>
      <c r="AP57" s="3437">
        <v>11770</v>
      </c>
      <c r="AQ57" s="3437">
        <v>14720</v>
      </c>
      <c r="AR57" s="3438">
        <v>13550</v>
      </c>
      <c r="AZ57" s="4011">
        <v>135</v>
      </c>
      <c r="BA57" s="4012">
        <v>3.1699999999999999E-2</v>
      </c>
      <c r="BC57" s="3458"/>
      <c r="BD57" s="3458"/>
      <c r="BE57" s="3458"/>
      <c r="BF57" s="3458"/>
      <c r="BG57" s="3458"/>
      <c r="BH57" s="3458"/>
      <c r="BI57" s="3458"/>
      <c r="BJ57" s="3458"/>
      <c r="BL57" s="64"/>
      <c r="BM57" s="64"/>
    </row>
    <row r="58" spans="1:74" ht="14.25" customHeight="1">
      <c r="A58" s="1706"/>
      <c r="B58" s="3149" t="s">
        <v>1259</v>
      </c>
      <c r="C58" s="3150"/>
      <c r="D58" s="6504" t="s">
        <v>2243</v>
      </c>
      <c r="E58" s="6504"/>
      <c r="F58" s="6504"/>
      <c r="G58" s="6505"/>
      <c r="H58" s="6505"/>
      <c r="I58" s="6505"/>
      <c r="J58" s="6505"/>
      <c r="K58" s="6505"/>
      <c r="L58" s="6505"/>
      <c r="M58" s="6505"/>
      <c r="N58" s="6505"/>
      <c r="O58" s="6505"/>
      <c r="P58" s="6505"/>
      <c r="Q58" s="6506" t="str">
        <f t="shared" si="0"/>
        <v/>
      </c>
      <c r="R58" s="6507"/>
      <c r="S58" s="6507"/>
      <c r="T58" s="6507"/>
      <c r="U58" s="6508"/>
      <c r="V58" s="6493" t="str">
        <f t="shared" si="1"/>
        <v/>
      </c>
      <c r="W58" s="6493"/>
      <c r="X58" s="6493"/>
      <c r="Y58" s="6493"/>
      <c r="Z58" s="6493"/>
      <c r="AA58" s="6493" t="str">
        <f t="shared" si="2"/>
        <v/>
      </c>
      <c r="AB58" s="6493"/>
      <c r="AC58" s="6493"/>
      <c r="AD58" s="6493"/>
      <c r="AE58" s="6493"/>
      <c r="AF58" s="6494"/>
      <c r="AG58" s="6494"/>
      <c r="AH58" s="6494"/>
      <c r="AI58" s="6494"/>
      <c r="AJ58" s="6495"/>
      <c r="AK58" s="1706"/>
      <c r="AO58" s="3434">
        <v>2</v>
      </c>
      <c r="AP58" s="3437">
        <v>15930</v>
      </c>
      <c r="AQ58" s="3437">
        <v>19920</v>
      </c>
      <c r="AR58" s="3438">
        <v>18330</v>
      </c>
      <c r="AZ58" s="4011">
        <v>136</v>
      </c>
      <c r="BA58" s="4012">
        <v>3.2300000000000002E-2</v>
      </c>
      <c r="BC58" s="3458"/>
      <c r="BD58" s="3458"/>
      <c r="BE58" s="3458"/>
      <c r="BF58" s="3458"/>
      <c r="BG58" s="3458"/>
      <c r="BH58" s="3458"/>
      <c r="BI58" s="3458"/>
      <c r="BJ58" s="3458"/>
      <c r="BL58" s="64"/>
      <c r="BM58" s="64"/>
    </row>
    <row r="59" spans="1:74" ht="14.25" customHeight="1">
      <c r="A59" s="1706"/>
      <c r="B59" s="3149" t="s">
        <v>2244</v>
      </c>
      <c r="C59" s="3150"/>
      <c r="D59" s="6504" t="s">
        <v>2245</v>
      </c>
      <c r="E59" s="6504"/>
      <c r="F59" s="6504"/>
      <c r="G59" s="6505"/>
      <c r="H59" s="6505"/>
      <c r="I59" s="6505"/>
      <c r="J59" s="6505"/>
      <c r="K59" s="6505"/>
      <c r="L59" s="6505"/>
      <c r="M59" s="6505"/>
      <c r="N59" s="6505"/>
      <c r="O59" s="6505"/>
      <c r="P59" s="6505"/>
      <c r="Q59" s="6506" t="str">
        <f t="shared" si="0"/>
        <v/>
      </c>
      <c r="R59" s="6507"/>
      <c r="S59" s="6507"/>
      <c r="T59" s="6507"/>
      <c r="U59" s="6508"/>
      <c r="V59" s="6493" t="str">
        <f t="shared" si="1"/>
        <v/>
      </c>
      <c r="W59" s="6493"/>
      <c r="X59" s="6493"/>
      <c r="Y59" s="6493"/>
      <c r="Z59" s="6493"/>
      <c r="AA59" s="6493" t="str">
        <f t="shared" si="2"/>
        <v/>
      </c>
      <c r="AB59" s="6493"/>
      <c r="AC59" s="6493"/>
      <c r="AD59" s="6493"/>
      <c r="AE59" s="6493"/>
      <c r="AF59" s="6494"/>
      <c r="AG59" s="6494"/>
      <c r="AH59" s="6494"/>
      <c r="AI59" s="6494"/>
      <c r="AJ59" s="6495"/>
      <c r="AK59" s="1706"/>
      <c r="AO59" s="3434">
        <v>3</v>
      </c>
      <c r="AP59" s="3437">
        <v>20090</v>
      </c>
      <c r="AQ59" s="3437">
        <v>25120</v>
      </c>
      <c r="AR59" s="3438">
        <v>23110</v>
      </c>
      <c r="AZ59" s="4011">
        <v>137</v>
      </c>
      <c r="BA59" s="4012">
        <v>3.2899999999999999E-2</v>
      </c>
      <c r="BC59" s="3458"/>
      <c r="BD59" s="3458"/>
      <c r="BE59" s="3458"/>
      <c r="BF59" s="3458"/>
      <c r="BG59" s="3458"/>
      <c r="BH59" s="3458"/>
      <c r="BI59" s="3458"/>
      <c r="BJ59" s="3458"/>
      <c r="BL59" s="64"/>
      <c r="BM59" s="64"/>
    </row>
    <row r="60" spans="1:74" ht="14.25" customHeight="1">
      <c r="A60" s="1706"/>
      <c r="B60" s="3149" t="s">
        <v>2246</v>
      </c>
      <c r="C60" s="3150"/>
      <c r="D60" s="6504" t="s">
        <v>2247</v>
      </c>
      <c r="E60" s="6504"/>
      <c r="F60" s="6504"/>
      <c r="G60" s="6505"/>
      <c r="H60" s="6505"/>
      <c r="I60" s="6505"/>
      <c r="J60" s="6505"/>
      <c r="K60" s="6505"/>
      <c r="L60" s="6505"/>
      <c r="M60" s="6505"/>
      <c r="N60" s="6505"/>
      <c r="O60" s="6505"/>
      <c r="P60" s="6505"/>
      <c r="Q60" s="6506" t="str">
        <f t="shared" si="0"/>
        <v/>
      </c>
      <c r="R60" s="6507"/>
      <c r="S60" s="6507"/>
      <c r="T60" s="6507"/>
      <c r="U60" s="6508"/>
      <c r="V60" s="6493" t="str">
        <f t="shared" si="1"/>
        <v/>
      </c>
      <c r="W60" s="6493"/>
      <c r="X60" s="6493"/>
      <c r="Y60" s="6493"/>
      <c r="Z60" s="6493"/>
      <c r="AA60" s="6493" t="str">
        <f t="shared" si="2"/>
        <v/>
      </c>
      <c r="AB60" s="6493"/>
      <c r="AC60" s="6493"/>
      <c r="AD60" s="6493"/>
      <c r="AE60" s="6493"/>
      <c r="AF60" s="6494"/>
      <c r="AG60" s="6494"/>
      <c r="AH60" s="6494"/>
      <c r="AI60" s="6494"/>
      <c r="AJ60" s="6495"/>
      <c r="AK60" s="1706"/>
      <c r="AO60" s="3434">
        <v>4</v>
      </c>
      <c r="AP60" s="3437">
        <v>24250</v>
      </c>
      <c r="AQ60" s="3437">
        <v>30320</v>
      </c>
      <c r="AR60" s="3438">
        <v>27890</v>
      </c>
      <c r="AZ60" s="4011">
        <v>138</v>
      </c>
      <c r="BA60" s="4012">
        <v>3.3500000000000002E-2</v>
      </c>
      <c r="BC60" s="3458"/>
      <c r="BD60" s="3458"/>
      <c r="BE60" s="3458"/>
      <c r="BF60" s="3458"/>
      <c r="BG60" s="3458"/>
      <c r="BH60" s="3458"/>
      <c r="BI60" s="3458"/>
      <c r="BJ60" s="3458"/>
      <c r="BL60" s="64"/>
      <c r="BM60" s="64"/>
    </row>
    <row r="61" spans="1:74" ht="14.25" customHeight="1">
      <c r="A61" s="1706"/>
      <c r="B61" s="3149" t="s">
        <v>2248</v>
      </c>
      <c r="C61" s="3150"/>
      <c r="D61" s="6504" t="s">
        <v>2249</v>
      </c>
      <c r="E61" s="6504"/>
      <c r="F61" s="6504"/>
      <c r="G61" s="6505"/>
      <c r="H61" s="6505"/>
      <c r="I61" s="6505"/>
      <c r="J61" s="6505"/>
      <c r="K61" s="6505"/>
      <c r="L61" s="6505"/>
      <c r="M61" s="6505"/>
      <c r="N61" s="6505"/>
      <c r="O61" s="6505"/>
      <c r="P61" s="6505"/>
      <c r="Q61" s="6506" t="str">
        <f t="shared" si="0"/>
        <v/>
      </c>
      <c r="R61" s="6507"/>
      <c r="S61" s="6507"/>
      <c r="T61" s="6507"/>
      <c r="U61" s="6508"/>
      <c r="V61" s="6493" t="str">
        <f t="shared" si="1"/>
        <v/>
      </c>
      <c r="W61" s="6493"/>
      <c r="X61" s="6493"/>
      <c r="Y61" s="6493"/>
      <c r="Z61" s="6493"/>
      <c r="AA61" s="6493" t="str">
        <f t="shared" si="2"/>
        <v/>
      </c>
      <c r="AB61" s="6493"/>
      <c r="AC61" s="6493"/>
      <c r="AD61" s="6493"/>
      <c r="AE61" s="6493"/>
      <c r="AF61" s="6494"/>
      <c r="AG61" s="6494"/>
      <c r="AH61" s="6494"/>
      <c r="AI61" s="6494"/>
      <c r="AJ61" s="6495"/>
      <c r="AK61" s="1706"/>
      <c r="AO61" s="3434">
        <v>5</v>
      </c>
      <c r="AP61" s="3437">
        <v>28410</v>
      </c>
      <c r="AQ61" s="3437">
        <v>35520</v>
      </c>
      <c r="AR61" s="3438">
        <v>32670</v>
      </c>
      <c r="AZ61" s="4011">
        <v>139</v>
      </c>
      <c r="BA61" s="4012">
        <v>3.4099999999999998E-2</v>
      </c>
      <c r="BC61" s="3458"/>
      <c r="BD61" s="3458"/>
      <c r="BE61" s="3458"/>
      <c r="BF61" s="3458"/>
      <c r="BG61" s="3458"/>
      <c r="BH61" s="3458"/>
      <c r="BI61" s="3458"/>
      <c r="BJ61" s="3458"/>
      <c r="BL61" s="64"/>
      <c r="BM61" s="64"/>
    </row>
    <row r="62" spans="1:74" ht="14.25" customHeight="1">
      <c r="A62" s="1706"/>
      <c r="B62" s="3149" t="s">
        <v>2250</v>
      </c>
      <c r="C62" s="3150"/>
      <c r="D62" s="6504" t="s">
        <v>2251</v>
      </c>
      <c r="E62" s="6504"/>
      <c r="F62" s="6504"/>
      <c r="G62" s="6505"/>
      <c r="H62" s="6505"/>
      <c r="I62" s="6505"/>
      <c r="J62" s="6505"/>
      <c r="K62" s="6505"/>
      <c r="L62" s="6505"/>
      <c r="M62" s="6505"/>
      <c r="N62" s="6505"/>
      <c r="O62" s="6505"/>
      <c r="P62" s="6505"/>
      <c r="Q62" s="6506" t="str">
        <f t="shared" ref="Q62" si="3">IF(OR(G62="",L62="",$D$40&lt;&gt;"",$D$43&lt;&gt;"",$D$31="X"),"",$AE$37)</f>
        <v/>
      </c>
      <c r="R62" s="6507"/>
      <c r="S62" s="6507"/>
      <c r="T62" s="6507"/>
      <c r="U62" s="6508"/>
      <c r="V62" s="6493" t="str">
        <f t="shared" si="1"/>
        <v/>
      </c>
      <c r="W62" s="6493"/>
      <c r="X62" s="6493"/>
      <c r="Y62" s="6493"/>
      <c r="Z62" s="6493"/>
      <c r="AA62" s="6493" t="str">
        <f t="shared" si="2"/>
        <v/>
      </c>
      <c r="AB62" s="6493"/>
      <c r="AC62" s="6493"/>
      <c r="AD62" s="6493"/>
      <c r="AE62" s="6493"/>
      <c r="AF62" s="6494"/>
      <c r="AG62" s="6494"/>
      <c r="AH62" s="6494"/>
      <c r="AI62" s="6494"/>
      <c r="AJ62" s="6495"/>
      <c r="AK62" s="1706"/>
      <c r="AO62" s="3434">
        <v>6</v>
      </c>
      <c r="AP62" s="3437">
        <v>32570</v>
      </c>
      <c r="AQ62" s="3437">
        <v>40720</v>
      </c>
      <c r="AR62" s="3438">
        <v>37450</v>
      </c>
      <c r="AZ62" s="4011">
        <v>140</v>
      </c>
      <c r="BA62" s="4012">
        <v>3.4700000000000002E-2</v>
      </c>
      <c r="BC62" s="3458"/>
      <c r="BD62" s="3458"/>
      <c r="BE62" s="3458"/>
      <c r="BF62" s="3458"/>
      <c r="BG62" s="3458"/>
      <c r="BH62" s="3458"/>
      <c r="BI62" s="3458"/>
      <c r="BJ62" s="3458"/>
      <c r="BL62" s="64"/>
      <c r="BM62" s="64"/>
    </row>
    <row r="63" spans="1:74" ht="14.25" customHeight="1">
      <c r="A63" s="1706"/>
      <c r="B63" s="3149" t="s">
        <v>2252</v>
      </c>
      <c r="C63" s="3150"/>
      <c r="D63" s="6504" t="s">
        <v>2253</v>
      </c>
      <c r="E63" s="6504"/>
      <c r="F63" s="6504"/>
      <c r="G63" s="6505"/>
      <c r="H63" s="6505"/>
      <c r="I63" s="6505"/>
      <c r="J63" s="6505"/>
      <c r="K63" s="6505"/>
      <c r="L63" s="6505"/>
      <c r="M63" s="6505"/>
      <c r="N63" s="6505"/>
      <c r="O63" s="6505"/>
      <c r="P63" s="6505"/>
      <c r="Q63" s="6506" t="str">
        <f t="shared" si="0"/>
        <v/>
      </c>
      <c r="R63" s="6507"/>
      <c r="S63" s="6507"/>
      <c r="T63" s="6507"/>
      <c r="U63" s="6508"/>
      <c r="V63" s="6493" t="str">
        <f t="shared" si="1"/>
        <v/>
      </c>
      <c r="W63" s="6493"/>
      <c r="X63" s="6493"/>
      <c r="Y63" s="6493"/>
      <c r="Z63" s="6493"/>
      <c r="AA63" s="6493" t="str">
        <f t="shared" si="2"/>
        <v/>
      </c>
      <c r="AB63" s="6493"/>
      <c r="AC63" s="6493"/>
      <c r="AD63" s="6493"/>
      <c r="AE63" s="6493"/>
      <c r="AF63" s="6494"/>
      <c r="AG63" s="6494"/>
      <c r="AH63" s="6494"/>
      <c r="AI63" s="6494"/>
      <c r="AJ63" s="6495"/>
      <c r="AK63" s="1706"/>
      <c r="AO63" s="3434">
        <v>7</v>
      </c>
      <c r="AP63" s="3437">
        <v>36730</v>
      </c>
      <c r="AQ63" s="3437">
        <v>45920</v>
      </c>
      <c r="AR63" s="3438">
        <v>42230</v>
      </c>
      <c r="AZ63" s="4011">
        <v>141</v>
      </c>
      <c r="BA63" s="4012">
        <v>3.5299999999999998E-2</v>
      </c>
      <c r="BC63" s="3458"/>
      <c r="BD63" s="3458"/>
      <c r="BE63" s="3458"/>
      <c r="BF63" s="3458"/>
      <c r="BG63" s="3458"/>
      <c r="BH63" s="3458"/>
      <c r="BI63" s="3458"/>
      <c r="BJ63" s="3458"/>
      <c r="BL63" s="64"/>
      <c r="BM63" s="64"/>
    </row>
    <row r="64" spans="1:74" ht="14.25" customHeight="1">
      <c r="A64" s="1706"/>
      <c r="B64" s="3149" t="s">
        <v>2254</v>
      </c>
      <c r="C64" s="3150"/>
      <c r="D64" s="6504" t="s">
        <v>2255</v>
      </c>
      <c r="E64" s="6504"/>
      <c r="F64" s="6504"/>
      <c r="G64" s="6505"/>
      <c r="H64" s="6505"/>
      <c r="I64" s="6505"/>
      <c r="J64" s="6505"/>
      <c r="K64" s="6505"/>
      <c r="L64" s="6505"/>
      <c r="M64" s="6505"/>
      <c r="N64" s="6505"/>
      <c r="O64" s="6505"/>
      <c r="P64" s="6505"/>
      <c r="Q64" s="6506" t="str">
        <f t="shared" si="0"/>
        <v/>
      </c>
      <c r="R64" s="6507"/>
      <c r="S64" s="6507"/>
      <c r="T64" s="6507"/>
      <c r="U64" s="6508"/>
      <c r="V64" s="6493" t="str">
        <f t="shared" si="1"/>
        <v/>
      </c>
      <c r="W64" s="6493"/>
      <c r="X64" s="6493"/>
      <c r="Y64" s="6493"/>
      <c r="Z64" s="6493"/>
      <c r="AA64" s="6493" t="str">
        <f t="shared" si="2"/>
        <v/>
      </c>
      <c r="AB64" s="6493"/>
      <c r="AC64" s="6493"/>
      <c r="AD64" s="6493"/>
      <c r="AE64" s="6493"/>
      <c r="AF64" s="6494"/>
      <c r="AG64" s="6494"/>
      <c r="AH64" s="6494"/>
      <c r="AI64" s="6494"/>
      <c r="AJ64" s="6495"/>
      <c r="AK64" s="1706"/>
      <c r="AO64" s="3434">
        <v>8</v>
      </c>
      <c r="AP64" s="3437">
        <v>40890</v>
      </c>
      <c r="AQ64" s="3437">
        <v>51120</v>
      </c>
      <c r="AR64" s="3438">
        <v>47010</v>
      </c>
      <c r="AZ64" s="4011">
        <v>142</v>
      </c>
      <c r="BA64" s="4012">
        <v>3.5900000000000001E-2</v>
      </c>
      <c r="BC64" s="3458"/>
      <c r="BD64" s="3458"/>
      <c r="BE64" s="3458"/>
      <c r="BF64" s="3458"/>
      <c r="BG64" s="3458"/>
      <c r="BH64" s="3458"/>
      <c r="BI64" s="3458"/>
      <c r="BJ64" s="3458"/>
      <c r="BL64" s="64"/>
      <c r="BM64" s="64"/>
    </row>
    <row r="65" spans="1:65" ht="14.25" customHeight="1">
      <c r="A65" s="1706"/>
      <c r="B65" s="3149" t="s">
        <v>2256</v>
      </c>
      <c r="C65" s="3150"/>
      <c r="D65" s="6504" t="s">
        <v>2257</v>
      </c>
      <c r="E65" s="6504"/>
      <c r="F65" s="6504"/>
      <c r="G65" s="6505"/>
      <c r="H65" s="6505"/>
      <c r="I65" s="6505"/>
      <c r="J65" s="6505"/>
      <c r="K65" s="6505"/>
      <c r="L65" s="6505"/>
      <c r="M65" s="6505"/>
      <c r="N65" s="6505"/>
      <c r="O65" s="6505"/>
      <c r="P65" s="6505"/>
      <c r="Q65" s="6506" t="str">
        <f t="shared" si="0"/>
        <v/>
      </c>
      <c r="R65" s="6507"/>
      <c r="S65" s="6507"/>
      <c r="T65" s="6507"/>
      <c r="U65" s="6508"/>
      <c r="V65" s="6493" t="str">
        <f t="shared" si="1"/>
        <v/>
      </c>
      <c r="W65" s="6493"/>
      <c r="X65" s="6493"/>
      <c r="Y65" s="6493"/>
      <c r="Z65" s="6493"/>
      <c r="AA65" s="6493" t="str">
        <f t="shared" si="2"/>
        <v/>
      </c>
      <c r="AB65" s="6493"/>
      <c r="AC65" s="6493"/>
      <c r="AD65" s="6493"/>
      <c r="AE65" s="6493"/>
      <c r="AF65" s="6494"/>
      <c r="AG65" s="6494"/>
      <c r="AH65" s="6494"/>
      <c r="AI65" s="6494"/>
      <c r="AJ65" s="6495"/>
      <c r="AK65" s="1706"/>
      <c r="AO65" s="4007" t="s">
        <v>3327</v>
      </c>
      <c r="AP65" s="3437">
        <v>4160</v>
      </c>
      <c r="AQ65" s="3437">
        <v>5200</v>
      </c>
      <c r="AR65" s="3438">
        <v>4780</v>
      </c>
      <c r="AZ65" s="4011">
        <v>143</v>
      </c>
      <c r="BA65" s="4012">
        <v>3.6499999999999998E-2</v>
      </c>
      <c r="BC65" s="3458"/>
      <c r="BD65" s="3458"/>
      <c r="BE65" s="3458"/>
      <c r="BF65" s="3458"/>
      <c r="BG65" s="3458"/>
      <c r="BH65" s="3458"/>
      <c r="BI65" s="3458"/>
      <c r="BJ65" s="3458"/>
      <c r="BL65" s="64"/>
      <c r="BM65" s="64"/>
    </row>
    <row r="66" spans="1:65" ht="14.25" customHeight="1" thickBot="1">
      <c r="A66" s="1706"/>
      <c r="B66" s="3151" t="s">
        <v>2258</v>
      </c>
      <c r="C66" s="3152"/>
      <c r="D66" s="6496" t="s">
        <v>2259</v>
      </c>
      <c r="E66" s="6496"/>
      <c r="F66" s="6496"/>
      <c r="G66" s="6497"/>
      <c r="H66" s="6497"/>
      <c r="I66" s="6497"/>
      <c r="J66" s="6497"/>
      <c r="K66" s="6497"/>
      <c r="L66" s="6497"/>
      <c r="M66" s="6497"/>
      <c r="N66" s="6497"/>
      <c r="O66" s="6497"/>
      <c r="P66" s="6497"/>
      <c r="Q66" s="6498" t="str">
        <f t="shared" si="0"/>
        <v/>
      </c>
      <c r="R66" s="6499"/>
      <c r="S66" s="6499"/>
      <c r="T66" s="6499"/>
      <c r="U66" s="6500"/>
      <c r="V66" s="6501" t="str">
        <f t="shared" si="1"/>
        <v/>
      </c>
      <c r="W66" s="6501"/>
      <c r="X66" s="6501"/>
      <c r="Y66" s="6501"/>
      <c r="Z66" s="6501"/>
      <c r="AA66" s="6501" t="str">
        <f t="shared" si="2"/>
        <v/>
      </c>
      <c r="AB66" s="6501"/>
      <c r="AC66" s="6501"/>
      <c r="AD66" s="6501"/>
      <c r="AE66" s="6501"/>
      <c r="AF66" s="6502"/>
      <c r="AG66" s="6502"/>
      <c r="AH66" s="6502"/>
      <c r="AI66" s="6502"/>
      <c r="AJ66" s="6503"/>
      <c r="AK66" s="1706"/>
      <c r="AO66" s="3439"/>
      <c r="AP66" s="3440"/>
      <c r="AQ66" s="3440"/>
      <c r="AR66" s="3441"/>
      <c r="AZ66" s="4011">
        <v>144</v>
      </c>
      <c r="BA66" s="4012">
        <v>3.7100000000000001E-2</v>
      </c>
      <c r="BC66" s="3458"/>
      <c r="BD66" s="3458"/>
      <c r="BE66" s="3458"/>
      <c r="BF66" s="3458"/>
      <c r="BG66" s="3458"/>
      <c r="BH66" s="3458"/>
      <c r="BI66" s="3458"/>
      <c r="BJ66" s="3458"/>
      <c r="BL66" s="64"/>
      <c r="BM66" s="64"/>
    </row>
    <row r="67" spans="1:65" ht="14.25" customHeight="1" thickBot="1">
      <c r="A67" s="1706"/>
      <c r="B67" s="3153" t="s">
        <v>2260</v>
      </c>
      <c r="C67" s="2595"/>
      <c r="D67" s="2598" t="s">
        <v>2539</v>
      </c>
      <c r="E67" s="2399"/>
      <c r="F67" s="2399"/>
      <c r="G67" s="2399"/>
      <c r="H67" s="2399"/>
      <c r="I67" s="2399"/>
      <c r="J67" s="2399"/>
      <c r="K67" s="2399"/>
      <c r="L67" s="2399"/>
      <c r="M67" s="2399"/>
      <c r="N67" s="2399"/>
      <c r="O67" s="2399"/>
      <c r="P67" s="2399"/>
      <c r="Q67" s="2399"/>
      <c r="R67" s="2399"/>
      <c r="S67" s="2399"/>
      <c r="T67" s="2399"/>
      <c r="U67" s="2399"/>
      <c r="V67" s="2399"/>
      <c r="W67" s="2399"/>
      <c r="X67" s="2399"/>
      <c r="Y67" s="2399"/>
      <c r="Z67" s="2399"/>
      <c r="AA67" s="2399"/>
      <c r="AB67" s="2399"/>
      <c r="AC67" s="2399"/>
      <c r="AD67" s="3136">
        <v>24</v>
      </c>
      <c r="AE67" s="5121">
        <f>IF(AM68&lt;&gt;"",AM68,IF(D31="X",0,IF(AND(AA50&lt;&gt;"",AA50&gt;0),AA50,AL68)))</f>
        <v>0</v>
      </c>
      <c r="AF67" s="6490"/>
      <c r="AG67" s="6490"/>
      <c r="AH67" s="6490"/>
      <c r="AI67" s="6490"/>
      <c r="AJ67" s="6490"/>
      <c r="AK67" s="1706"/>
      <c r="AM67" s="1473" t="s">
        <v>150</v>
      </c>
      <c r="AO67" s="3177"/>
      <c r="AP67" s="3177"/>
      <c r="AZ67" s="4011">
        <v>145</v>
      </c>
      <c r="BA67" s="4012">
        <v>3.7699999999999997E-2</v>
      </c>
      <c r="BC67" s="3458"/>
      <c r="BD67" s="3458"/>
      <c r="BE67" s="3458"/>
      <c r="BF67" s="3458"/>
      <c r="BG67" s="3458"/>
      <c r="BH67" s="3458"/>
      <c r="BI67" s="3458"/>
      <c r="BJ67" s="3458"/>
      <c r="BL67" s="64"/>
      <c r="BM67" s="64"/>
    </row>
    <row r="68" spans="1:65" ht="15.75" thickBot="1">
      <c r="A68" s="1706"/>
      <c r="B68" s="3139" t="s">
        <v>2261</v>
      </c>
      <c r="C68" s="2399"/>
      <c r="D68" s="2598" t="s">
        <v>2540</v>
      </c>
      <c r="E68" s="2399"/>
      <c r="F68" s="2399"/>
      <c r="G68" s="2399"/>
      <c r="H68" s="2399"/>
      <c r="I68" s="2399"/>
      <c r="J68" s="2399"/>
      <c r="K68" s="2399"/>
      <c r="L68" s="2399"/>
      <c r="M68" s="2399"/>
      <c r="N68" s="2399"/>
      <c r="O68" s="2399"/>
      <c r="P68" s="2399"/>
      <c r="Q68" s="2399"/>
      <c r="R68" s="2399"/>
      <c r="S68" s="2399"/>
      <c r="T68" s="2399"/>
      <c r="U68" s="2399"/>
      <c r="V68" s="2399"/>
      <c r="W68" s="2399"/>
      <c r="X68" s="2399"/>
      <c r="Y68" s="2399"/>
      <c r="Z68" s="2399"/>
      <c r="AA68" s="2399"/>
      <c r="AB68" s="2399"/>
      <c r="AC68" s="2399"/>
      <c r="AD68" s="3136">
        <v>25</v>
      </c>
      <c r="AE68" s="6491">
        <f>IF(AM69&lt;&gt;"",AM69,IF(AND(AF50&lt;&gt;"",AF50&gt;0),AF50,AL69))</f>
        <v>0</v>
      </c>
      <c r="AF68" s="6492"/>
      <c r="AG68" s="6492"/>
      <c r="AH68" s="6492"/>
      <c r="AI68" s="6492"/>
      <c r="AJ68" s="6492"/>
      <c r="AK68" s="1706"/>
      <c r="AL68" s="2613">
        <f>IF(ISERROR(ROUND(SUM(AA55:AA66),0)),"",ROUND(SUM(AA55:AA66),0))</f>
        <v>0</v>
      </c>
      <c r="AM68" s="3323"/>
      <c r="AN68" s="1473"/>
      <c r="AO68" s="3177"/>
      <c r="AP68" s="3177"/>
      <c r="AZ68" s="4011">
        <v>146</v>
      </c>
      <c r="BA68" s="4012">
        <v>3.8300000000000001E-2</v>
      </c>
      <c r="BC68" s="3458"/>
      <c r="BD68" s="3458"/>
      <c r="BE68" s="3458"/>
      <c r="BF68" s="3458"/>
      <c r="BG68" s="3458"/>
      <c r="BH68" s="3458"/>
      <c r="BI68" s="3458"/>
      <c r="BJ68" s="3458"/>
      <c r="BL68" s="64"/>
      <c r="BM68" s="64"/>
    </row>
    <row r="69" spans="1:65" ht="15.75" thickBot="1">
      <c r="A69" s="1706"/>
      <c r="B69" s="3139" t="s">
        <v>2262</v>
      </c>
      <c r="C69" s="2399"/>
      <c r="D69" s="3640" t="s">
        <v>3229</v>
      </c>
      <c r="E69" s="3641"/>
      <c r="F69" s="3641"/>
      <c r="G69" s="3641"/>
      <c r="H69" s="3641"/>
      <c r="I69" s="3641"/>
      <c r="J69" s="3641"/>
      <c r="K69" s="3641"/>
      <c r="L69" s="3641"/>
      <c r="M69" s="3641"/>
      <c r="N69" s="3641"/>
      <c r="O69" s="3641"/>
      <c r="P69" s="3641"/>
      <c r="Q69" s="3641"/>
      <c r="R69" s="3641"/>
      <c r="S69" s="3641"/>
      <c r="T69" s="3641"/>
      <c r="U69" s="3641"/>
      <c r="V69" s="3641"/>
      <c r="W69" s="3641"/>
      <c r="X69" s="3641"/>
      <c r="Y69" s="3641"/>
      <c r="Z69" s="3641"/>
      <c r="AA69" s="3641"/>
      <c r="AB69" s="3641"/>
      <c r="AC69" s="2985"/>
      <c r="AD69" s="3137"/>
      <c r="AE69" s="2399"/>
      <c r="AF69" s="2399"/>
      <c r="AG69" s="2399"/>
      <c r="AH69" s="2399"/>
      <c r="AI69" s="2399"/>
      <c r="AJ69" s="2399"/>
      <c r="AK69" s="1706"/>
      <c r="AL69" s="2613">
        <f>IF(ISERROR(ROUND(SUM(AF55:AF66),0)),"",ROUND(SUM(AF55:AF66),0))</f>
        <v>0</v>
      </c>
      <c r="AM69" s="3323"/>
      <c r="AN69" s="3443"/>
      <c r="AO69" s="3451" t="s">
        <v>2557</v>
      </c>
      <c r="AP69" s="3452"/>
      <c r="AQ69" s="3453"/>
      <c r="AR69" s="3454"/>
      <c r="AS69" s="3455"/>
      <c r="AT69" s="3456"/>
      <c r="AZ69" s="4011">
        <v>147</v>
      </c>
      <c r="BA69" s="4012">
        <v>3.8899999999999997E-2</v>
      </c>
      <c r="BC69" s="3458"/>
      <c r="BD69" s="3458"/>
      <c r="BE69" s="3458"/>
      <c r="BF69" s="3458"/>
      <c r="BG69" s="3458"/>
      <c r="BH69" s="3458"/>
      <c r="BI69" s="3458"/>
      <c r="BJ69" s="3458"/>
      <c r="BL69" s="64"/>
      <c r="BM69" s="64"/>
    </row>
    <row r="70" spans="1:65">
      <c r="A70" s="1706"/>
      <c r="B70" s="2399"/>
      <c r="C70" s="2399"/>
      <c r="D70" s="3640" t="s">
        <v>3230</v>
      </c>
      <c r="E70" s="3641"/>
      <c r="F70" s="3641"/>
      <c r="G70" s="3641"/>
      <c r="H70" s="3641"/>
      <c r="I70" s="3641"/>
      <c r="J70" s="3641"/>
      <c r="K70" s="3641"/>
      <c r="L70" s="3641"/>
      <c r="M70" s="3641"/>
      <c r="N70" s="3641"/>
      <c r="O70" s="3641"/>
      <c r="P70" s="3641"/>
      <c r="Q70" s="3641"/>
      <c r="R70" s="3641"/>
      <c r="S70" s="3641"/>
      <c r="T70" s="3641"/>
      <c r="U70" s="3641"/>
      <c r="V70" s="3641"/>
      <c r="W70" s="3641"/>
      <c r="X70" s="3641"/>
      <c r="Y70" s="3641"/>
      <c r="Z70" s="3641"/>
      <c r="AA70" s="3641"/>
      <c r="AB70" s="3641"/>
      <c r="AC70" s="2985"/>
      <c r="AD70" s="3137"/>
      <c r="AE70" s="6561" t="b">
        <f>IF(AE67&gt;AE68,TRUE,FALSE)</f>
        <v>0</v>
      </c>
      <c r="AF70" s="4963"/>
      <c r="AG70" s="4963"/>
      <c r="AH70" s="4963"/>
      <c r="AI70" s="4963"/>
      <c r="AJ70" s="4963"/>
      <c r="AK70" s="1706"/>
      <c r="AN70" s="3443"/>
      <c r="AO70" s="3444" t="s">
        <v>476</v>
      </c>
      <c r="AP70" s="3445" t="s">
        <v>3332</v>
      </c>
      <c r="AQ70" s="3446"/>
      <c r="AR70" s="3447"/>
      <c r="AS70" s="3448">
        <f>AE22</f>
        <v>0</v>
      </c>
      <c r="AT70" s="3170"/>
      <c r="AZ70" s="4011">
        <v>148</v>
      </c>
      <c r="BA70" s="4012">
        <v>3.95E-2</v>
      </c>
      <c r="BC70" s="3458"/>
      <c r="BD70" s="3458"/>
      <c r="BE70" s="3458"/>
      <c r="BF70" s="3458"/>
      <c r="BG70" s="3458"/>
      <c r="BH70" s="3458"/>
      <c r="BI70" s="3458"/>
      <c r="BJ70" s="3458"/>
      <c r="BL70" s="64"/>
      <c r="BM70" s="64"/>
    </row>
    <row r="71" spans="1:65" ht="13.5" thickBot="1">
      <c r="A71" s="1706"/>
      <c r="B71" s="3132"/>
      <c r="C71" s="3132"/>
      <c r="D71" s="3644" t="s">
        <v>3231</v>
      </c>
      <c r="E71" s="3642"/>
      <c r="F71" s="3642"/>
      <c r="G71" s="3642"/>
      <c r="H71" s="3642"/>
      <c r="I71" s="3642"/>
      <c r="J71" s="3642"/>
      <c r="K71" s="3642"/>
      <c r="L71" s="3642"/>
      <c r="M71" s="3642"/>
      <c r="N71" s="3642"/>
      <c r="O71" s="3642"/>
      <c r="P71" s="3642"/>
      <c r="Q71" s="3642"/>
      <c r="R71" s="3642"/>
      <c r="S71" s="3642"/>
      <c r="T71" s="3642"/>
      <c r="U71" s="3642"/>
      <c r="V71" s="3642"/>
      <c r="W71" s="3642"/>
      <c r="X71" s="3642"/>
      <c r="Y71" s="3642"/>
      <c r="Z71" s="3642"/>
      <c r="AA71" s="3642"/>
      <c r="AB71" s="3642"/>
      <c r="AC71" s="3643"/>
      <c r="AD71" s="3136">
        <v>26</v>
      </c>
      <c r="AE71" s="5121" t="str">
        <f>IF(AM72&lt;&gt;"",AM72,IF(OR(AE17=0,D31&lt;&gt;"",AE68&gt;AE67),"",IF(AE70,SUM(AE67,-AE68),"")))</f>
        <v/>
      </c>
      <c r="AF71" s="6489"/>
      <c r="AG71" s="6489"/>
      <c r="AH71" s="6489"/>
      <c r="AI71" s="6489"/>
      <c r="AJ71" s="6489"/>
      <c r="AK71" s="1706"/>
      <c r="AO71" s="3444" t="s">
        <v>0</v>
      </c>
      <c r="AP71" s="3445" t="s">
        <v>2554</v>
      </c>
      <c r="AQ71" s="3446"/>
      <c r="AR71" s="3448">
        <f>AE25</f>
        <v>0</v>
      </c>
      <c r="AS71" s="3447"/>
      <c r="AT71" s="3170"/>
      <c r="AZ71" s="4011">
        <v>149</v>
      </c>
      <c r="BA71" s="4012">
        <v>4.0099999999999997E-2</v>
      </c>
      <c r="BC71" s="3458"/>
      <c r="BD71" s="3458"/>
      <c r="BE71" s="3458"/>
      <c r="BF71" s="3458"/>
      <c r="BG71" s="3458"/>
      <c r="BH71" s="3458"/>
      <c r="BI71" s="3458"/>
      <c r="BJ71" s="3458"/>
      <c r="BL71" s="64"/>
      <c r="BM71" s="64"/>
    </row>
    <row r="72" spans="1:65" ht="15" customHeight="1" thickBot="1">
      <c r="A72" s="1706"/>
      <c r="B72" s="3407" t="s">
        <v>514</v>
      </c>
      <c r="C72" s="3408"/>
      <c r="D72" s="3155" t="s">
        <v>2541</v>
      </c>
      <c r="E72" s="3132"/>
      <c r="F72" s="3132"/>
      <c r="G72" s="3132"/>
      <c r="H72" s="3132"/>
      <c r="I72" s="3132"/>
      <c r="J72" s="3132"/>
      <c r="K72" s="3132"/>
      <c r="L72" s="3132"/>
      <c r="M72" s="3132"/>
      <c r="N72" s="3132"/>
      <c r="O72" s="3132"/>
      <c r="P72" s="3132"/>
      <c r="Q72" s="3132"/>
      <c r="R72" s="3132"/>
      <c r="S72" s="3132"/>
      <c r="T72" s="3132"/>
      <c r="U72" s="3132"/>
      <c r="V72" s="3132"/>
      <c r="W72" s="3132"/>
      <c r="X72" s="3132"/>
      <c r="Y72" s="3132"/>
      <c r="Z72" s="3132"/>
      <c r="AA72" s="3132"/>
      <c r="AB72" s="3132"/>
      <c r="AC72" s="3132"/>
      <c r="AD72" s="3132"/>
      <c r="AE72" s="3132"/>
      <c r="AF72" s="3132"/>
      <c r="AG72" s="3132"/>
      <c r="AH72" s="3132"/>
      <c r="AI72" s="3132"/>
      <c r="AJ72" s="3132"/>
      <c r="AK72" s="1706"/>
      <c r="AM72" s="3323"/>
      <c r="AO72" s="3444" t="s">
        <v>1</v>
      </c>
      <c r="AP72" s="3445" t="str">
        <f>"Multiply the amount on line 2 by "&amp;TEXT(AT72,"0.0")</f>
        <v>Multiply the amount on line 2 by 4.0</v>
      </c>
      <c r="AQ72" s="3446"/>
      <c r="AR72" s="2399"/>
      <c r="AS72" s="3448">
        <f>IF(AND(File_Marr_Sep&lt;&gt;"",AI13=""),"",ROUND(AR71*AT72,0))</f>
        <v>0</v>
      </c>
      <c r="AT72" s="3449">
        <v>4</v>
      </c>
      <c r="AZ72" s="4011">
        <v>150</v>
      </c>
      <c r="BA72" s="4012">
        <v>4.07E-2</v>
      </c>
      <c r="BC72" s="3458"/>
      <c r="BD72" s="3458"/>
      <c r="BE72" s="3458"/>
      <c r="BF72" s="3458"/>
      <c r="BG72" s="3458"/>
      <c r="BH72" s="3458"/>
      <c r="BI72" s="3458"/>
      <c r="BJ72" s="3458"/>
      <c r="BL72" s="64"/>
      <c r="BM72" s="64"/>
    </row>
    <row r="73" spans="1:65" ht="18" customHeight="1" thickBot="1">
      <c r="A73" s="1706"/>
      <c r="B73" s="3139" t="s">
        <v>2318</v>
      </c>
      <c r="C73" s="3141" t="s">
        <v>2542</v>
      </c>
      <c r="D73" s="2399"/>
      <c r="E73" s="2399"/>
      <c r="F73" s="2399"/>
      <c r="G73" s="2399"/>
      <c r="H73" s="2399"/>
      <c r="I73" s="2399"/>
      <c r="J73" s="2399"/>
      <c r="K73" s="2399"/>
      <c r="L73" s="2399"/>
      <c r="M73" s="2399"/>
      <c r="N73" s="2399"/>
      <c r="O73" s="2399"/>
      <c r="P73" s="2399"/>
      <c r="Q73" s="2399"/>
      <c r="R73" s="2399"/>
      <c r="S73" s="2399"/>
      <c r="T73" s="2399"/>
      <c r="U73" s="2399"/>
      <c r="V73" s="2399"/>
      <c r="W73" s="2399"/>
      <c r="X73" s="2399"/>
      <c r="Y73" s="2399"/>
      <c r="Z73" s="2399"/>
      <c r="AA73" s="2399"/>
      <c r="AB73" s="2399"/>
      <c r="AC73" s="2399"/>
      <c r="AD73" s="3136">
        <v>27</v>
      </c>
      <c r="AE73" s="6491" t="str">
        <f>IF(AM74&lt;&gt;"",AM74,IF(OR(AE67=AE68,AE70),"",IF(AE68&gt;AE67,SUM(AE68,-AE67),0)))</f>
        <v/>
      </c>
      <c r="AF73" s="6492"/>
      <c r="AG73" s="6492"/>
      <c r="AH73" s="6492"/>
      <c r="AI73" s="6492"/>
      <c r="AJ73" s="6492"/>
      <c r="AK73" s="1706"/>
      <c r="AN73" s="3443"/>
      <c r="AO73" s="3444" t="s">
        <v>642</v>
      </c>
      <c r="AP73" s="3445" t="s">
        <v>2555</v>
      </c>
      <c r="AQ73" s="3446"/>
      <c r="AR73" s="2399"/>
      <c r="AS73" s="2399"/>
      <c r="AT73" s="3170"/>
      <c r="AZ73" s="4011">
        <v>151</v>
      </c>
      <c r="BA73" s="4012">
        <v>4.1200000000000001E-2</v>
      </c>
      <c r="BC73" s="3458"/>
      <c r="BD73" s="3458"/>
      <c r="BE73" s="3458"/>
      <c r="BF73" s="3458"/>
      <c r="BG73" s="3458"/>
      <c r="BH73" s="3458"/>
      <c r="BI73" s="3458"/>
      <c r="BJ73" s="3458"/>
      <c r="BL73" s="64"/>
      <c r="BM73" s="64"/>
    </row>
    <row r="74" spans="1:65" ht="15.75" customHeight="1" thickBot="1">
      <c r="A74" s="1706"/>
      <c r="B74" s="3139" t="s">
        <v>2263</v>
      </c>
      <c r="C74" s="2598" t="s">
        <v>2543</v>
      </c>
      <c r="D74" s="2399"/>
      <c r="E74" s="2399"/>
      <c r="F74" s="2399"/>
      <c r="G74" s="2399"/>
      <c r="H74" s="2399"/>
      <c r="I74" s="2399"/>
      <c r="J74" s="2399"/>
      <c r="K74" s="2399"/>
      <c r="L74" s="2399"/>
      <c r="M74" s="2399"/>
      <c r="N74" s="2399"/>
      <c r="O74" s="2399"/>
      <c r="P74" s="2399"/>
      <c r="Q74" s="2399"/>
      <c r="R74" s="2399"/>
      <c r="S74" s="2399"/>
      <c r="T74" s="2399"/>
      <c r="U74" s="2399"/>
      <c r="V74" s="2399"/>
      <c r="W74" s="2399"/>
      <c r="X74" s="2399"/>
      <c r="Y74" s="2399"/>
      <c r="Z74" s="2399"/>
      <c r="AA74" s="2399"/>
      <c r="AB74" s="2399"/>
      <c r="AC74" s="3140" t="s">
        <v>1878</v>
      </c>
      <c r="AD74" s="3136">
        <v>28</v>
      </c>
      <c r="AE74" s="5121" t="str">
        <f>IF(AM75&lt;&gt;"",AM75,IF(OR(AND(AE67=0,AE68=0),AE70),"",IF(File_Single&lt;&gt;"",AQ85,AR85)))</f>
        <v/>
      </c>
      <c r="AF74" s="6489"/>
      <c r="AG74" s="6489"/>
      <c r="AH74" s="6489"/>
      <c r="AI74" s="6489"/>
      <c r="AJ74" s="6489"/>
      <c r="AK74" s="1706"/>
      <c r="AM74" s="3323"/>
      <c r="AO74" s="3450"/>
      <c r="AP74" s="3445" t="s">
        <v>2556</v>
      </c>
      <c r="AQ74" s="3446"/>
      <c r="AR74" s="3145" t="str">
        <f>IF(AT74,"Yes","No")</f>
        <v>No</v>
      </c>
      <c r="AS74" s="4008" t="str">
        <f>IF(ISERROR(AS70/AR71),"---",IF(AND(File_Marr_Sep&lt;&gt;"",AI13=""),"",IF(AT74,AM28,TRUNC(100*(AS70/AR71)))))</f>
        <v>---</v>
      </c>
      <c r="AT74" s="3449" t="b">
        <f>IF(AS70&gt;AS72,TRUE,FALSE)</f>
        <v>0</v>
      </c>
      <c r="AZ74" s="4011">
        <v>152</v>
      </c>
      <c r="BA74" s="4012">
        <v>4.1599999999999998E-2</v>
      </c>
      <c r="BC74" s="3458"/>
      <c r="BD74" s="3458"/>
      <c r="BE74" s="3458"/>
      <c r="BF74" s="3458"/>
      <c r="BG74" s="3458"/>
      <c r="BH74" s="3458"/>
      <c r="BI74" s="3458"/>
      <c r="BJ74" s="3458"/>
      <c r="BL74" s="64"/>
      <c r="BM74" s="64"/>
    </row>
    <row r="75" spans="1:65" ht="15.75" thickBot="1">
      <c r="A75" s="1706"/>
      <c r="B75" s="3139" t="s">
        <v>2264</v>
      </c>
      <c r="C75" s="2399" t="s">
        <v>2265</v>
      </c>
      <c r="D75" s="2399"/>
      <c r="E75" s="2399"/>
      <c r="F75" s="2399"/>
      <c r="G75" s="2399"/>
      <c r="H75" s="2399"/>
      <c r="I75" s="2399"/>
      <c r="J75" s="2399"/>
      <c r="K75" s="2399"/>
      <c r="L75" s="2399"/>
      <c r="M75" s="2399"/>
      <c r="N75" s="2399"/>
      <c r="O75" s="2399"/>
      <c r="P75" s="2399"/>
      <c r="Q75" s="2399"/>
      <c r="R75" s="2399"/>
      <c r="S75" s="2399"/>
      <c r="T75" s="2399"/>
      <c r="U75" s="2399"/>
      <c r="V75" s="2399"/>
      <c r="W75" s="2399"/>
      <c r="X75" s="2399"/>
      <c r="Y75" s="2399"/>
      <c r="Z75" s="2399"/>
      <c r="AA75" s="2399"/>
      <c r="AB75" s="2399"/>
      <c r="AC75" s="2399"/>
      <c r="AD75" s="3137"/>
      <c r="AE75" s="2399"/>
      <c r="AF75" s="2399"/>
      <c r="AG75" s="2399"/>
      <c r="AH75" s="2399"/>
      <c r="AI75" s="2399"/>
      <c r="AJ75" s="2399"/>
      <c r="AK75" s="1706"/>
      <c r="AM75" s="3323"/>
      <c r="AN75" s="3443"/>
      <c r="AO75" s="3450"/>
      <c r="AP75" s="3457"/>
      <c r="AQ75" s="3457"/>
      <c r="AR75" s="2399"/>
      <c r="AS75" s="2399"/>
      <c r="AT75" s="3170"/>
      <c r="AZ75" s="4011">
        <v>153</v>
      </c>
      <c r="BA75" s="4012">
        <v>4.2099999999999999E-2</v>
      </c>
      <c r="BC75" s="3458"/>
      <c r="BD75" s="3458"/>
      <c r="BE75" s="3458"/>
      <c r="BF75" s="3458"/>
      <c r="BG75" s="3458"/>
      <c r="BH75" s="3458"/>
      <c r="BI75" s="3458"/>
      <c r="BJ75" s="3458"/>
      <c r="BL75" s="64"/>
      <c r="BM75" s="64"/>
    </row>
    <row r="76" spans="1:65" ht="13.5" thickBot="1">
      <c r="A76" s="1706"/>
      <c r="B76" s="2399"/>
      <c r="C76" s="2399" t="s">
        <v>2266</v>
      </c>
      <c r="D76" s="2399"/>
      <c r="E76" s="2399"/>
      <c r="F76" s="2399"/>
      <c r="G76" s="2399"/>
      <c r="H76" s="2399"/>
      <c r="I76" s="2399"/>
      <c r="J76" s="2399"/>
      <c r="K76" s="2399"/>
      <c r="L76" s="2399"/>
      <c r="M76" s="2399"/>
      <c r="N76" s="2399"/>
      <c r="O76" s="2399"/>
      <c r="P76" s="2399"/>
      <c r="Q76" s="2399"/>
      <c r="R76" s="2399"/>
      <c r="S76" s="2399"/>
      <c r="T76" s="2399"/>
      <c r="U76" s="2399"/>
      <c r="V76" s="2399"/>
      <c r="W76" s="2399"/>
      <c r="X76" s="2399"/>
      <c r="Y76" s="2399"/>
      <c r="Z76" s="2399"/>
      <c r="AA76" s="2399"/>
      <c r="AB76" s="2399"/>
      <c r="AC76" s="3140" t="s">
        <v>688</v>
      </c>
      <c r="AD76" s="3136">
        <v>29</v>
      </c>
      <c r="AE76" s="5121" t="str">
        <f>IF(AM77&lt;&gt;"",AM77,IF(OR(AE67=AE68,AE70),"",MIN(AE73,AE74)))</f>
        <v/>
      </c>
      <c r="AF76" s="6489"/>
      <c r="AG76" s="6489"/>
      <c r="AH76" s="6489"/>
      <c r="AI76" s="6489"/>
      <c r="AJ76" s="6489"/>
      <c r="AK76" s="1706"/>
      <c r="AL76" s="3115"/>
      <c r="AM76" s="3116"/>
      <c r="AN76" s="3443"/>
      <c r="AO76" s="6562" t="str">
        <f>IF($AT$74,"Line 4.  Enter 401 here and on line 5 of Form 8962.","Line 4.  Divide the amount on line 1 by the amount on line 2. ")</f>
        <v xml:space="preserve">Line 4.  Divide the amount on line 1 by the amount on line 2. </v>
      </c>
      <c r="AP76" s="6563"/>
      <c r="AQ76" s="6563"/>
      <c r="AR76" s="6563"/>
      <c r="AS76" s="6563"/>
      <c r="AT76" s="6564"/>
      <c r="AZ76" s="4011">
        <v>154</v>
      </c>
      <c r="BA76" s="4012">
        <v>4.2599999999999999E-2</v>
      </c>
      <c r="BC76" s="3458"/>
      <c r="BD76" s="3458"/>
      <c r="BE76" s="3458"/>
      <c r="BF76" s="3458"/>
      <c r="BG76" s="3458"/>
      <c r="BH76" s="3458"/>
      <c r="BI76" s="3458"/>
      <c r="BJ76" s="3458"/>
      <c r="BL76" s="64"/>
      <c r="BM76" s="64"/>
    </row>
    <row r="77" spans="1:65" ht="16.5" thickBot="1">
      <c r="A77" s="3117"/>
      <c r="B77" s="3118" t="s">
        <v>779</v>
      </c>
      <c r="C77" s="3119"/>
      <c r="D77" s="3119"/>
      <c r="E77" s="3119"/>
      <c r="F77" s="3119"/>
      <c r="G77" s="3119"/>
      <c r="H77" s="3119"/>
      <c r="I77" s="3119"/>
      <c r="J77" s="3119"/>
      <c r="K77" s="3119"/>
      <c r="L77" s="3119"/>
      <c r="M77" s="3119"/>
      <c r="N77" s="3119"/>
      <c r="O77" s="3119"/>
      <c r="P77" s="3119"/>
      <c r="Q77" s="52"/>
      <c r="R77" s="52"/>
      <c r="S77" s="52"/>
      <c r="T77" s="52"/>
      <c r="U77" s="3120"/>
      <c r="V77" s="52"/>
      <c r="W77" s="3120" t="s">
        <v>2267</v>
      </c>
      <c r="X77" s="52"/>
      <c r="Y77" s="52"/>
      <c r="Z77" s="52"/>
      <c r="AA77" s="52"/>
      <c r="AB77" s="52"/>
      <c r="AC77" s="52"/>
      <c r="AD77" s="52"/>
      <c r="AE77" s="52"/>
      <c r="AF77" s="52"/>
      <c r="AG77" s="52"/>
      <c r="AH77" s="3121" t="s">
        <v>2268</v>
      </c>
      <c r="AI77" s="52"/>
      <c r="AJ77" s="3121" t="str">
        <f>"("&amp;TaxYear&amp;")"</f>
        <v>(2016)</v>
      </c>
      <c r="AK77" s="1706"/>
      <c r="AM77" s="3323"/>
      <c r="AN77" s="3115"/>
      <c r="AO77" s="6565" t="str">
        <f>IF($AT$74,"","Multiply by 100. Do not round. Use no numbers after the decimal point.")</f>
        <v>Multiply by 100. Do not round. Use no numbers after the decimal point.</v>
      </c>
      <c r="AP77" s="6566"/>
      <c r="AQ77" s="6566"/>
      <c r="AR77" s="6566"/>
      <c r="AS77" s="6566"/>
      <c r="AT77" s="6567"/>
      <c r="AZ77" s="4011">
        <v>155</v>
      </c>
      <c r="BA77" s="4012">
        <v>4.2999999999999997E-2</v>
      </c>
      <c r="BC77" s="3458"/>
      <c r="BD77" s="3458"/>
      <c r="BE77" s="3458"/>
      <c r="BF77" s="3458"/>
      <c r="BG77" s="3458"/>
      <c r="BH77" s="3458"/>
      <c r="BI77" s="3458"/>
      <c r="BJ77" s="3458"/>
      <c r="BL77" s="64"/>
      <c r="BM77" s="64"/>
    </row>
    <row r="78" spans="1:65" ht="18" customHeight="1" thickBot="1">
      <c r="A78" s="1706"/>
      <c r="B78" s="3156" t="str">
        <f>"Form 8962 ("&amp;TaxYear&amp;")"</f>
        <v>Form 8962 (2016)</v>
      </c>
      <c r="C78" s="3156"/>
      <c r="D78" s="3156"/>
      <c r="E78" s="3156"/>
      <c r="F78" s="3156"/>
      <c r="G78" s="3156"/>
      <c r="H78" s="3156"/>
      <c r="I78" s="3156"/>
      <c r="J78" s="3156"/>
      <c r="K78" s="3156"/>
      <c r="L78" s="3156"/>
      <c r="M78" s="3156"/>
      <c r="N78" s="3156"/>
      <c r="O78" s="3156"/>
      <c r="P78" s="3156"/>
      <c r="Q78" s="3156"/>
      <c r="R78" s="3156"/>
      <c r="S78" s="3156"/>
      <c r="T78" s="3156"/>
      <c r="U78" s="3156"/>
      <c r="V78" s="3156"/>
      <c r="W78" s="3156"/>
      <c r="X78" s="3156"/>
      <c r="Y78" s="3156"/>
      <c r="Z78" s="3156"/>
      <c r="AA78" s="3156"/>
      <c r="AB78" s="3156"/>
      <c r="AC78" s="3156"/>
      <c r="AD78" s="3156"/>
      <c r="AE78" s="3156"/>
      <c r="AF78" s="3156"/>
      <c r="AG78" s="3156"/>
      <c r="AH78" s="3156"/>
      <c r="AI78" s="3157" t="s">
        <v>330</v>
      </c>
      <c r="AJ78" s="3158">
        <v>2</v>
      </c>
      <c r="AK78" s="1706"/>
      <c r="AO78" s="3442"/>
      <c r="AP78" s="3177"/>
      <c r="AQ78" s="3177"/>
      <c r="AZ78" s="4011">
        <v>156</v>
      </c>
      <c r="BA78" s="4012">
        <v>4.3499999999999997E-2</v>
      </c>
      <c r="BC78" s="3458"/>
      <c r="BD78" s="3458"/>
      <c r="BE78" s="3458"/>
      <c r="BF78" s="3458"/>
      <c r="BG78" s="3458"/>
      <c r="BH78" s="3458"/>
      <c r="BI78" s="3458"/>
      <c r="BJ78" s="3458"/>
      <c r="BL78" s="64"/>
      <c r="BM78" s="64"/>
    </row>
    <row r="79" spans="1:65" ht="18" customHeight="1" thickTop="1" thickBot="1">
      <c r="A79" s="1706"/>
      <c r="B79" s="3407" t="s">
        <v>756</v>
      </c>
      <c r="C79" s="3408"/>
      <c r="D79" s="3155" t="s">
        <v>3232</v>
      </c>
      <c r="E79" s="3132"/>
      <c r="F79" s="3132"/>
      <c r="G79" s="3132"/>
      <c r="H79" s="3132"/>
      <c r="I79" s="3132"/>
      <c r="J79" s="3132"/>
      <c r="K79" s="3132"/>
      <c r="L79" s="3132"/>
      <c r="M79" s="3132"/>
      <c r="N79" s="3132"/>
      <c r="O79" s="3132"/>
      <c r="P79" s="3132"/>
      <c r="Q79" s="3132"/>
      <c r="R79" s="3132"/>
      <c r="S79" s="3132"/>
      <c r="T79" s="3132"/>
      <c r="U79" s="3132"/>
      <c r="V79" s="3132"/>
      <c r="W79" s="3132"/>
      <c r="X79" s="3132"/>
      <c r="Y79" s="3132"/>
      <c r="Z79" s="3132"/>
      <c r="AA79" s="3132"/>
      <c r="AB79" s="3132"/>
      <c r="AC79" s="3132"/>
      <c r="AD79" s="3132"/>
      <c r="AE79" s="3132"/>
      <c r="AF79" s="3132"/>
      <c r="AG79" s="3132"/>
      <c r="AH79" s="3132"/>
      <c r="AI79" s="3132"/>
      <c r="AJ79" s="3132"/>
      <c r="AK79" s="1706"/>
      <c r="AO79" s="3183" t="s">
        <v>2316</v>
      </c>
      <c r="AP79" s="3184"/>
      <c r="AQ79" s="3184"/>
      <c r="AR79" s="3185"/>
      <c r="AZ79" s="4011">
        <v>157</v>
      </c>
      <c r="BA79" s="4012">
        <v>4.3999999999999997E-2</v>
      </c>
      <c r="BC79" s="3458"/>
      <c r="BD79" s="3458"/>
      <c r="BE79" s="3458"/>
      <c r="BF79" s="3458"/>
      <c r="BG79" s="3458"/>
      <c r="BH79" s="3458"/>
      <c r="BI79" s="3458"/>
      <c r="BJ79" s="3458"/>
      <c r="BL79" s="64"/>
      <c r="BM79" s="64"/>
    </row>
    <row r="80" spans="1:65" ht="17.25" customHeight="1">
      <c r="A80" s="1706"/>
      <c r="B80" s="3133" t="s">
        <v>2270</v>
      </c>
      <c r="C80" s="3133"/>
      <c r="D80" s="3133"/>
      <c r="E80" s="3133"/>
      <c r="F80" s="3133"/>
      <c r="G80" s="3133"/>
      <c r="H80" s="3133"/>
      <c r="I80" s="3133"/>
      <c r="J80" s="3133"/>
      <c r="K80" s="3133"/>
      <c r="L80" s="3133"/>
      <c r="M80" s="3133"/>
      <c r="N80" s="3133"/>
      <c r="O80" s="3133"/>
      <c r="P80" s="3133"/>
      <c r="Q80" s="3133"/>
      <c r="R80" s="3133"/>
      <c r="S80" s="3133"/>
      <c r="T80" s="3133"/>
      <c r="U80" s="3133"/>
      <c r="V80" s="3133"/>
      <c r="W80" s="3133"/>
      <c r="X80" s="3133"/>
      <c r="Y80" s="3133"/>
      <c r="Z80" s="3133"/>
      <c r="AA80" s="3133"/>
      <c r="AB80" s="3133"/>
      <c r="AC80" s="3133"/>
      <c r="AD80" s="3133"/>
      <c r="AE80" s="3133"/>
      <c r="AF80" s="3133"/>
      <c r="AG80" s="3133"/>
      <c r="AH80" s="3133"/>
      <c r="AI80" s="3133"/>
      <c r="AJ80" s="3133"/>
      <c r="AK80" s="1706"/>
      <c r="AO80" s="3181" t="s">
        <v>2319</v>
      </c>
      <c r="AP80" s="3182" t="s">
        <v>2320</v>
      </c>
      <c r="AQ80" s="3182" t="s">
        <v>124</v>
      </c>
      <c r="AR80" s="3186" t="s">
        <v>2317</v>
      </c>
      <c r="AZ80" s="4011">
        <v>158</v>
      </c>
      <c r="BA80" s="4012">
        <v>4.4400000000000002E-2</v>
      </c>
      <c r="BC80" s="3458"/>
      <c r="BD80" s="3458"/>
      <c r="BE80" s="3458"/>
      <c r="BF80" s="3458"/>
      <c r="BG80" s="3458"/>
      <c r="BH80" s="3458"/>
      <c r="BI80" s="3458"/>
      <c r="BJ80" s="3458"/>
      <c r="BL80" s="64"/>
      <c r="BM80" s="64"/>
    </row>
    <row r="81" spans="1:65">
      <c r="A81" s="1706"/>
      <c r="B81" s="3159" t="s">
        <v>3233</v>
      </c>
      <c r="C81" s="3132"/>
      <c r="D81" s="3132"/>
      <c r="E81" s="3132"/>
      <c r="F81" s="3132"/>
      <c r="G81" s="3132"/>
      <c r="H81" s="3132"/>
      <c r="I81" s="3132"/>
      <c r="J81" s="3132"/>
      <c r="K81" s="3132"/>
      <c r="L81" s="3132"/>
      <c r="M81" s="3132"/>
      <c r="N81" s="3132"/>
      <c r="O81" s="3132"/>
      <c r="P81" s="3132"/>
      <c r="Q81" s="3132"/>
      <c r="R81" s="3132"/>
      <c r="S81" s="3132"/>
      <c r="T81" s="3132"/>
      <c r="U81" s="3132"/>
      <c r="V81" s="3132"/>
      <c r="W81" s="3132"/>
      <c r="X81" s="3132"/>
      <c r="Y81" s="3132"/>
      <c r="Z81" s="3132"/>
      <c r="AA81" s="3132"/>
      <c r="AB81" s="3132"/>
      <c r="AC81" s="3132"/>
      <c r="AD81" s="3132"/>
      <c r="AE81" s="3132"/>
      <c r="AF81" s="3132"/>
      <c r="AG81" s="3132"/>
      <c r="AH81" s="3132"/>
      <c r="AI81" s="3132"/>
      <c r="AJ81" s="3132"/>
      <c r="AK81" s="1706"/>
      <c r="AO81" s="3180">
        <v>0</v>
      </c>
      <c r="AP81" s="3187">
        <v>200</v>
      </c>
      <c r="AQ81" s="3709">
        <v>300</v>
      </c>
      <c r="AR81" s="3710">
        <v>600</v>
      </c>
      <c r="AZ81" s="4011">
        <v>159</v>
      </c>
      <c r="BA81" s="4012">
        <v>4.4900000000000002E-2</v>
      </c>
      <c r="BC81" s="3458"/>
      <c r="BD81" s="3458"/>
      <c r="BE81" s="3458"/>
      <c r="BF81" s="3458"/>
      <c r="BG81" s="3458"/>
      <c r="BH81" s="3458"/>
      <c r="BI81" s="3458"/>
      <c r="BJ81" s="3458"/>
      <c r="BL81" s="64"/>
      <c r="BM81" s="64"/>
    </row>
    <row r="82" spans="1:65" ht="16.5" customHeight="1">
      <c r="A82" s="1706"/>
      <c r="B82" s="3139" t="s">
        <v>2271</v>
      </c>
      <c r="C82" s="2399"/>
      <c r="D82" s="3160" t="s">
        <v>1860</v>
      </c>
      <c r="E82" s="3161" t="s">
        <v>2272</v>
      </c>
      <c r="F82" s="3161"/>
      <c r="G82" s="3161"/>
      <c r="H82" s="3161"/>
      <c r="I82" s="3161"/>
      <c r="J82" s="3161"/>
      <c r="K82" s="3161"/>
      <c r="L82" s="3161"/>
      <c r="M82" s="3162"/>
      <c r="N82" s="3163" t="s">
        <v>1862</v>
      </c>
      <c r="O82" s="3410" t="s">
        <v>2544</v>
      </c>
      <c r="P82" s="3161"/>
      <c r="Q82" s="3161"/>
      <c r="R82" s="3161"/>
      <c r="S82" s="3161"/>
      <c r="T82" s="3161"/>
      <c r="U82" s="3161"/>
      <c r="V82" s="3162"/>
      <c r="W82" s="3163" t="s">
        <v>1865</v>
      </c>
      <c r="X82" s="3161" t="s">
        <v>2273</v>
      </c>
      <c r="Y82" s="3161"/>
      <c r="Z82" s="3161"/>
      <c r="AA82" s="3161"/>
      <c r="AB82" s="3161"/>
      <c r="AC82" s="3162"/>
      <c r="AD82" s="3163" t="s">
        <v>1549</v>
      </c>
      <c r="AE82" s="3161" t="s">
        <v>2274</v>
      </c>
      <c r="AF82" s="3161"/>
      <c r="AG82" s="3161"/>
      <c r="AH82" s="3161"/>
      <c r="AI82" s="3161"/>
      <c r="AJ82" s="3161"/>
      <c r="AK82" s="1706"/>
      <c r="AO82" s="3180">
        <v>200</v>
      </c>
      <c r="AP82" s="3187">
        <v>300</v>
      </c>
      <c r="AQ82" s="3709">
        <v>750</v>
      </c>
      <c r="AR82" s="3710">
        <v>1500</v>
      </c>
      <c r="AZ82" s="4011">
        <v>160</v>
      </c>
      <c r="BA82" s="4012">
        <v>4.5400000000000003E-2</v>
      </c>
      <c r="BC82" s="3458"/>
      <c r="BD82" s="3458"/>
      <c r="BE82" s="3458"/>
      <c r="BF82" s="3458"/>
      <c r="BG82" s="3458"/>
      <c r="BH82" s="3458"/>
      <c r="BI82" s="3458"/>
      <c r="BJ82" s="3458"/>
      <c r="BL82" s="64"/>
      <c r="BM82" s="64"/>
    </row>
    <row r="83" spans="1:65" ht="15">
      <c r="A83" s="1706"/>
      <c r="B83" s="3139"/>
      <c r="C83" s="304"/>
      <c r="D83" s="6463"/>
      <c r="E83" s="6463"/>
      <c r="F83" s="6463"/>
      <c r="G83" s="6463"/>
      <c r="H83" s="6463"/>
      <c r="I83" s="6464"/>
      <c r="J83" s="6464"/>
      <c r="K83" s="6464"/>
      <c r="L83" s="6464"/>
      <c r="M83" s="6465"/>
      <c r="N83" s="6466"/>
      <c r="O83" s="6467"/>
      <c r="P83" s="6467"/>
      <c r="Q83" s="6467"/>
      <c r="R83" s="6467"/>
      <c r="S83" s="6468"/>
      <c r="T83" s="6468"/>
      <c r="U83" s="6468"/>
      <c r="V83" s="6469"/>
      <c r="W83" s="6459"/>
      <c r="X83" s="6460"/>
      <c r="Y83" s="6460"/>
      <c r="Z83" s="6460"/>
      <c r="AA83" s="6460"/>
      <c r="AB83" s="6461"/>
      <c r="AC83" s="6461"/>
      <c r="AD83" s="6470"/>
      <c r="AE83" s="6460"/>
      <c r="AF83" s="6460"/>
      <c r="AG83" s="6460"/>
      <c r="AH83" s="6460"/>
      <c r="AI83" s="6461"/>
      <c r="AJ83" s="6461"/>
      <c r="AK83" s="1706"/>
      <c r="AO83" s="3180">
        <v>300</v>
      </c>
      <c r="AP83" s="3187">
        <v>400</v>
      </c>
      <c r="AQ83" s="3709">
        <v>1250</v>
      </c>
      <c r="AR83" s="3710">
        <v>2500</v>
      </c>
      <c r="AZ83" s="4011">
        <v>161</v>
      </c>
      <c r="BA83" s="4012">
        <v>4.58E-2</v>
      </c>
      <c r="BC83" s="3458"/>
      <c r="BD83" s="3458"/>
      <c r="BE83" s="3458"/>
      <c r="BF83" s="3458"/>
      <c r="BG83" s="3458"/>
      <c r="BH83" s="3458"/>
      <c r="BI83" s="3458"/>
      <c r="BJ83" s="3458"/>
      <c r="BL83" s="64"/>
      <c r="BM83" s="64"/>
    </row>
    <row r="84" spans="1:65" ht="13.5" thickBot="1">
      <c r="A84" s="1706"/>
      <c r="B84" s="2399"/>
      <c r="C84" s="2399"/>
      <c r="D84" s="6471" t="s">
        <v>2275</v>
      </c>
      <c r="E84" s="6472"/>
      <c r="F84" s="6472"/>
      <c r="G84" s="6472"/>
      <c r="H84" s="6472"/>
      <c r="I84" s="6473"/>
      <c r="J84" s="6478" t="s">
        <v>2545</v>
      </c>
      <c r="K84" s="6479"/>
      <c r="L84" s="6479"/>
      <c r="M84" s="6479"/>
      <c r="N84" s="6479"/>
      <c r="O84" s="6479"/>
      <c r="P84" s="6479"/>
      <c r="Q84" s="6479"/>
      <c r="R84" s="6480"/>
      <c r="S84" s="6478" t="s">
        <v>2546</v>
      </c>
      <c r="T84" s="6479"/>
      <c r="U84" s="6479"/>
      <c r="V84" s="6479"/>
      <c r="W84" s="6479"/>
      <c r="X84" s="6479"/>
      <c r="Y84" s="6479"/>
      <c r="Z84" s="6479"/>
      <c r="AA84" s="6480"/>
      <c r="AB84" s="6484" t="s">
        <v>2547</v>
      </c>
      <c r="AC84" s="6479"/>
      <c r="AD84" s="6479"/>
      <c r="AE84" s="6479"/>
      <c r="AF84" s="6479"/>
      <c r="AG84" s="6479"/>
      <c r="AH84" s="6479"/>
      <c r="AI84" s="6479"/>
      <c r="AJ84" s="6479"/>
      <c r="AK84" s="1706"/>
      <c r="AO84" s="6543" t="s">
        <v>3146</v>
      </c>
      <c r="AP84" s="6544"/>
      <c r="AQ84" s="6545"/>
      <c r="AR84" s="6546"/>
      <c r="AZ84" s="4011">
        <v>162</v>
      </c>
      <c r="BA84" s="4012">
        <v>4.6300000000000001E-2</v>
      </c>
      <c r="BC84" s="3458"/>
      <c r="BD84" s="3458"/>
      <c r="BE84" s="3458"/>
      <c r="BF84" s="3458"/>
      <c r="BG84" s="3458"/>
      <c r="BH84" s="3458"/>
      <c r="BI84" s="3458"/>
      <c r="BJ84" s="3458"/>
      <c r="BL84" s="64"/>
      <c r="BM84" s="64"/>
    </row>
    <row r="85" spans="1:65">
      <c r="A85" s="1706"/>
      <c r="B85" s="2399"/>
      <c r="C85" s="2399"/>
      <c r="D85" s="6474"/>
      <c r="E85" s="6474"/>
      <c r="F85" s="6474"/>
      <c r="G85" s="6474"/>
      <c r="H85" s="6474"/>
      <c r="I85" s="6475"/>
      <c r="J85" s="6481"/>
      <c r="K85" s="6482"/>
      <c r="L85" s="6482"/>
      <c r="M85" s="6482"/>
      <c r="N85" s="6482"/>
      <c r="O85" s="6482"/>
      <c r="P85" s="6482"/>
      <c r="Q85" s="6482"/>
      <c r="R85" s="6483"/>
      <c r="S85" s="6481"/>
      <c r="T85" s="6482"/>
      <c r="U85" s="6482"/>
      <c r="V85" s="6482"/>
      <c r="W85" s="6482"/>
      <c r="X85" s="6482"/>
      <c r="Y85" s="6482"/>
      <c r="Z85" s="6482"/>
      <c r="AA85" s="6483"/>
      <c r="AB85" s="6481"/>
      <c r="AC85" s="6482"/>
      <c r="AD85" s="6482"/>
      <c r="AE85" s="6482"/>
      <c r="AF85" s="6482"/>
      <c r="AG85" s="6482"/>
      <c r="AH85" s="6482"/>
      <c r="AI85" s="6482"/>
      <c r="AJ85" s="6482"/>
      <c r="AK85" s="1706"/>
      <c r="AO85" s="3177"/>
      <c r="AP85" s="3177"/>
      <c r="AQ85" s="64" t="str">
        <f>IF(OR(AE17=0,AE27=400,AE27=401),"",LOOKUP($AE$27,$AO$81:$AO$83,AQ81:AQ83))</f>
        <v/>
      </c>
      <c r="AR85" s="64" t="str">
        <f>IF(OR(AE17=0,AE27=400,AE27=401),"",LOOKUP($AE$27,$AO$81:$AO$83,AR81:AR83))</f>
        <v/>
      </c>
      <c r="AZ85" s="4011">
        <v>163</v>
      </c>
      <c r="BA85" s="4012">
        <v>4.6800000000000001E-2</v>
      </c>
      <c r="BC85" s="3458"/>
      <c r="BD85" s="3458"/>
      <c r="BE85" s="3458"/>
      <c r="BF85" s="3458"/>
      <c r="BG85" s="3458"/>
      <c r="BH85" s="3458"/>
      <c r="BI85" s="3458"/>
      <c r="BJ85" s="3458"/>
      <c r="BL85" s="64"/>
      <c r="BM85" s="64"/>
    </row>
    <row r="86" spans="1:65">
      <c r="A86" s="1706"/>
      <c r="B86" s="2399"/>
      <c r="C86" s="2399"/>
      <c r="D86" s="6474"/>
      <c r="E86" s="6474"/>
      <c r="F86" s="6474"/>
      <c r="G86" s="6474"/>
      <c r="H86" s="6474"/>
      <c r="I86" s="6475"/>
      <c r="J86" s="6481"/>
      <c r="K86" s="6482"/>
      <c r="L86" s="6482"/>
      <c r="M86" s="6482"/>
      <c r="N86" s="6482"/>
      <c r="O86" s="6482"/>
      <c r="P86" s="6482"/>
      <c r="Q86" s="6482"/>
      <c r="R86" s="6483"/>
      <c r="S86" s="6481"/>
      <c r="T86" s="6482"/>
      <c r="U86" s="6482"/>
      <c r="V86" s="6482"/>
      <c r="W86" s="6482"/>
      <c r="X86" s="6482"/>
      <c r="Y86" s="6482"/>
      <c r="Z86" s="6482"/>
      <c r="AA86" s="6483"/>
      <c r="AB86" s="6481"/>
      <c r="AC86" s="6482"/>
      <c r="AD86" s="6482"/>
      <c r="AE86" s="6482"/>
      <c r="AF86" s="6482"/>
      <c r="AG86" s="6482"/>
      <c r="AH86" s="6482"/>
      <c r="AI86" s="6482"/>
      <c r="AJ86" s="6482"/>
      <c r="AK86" s="1706"/>
      <c r="AO86" s="3177"/>
      <c r="AP86" s="3177"/>
      <c r="AZ86" s="4011">
        <v>164</v>
      </c>
      <c r="BA86" s="4012">
        <v>4.7300000000000002E-2</v>
      </c>
      <c r="BC86" s="3458"/>
      <c r="BD86" s="3458"/>
      <c r="BE86" s="3458"/>
      <c r="BF86" s="3458"/>
      <c r="BG86" s="3458"/>
      <c r="BH86" s="3458"/>
      <c r="BI86" s="3458"/>
      <c r="BJ86" s="3458"/>
      <c r="BL86" s="64"/>
      <c r="BM86" s="64"/>
    </row>
    <row r="87" spans="1:65">
      <c r="A87" s="1706"/>
      <c r="B87" s="2399"/>
      <c r="C87" s="2399"/>
      <c r="D87" s="6474"/>
      <c r="E87" s="6474"/>
      <c r="F87" s="6474"/>
      <c r="G87" s="6474"/>
      <c r="H87" s="6474"/>
      <c r="I87" s="6475"/>
      <c r="J87" s="6481"/>
      <c r="K87" s="6482"/>
      <c r="L87" s="6482"/>
      <c r="M87" s="6482"/>
      <c r="N87" s="6482"/>
      <c r="O87" s="6482"/>
      <c r="P87" s="6482"/>
      <c r="Q87" s="6482"/>
      <c r="R87" s="6483"/>
      <c r="S87" s="6481"/>
      <c r="T87" s="6482"/>
      <c r="U87" s="6482"/>
      <c r="V87" s="6482"/>
      <c r="W87" s="6482"/>
      <c r="X87" s="6482"/>
      <c r="Y87" s="6482"/>
      <c r="Z87" s="6482"/>
      <c r="AA87" s="6483"/>
      <c r="AB87" s="6481"/>
      <c r="AC87" s="6482"/>
      <c r="AD87" s="6482"/>
      <c r="AE87" s="6482"/>
      <c r="AF87" s="6482"/>
      <c r="AG87" s="6482"/>
      <c r="AH87" s="6482"/>
      <c r="AI87" s="6482"/>
      <c r="AJ87" s="6482"/>
      <c r="AK87" s="1706"/>
      <c r="AO87" s="3177"/>
      <c r="AP87" s="3177"/>
      <c r="AZ87" s="4011">
        <v>165</v>
      </c>
      <c r="BA87" s="4012">
        <v>4.7699999999999999E-2</v>
      </c>
      <c r="BC87" s="3458"/>
      <c r="BD87" s="3458"/>
      <c r="BE87" s="3458"/>
      <c r="BF87" s="3458"/>
      <c r="BG87" s="3458"/>
      <c r="BH87" s="3458"/>
      <c r="BI87" s="3458"/>
      <c r="BJ87" s="3458"/>
      <c r="BL87" s="64"/>
      <c r="BM87" s="64"/>
    </row>
    <row r="88" spans="1:65" ht="18" customHeight="1">
      <c r="A88" s="1706"/>
      <c r="B88" s="3132"/>
      <c r="C88" s="3132"/>
      <c r="D88" s="6476"/>
      <c r="E88" s="6476"/>
      <c r="F88" s="6476"/>
      <c r="G88" s="6476"/>
      <c r="H88" s="6476"/>
      <c r="I88" s="6477"/>
      <c r="J88" s="6485"/>
      <c r="K88" s="6486"/>
      <c r="L88" s="6486"/>
      <c r="M88" s="6486"/>
      <c r="N88" s="6486"/>
      <c r="O88" s="6487"/>
      <c r="P88" s="6487"/>
      <c r="Q88" s="6487"/>
      <c r="R88" s="6488"/>
      <c r="S88" s="6485"/>
      <c r="T88" s="6486"/>
      <c r="U88" s="6486"/>
      <c r="V88" s="6486"/>
      <c r="W88" s="6486"/>
      <c r="X88" s="6487"/>
      <c r="Y88" s="6487"/>
      <c r="Z88" s="6487"/>
      <c r="AA88" s="6488"/>
      <c r="AB88" s="6486"/>
      <c r="AC88" s="6486"/>
      <c r="AD88" s="6486"/>
      <c r="AE88" s="6486"/>
      <c r="AF88" s="6486"/>
      <c r="AG88" s="6487"/>
      <c r="AH88" s="6487"/>
      <c r="AI88" s="6487"/>
      <c r="AJ88" s="6487"/>
      <c r="AK88" s="1706"/>
      <c r="AO88" s="3177"/>
      <c r="AP88" s="3177"/>
      <c r="AZ88" s="4011">
        <v>166</v>
      </c>
      <c r="BA88" s="4012">
        <v>4.82E-2</v>
      </c>
      <c r="BC88" s="3458"/>
      <c r="BD88" s="3458"/>
      <c r="BE88" s="3458"/>
      <c r="BF88" s="3458"/>
      <c r="BG88" s="3458"/>
      <c r="BH88" s="3458"/>
      <c r="BI88" s="3458"/>
      <c r="BJ88" s="3458"/>
      <c r="BL88" s="64"/>
      <c r="BM88" s="64"/>
    </row>
    <row r="89" spans="1:65">
      <c r="A89" s="1706"/>
      <c r="B89" s="3159" t="s">
        <v>3234</v>
      </c>
      <c r="C89" s="3132"/>
      <c r="D89" s="3132"/>
      <c r="E89" s="3132"/>
      <c r="F89" s="3132"/>
      <c r="G89" s="3132"/>
      <c r="H89" s="3132"/>
      <c r="I89" s="3132"/>
      <c r="J89" s="3132"/>
      <c r="K89" s="3132"/>
      <c r="L89" s="3132"/>
      <c r="M89" s="3132"/>
      <c r="N89" s="3132"/>
      <c r="O89" s="3132"/>
      <c r="P89" s="3132"/>
      <c r="Q89" s="3132"/>
      <c r="R89" s="3132"/>
      <c r="S89" s="3132"/>
      <c r="T89" s="3132"/>
      <c r="U89" s="3132"/>
      <c r="V89" s="3132"/>
      <c r="W89" s="3132"/>
      <c r="X89" s="3132"/>
      <c r="Y89" s="3132"/>
      <c r="Z89" s="3132"/>
      <c r="AA89" s="3132"/>
      <c r="AB89" s="3132"/>
      <c r="AC89" s="3132"/>
      <c r="AD89" s="3132"/>
      <c r="AE89" s="3132"/>
      <c r="AF89" s="3132"/>
      <c r="AG89" s="3132"/>
      <c r="AH89" s="3132"/>
      <c r="AI89" s="3132"/>
      <c r="AJ89" s="3132"/>
      <c r="AK89" s="1706"/>
      <c r="AO89" s="3177"/>
      <c r="AP89" s="3177"/>
      <c r="AZ89" s="4011">
        <v>167</v>
      </c>
      <c r="BA89" s="4012">
        <v>4.87E-2</v>
      </c>
      <c r="BC89" s="3458"/>
      <c r="BD89" s="3458"/>
      <c r="BE89" s="3458"/>
      <c r="BF89" s="3458"/>
      <c r="BG89" s="3458"/>
      <c r="BH89" s="3458"/>
      <c r="BI89" s="3458"/>
      <c r="BJ89" s="3458"/>
      <c r="BL89" s="64"/>
      <c r="BM89" s="64"/>
    </row>
    <row r="90" spans="1:65" ht="16.5" customHeight="1">
      <c r="A90" s="1706"/>
      <c r="B90" s="3139" t="s">
        <v>2276</v>
      </c>
      <c r="C90" s="2399"/>
      <c r="D90" s="3160" t="s">
        <v>1860</v>
      </c>
      <c r="E90" s="3161" t="s">
        <v>2272</v>
      </c>
      <c r="F90" s="3161"/>
      <c r="G90" s="3161"/>
      <c r="H90" s="3161"/>
      <c r="I90" s="3161"/>
      <c r="J90" s="3161"/>
      <c r="K90" s="3161"/>
      <c r="L90" s="3161"/>
      <c r="M90" s="3162"/>
      <c r="N90" s="3163" t="s">
        <v>1862</v>
      </c>
      <c r="O90" s="3410" t="s">
        <v>2544</v>
      </c>
      <c r="P90" s="3161"/>
      <c r="Q90" s="3161"/>
      <c r="R90" s="3161"/>
      <c r="S90" s="3161"/>
      <c r="T90" s="3161"/>
      <c r="U90" s="3161"/>
      <c r="V90" s="3162"/>
      <c r="W90" s="3163" t="s">
        <v>1865</v>
      </c>
      <c r="X90" s="3161" t="s">
        <v>2273</v>
      </c>
      <c r="Y90" s="3161"/>
      <c r="Z90" s="3161"/>
      <c r="AA90" s="3161"/>
      <c r="AB90" s="3161"/>
      <c r="AC90" s="3162"/>
      <c r="AD90" s="3163" t="s">
        <v>1549</v>
      </c>
      <c r="AE90" s="3161" t="s">
        <v>2274</v>
      </c>
      <c r="AF90" s="3161"/>
      <c r="AG90" s="3161"/>
      <c r="AH90" s="3161"/>
      <c r="AI90" s="3161"/>
      <c r="AJ90" s="3161"/>
      <c r="AK90" s="1706"/>
      <c r="AO90" s="3177"/>
      <c r="AP90" s="3177"/>
      <c r="AZ90" s="4011">
        <v>168</v>
      </c>
      <c r="BA90" s="4012">
        <v>4.9099999999999998E-2</v>
      </c>
      <c r="BC90" s="3458"/>
      <c r="BD90" s="3458"/>
      <c r="BE90" s="3458"/>
      <c r="BF90" s="3458"/>
      <c r="BG90" s="3458"/>
      <c r="BH90" s="3458"/>
      <c r="BI90" s="3458"/>
      <c r="BJ90" s="3458"/>
      <c r="BL90" s="64"/>
      <c r="BM90" s="64"/>
    </row>
    <row r="91" spans="1:65" ht="15">
      <c r="A91" s="1706"/>
      <c r="B91" s="3139"/>
      <c r="C91" s="304"/>
      <c r="D91" s="6463"/>
      <c r="E91" s="6463"/>
      <c r="F91" s="6463"/>
      <c r="G91" s="6463"/>
      <c r="H91" s="6463"/>
      <c r="I91" s="6464"/>
      <c r="J91" s="6464"/>
      <c r="K91" s="6464"/>
      <c r="L91" s="6464"/>
      <c r="M91" s="6465"/>
      <c r="N91" s="6466"/>
      <c r="O91" s="6467"/>
      <c r="P91" s="6467"/>
      <c r="Q91" s="6467"/>
      <c r="R91" s="6467"/>
      <c r="S91" s="6468"/>
      <c r="T91" s="6468"/>
      <c r="U91" s="6468"/>
      <c r="V91" s="6469"/>
      <c r="W91" s="6459"/>
      <c r="X91" s="6460"/>
      <c r="Y91" s="6460"/>
      <c r="Z91" s="6460"/>
      <c r="AA91" s="6460"/>
      <c r="AB91" s="6461"/>
      <c r="AC91" s="6461"/>
      <c r="AD91" s="6470"/>
      <c r="AE91" s="6460"/>
      <c r="AF91" s="6460"/>
      <c r="AG91" s="6460"/>
      <c r="AH91" s="6460"/>
      <c r="AI91" s="6461"/>
      <c r="AJ91" s="6461"/>
      <c r="AK91" s="1706"/>
      <c r="AO91" s="3177"/>
      <c r="AP91" s="3177"/>
      <c r="AZ91" s="4011">
        <v>169</v>
      </c>
      <c r="BA91" s="4012">
        <v>4.9599999999999998E-2</v>
      </c>
      <c r="BC91" s="3458"/>
      <c r="BD91" s="3458"/>
      <c r="BE91" s="3458"/>
      <c r="BF91" s="3458"/>
      <c r="BG91" s="3458"/>
      <c r="BH91" s="3458"/>
      <c r="BI91" s="3458"/>
      <c r="BJ91" s="3458"/>
      <c r="BL91" s="64"/>
      <c r="BM91" s="64"/>
    </row>
    <row r="92" spans="1:65">
      <c r="A92" s="1706"/>
      <c r="B92" s="2399"/>
      <c r="C92" s="2399"/>
      <c r="D92" s="6471" t="s">
        <v>2275</v>
      </c>
      <c r="E92" s="6472"/>
      <c r="F92" s="6472"/>
      <c r="G92" s="6472"/>
      <c r="H92" s="6472"/>
      <c r="I92" s="6473"/>
      <c r="J92" s="6478" t="s">
        <v>2545</v>
      </c>
      <c r="K92" s="6479"/>
      <c r="L92" s="6479"/>
      <c r="M92" s="6479"/>
      <c r="N92" s="6479"/>
      <c r="O92" s="6479"/>
      <c r="P92" s="6479"/>
      <c r="Q92" s="6479"/>
      <c r="R92" s="6480"/>
      <c r="S92" s="6478" t="s">
        <v>2546</v>
      </c>
      <c r="T92" s="6479"/>
      <c r="U92" s="6479"/>
      <c r="V92" s="6479"/>
      <c r="W92" s="6479"/>
      <c r="X92" s="6479"/>
      <c r="Y92" s="6479"/>
      <c r="Z92" s="6479"/>
      <c r="AA92" s="6480"/>
      <c r="AB92" s="6484" t="s">
        <v>2547</v>
      </c>
      <c r="AC92" s="6479"/>
      <c r="AD92" s="6479"/>
      <c r="AE92" s="6479"/>
      <c r="AF92" s="6479"/>
      <c r="AG92" s="6479"/>
      <c r="AH92" s="6479"/>
      <c r="AI92" s="6479"/>
      <c r="AJ92" s="6479"/>
      <c r="AK92" s="1706"/>
      <c r="AO92" s="3177"/>
      <c r="AP92" s="3177"/>
      <c r="AZ92" s="4011">
        <v>170</v>
      </c>
      <c r="BA92" s="4012">
        <v>5.0099999999999999E-2</v>
      </c>
      <c r="BL92" s="64"/>
      <c r="BM92" s="64"/>
    </row>
    <row r="93" spans="1:65" ht="12.75" customHeight="1">
      <c r="A93" s="1706"/>
      <c r="B93" s="2399"/>
      <c r="C93" s="2399"/>
      <c r="D93" s="6474"/>
      <c r="E93" s="6474"/>
      <c r="F93" s="6474"/>
      <c r="G93" s="6474"/>
      <c r="H93" s="6474"/>
      <c r="I93" s="6475"/>
      <c r="J93" s="6481"/>
      <c r="K93" s="6482"/>
      <c r="L93" s="6482"/>
      <c r="M93" s="6482"/>
      <c r="N93" s="6482"/>
      <c r="O93" s="6482"/>
      <c r="P93" s="6482"/>
      <c r="Q93" s="6482"/>
      <c r="R93" s="6483"/>
      <c r="S93" s="6481"/>
      <c r="T93" s="6482"/>
      <c r="U93" s="6482"/>
      <c r="V93" s="6482"/>
      <c r="W93" s="6482"/>
      <c r="X93" s="6482"/>
      <c r="Y93" s="6482"/>
      <c r="Z93" s="6482"/>
      <c r="AA93" s="6483"/>
      <c r="AB93" s="6481"/>
      <c r="AC93" s="6482"/>
      <c r="AD93" s="6482"/>
      <c r="AE93" s="6482"/>
      <c r="AF93" s="6482"/>
      <c r="AG93" s="6482"/>
      <c r="AH93" s="6482"/>
      <c r="AI93" s="6482"/>
      <c r="AJ93" s="6482"/>
      <c r="AK93" s="1706"/>
      <c r="AO93" s="3177"/>
      <c r="AP93" s="3177"/>
      <c r="AZ93" s="4011">
        <v>171</v>
      </c>
      <c r="BA93" s="4012">
        <v>5.0500000000000003E-2</v>
      </c>
      <c r="BL93" s="64"/>
      <c r="BM93" s="64"/>
    </row>
    <row r="94" spans="1:65">
      <c r="A94" s="1706"/>
      <c r="B94" s="2399"/>
      <c r="C94" s="2399"/>
      <c r="D94" s="6474"/>
      <c r="E94" s="6474"/>
      <c r="F94" s="6474"/>
      <c r="G94" s="6474"/>
      <c r="H94" s="6474"/>
      <c r="I94" s="6475"/>
      <c r="J94" s="6481"/>
      <c r="K94" s="6482"/>
      <c r="L94" s="6482"/>
      <c r="M94" s="6482"/>
      <c r="N94" s="6482"/>
      <c r="O94" s="6482"/>
      <c r="P94" s="6482"/>
      <c r="Q94" s="6482"/>
      <c r="R94" s="6483"/>
      <c r="S94" s="6481"/>
      <c r="T94" s="6482"/>
      <c r="U94" s="6482"/>
      <c r="V94" s="6482"/>
      <c r="W94" s="6482"/>
      <c r="X94" s="6482"/>
      <c r="Y94" s="6482"/>
      <c r="Z94" s="6482"/>
      <c r="AA94" s="6483"/>
      <c r="AB94" s="6481"/>
      <c r="AC94" s="6482"/>
      <c r="AD94" s="6482"/>
      <c r="AE94" s="6482"/>
      <c r="AF94" s="6482"/>
      <c r="AG94" s="6482"/>
      <c r="AH94" s="6482"/>
      <c r="AI94" s="6482"/>
      <c r="AJ94" s="6482"/>
      <c r="AK94" s="1706"/>
      <c r="AO94" s="3177"/>
      <c r="AP94" s="3177"/>
      <c r="AZ94" s="4011">
        <v>172</v>
      </c>
      <c r="BA94" s="4012">
        <v>5.0999999999999997E-2</v>
      </c>
      <c r="BL94" s="64"/>
      <c r="BM94" s="64"/>
    </row>
    <row r="95" spans="1:65">
      <c r="A95" s="1706"/>
      <c r="B95" s="2399"/>
      <c r="C95" s="2399"/>
      <c r="D95" s="6474"/>
      <c r="E95" s="6474"/>
      <c r="F95" s="6474"/>
      <c r="G95" s="6474"/>
      <c r="H95" s="6474"/>
      <c r="I95" s="6475"/>
      <c r="J95" s="6481"/>
      <c r="K95" s="6482"/>
      <c r="L95" s="6482"/>
      <c r="M95" s="6482"/>
      <c r="N95" s="6482"/>
      <c r="O95" s="6482"/>
      <c r="P95" s="6482"/>
      <c r="Q95" s="6482"/>
      <c r="R95" s="6483"/>
      <c r="S95" s="6481"/>
      <c r="T95" s="6482"/>
      <c r="U95" s="6482"/>
      <c r="V95" s="6482"/>
      <c r="W95" s="6482"/>
      <c r="X95" s="6482"/>
      <c r="Y95" s="6482"/>
      <c r="Z95" s="6482"/>
      <c r="AA95" s="6483"/>
      <c r="AB95" s="6481"/>
      <c r="AC95" s="6482"/>
      <c r="AD95" s="6482"/>
      <c r="AE95" s="6482"/>
      <c r="AF95" s="6482"/>
      <c r="AG95" s="6482"/>
      <c r="AH95" s="6482"/>
      <c r="AI95" s="6482"/>
      <c r="AJ95" s="6482"/>
      <c r="AK95" s="1706"/>
      <c r="AO95" s="3177"/>
      <c r="AP95" s="3177"/>
      <c r="AZ95" s="4011">
        <v>173</v>
      </c>
      <c r="BA95" s="4012">
        <v>5.1499999999999997E-2</v>
      </c>
      <c r="BL95" s="64"/>
      <c r="BM95" s="64"/>
    </row>
    <row r="96" spans="1:65" ht="18" customHeight="1">
      <c r="A96" s="1706"/>
      <c r="B96" s="3132"/>
      <c r="C96" s="3132"/>
      <c r="D96" s="6476"/>
      <c r="E96" s="6476"/>
      <c r="F96" s="6476"/>
      <c r="G96" s="6476"/>
      <c r="H96" s="6476"/>
      <c r="I96" s="6477"/>
      <c r="J96" s="6485"/>
      <c r="K96" s="6486"/>
      <c r="L96" s="6486"/>
      <c r="M96" s="6486"/>
      <c r="N96" s="6486"/>
      <c r="O96" s="6487"/>
      <c r="P96" s="6487"/>
      <c r="Q96" s="6487"/>
      <c r="R96" s="6488"/>
      <c r="S96" s="6485"/>
      <c r="T96" s="6486"/>
      <c r="U96" s="6486"/>
      <c r="V96" s="6486"/>
      <c r="W96" s="6486"/>
      <c r="X96" s="6487"/>
      <c r="Y96" s="6487"/>
      <c r="Z96" s="6487"/>
      <c r="AA96" s="6488"/>
      <c r="AB96" s="6486"/>
      <c r="AC96" s="6486"/>
      <c r="AD96" s="6486"/>
      <c r="AE96" s="6486"/>
      <c r="AF96" s="6486"/>
      <c r="AG96" s="6487"/>
      <c r="AH96" s="6487"/>
      <c r="AI96" s="6487"/>
      <c r="AJ96" s="6487"/>
      <c r="AK96" s="1706"/>
      <c r="AO96" s="3177"/>
      <c r="AP96" s="3177"/>
      <c r="AZ96" s="4011">
        <v>174</v>
      </c>
      <c r="BA96" s="4012">
        <v>5.1900000000000002E-2</v>
      </c>
      <c r="BL96" s="64"/>
      <c r="BM96" s="64"/>
    </row>
    <row r="97" spans="1:65">
      <c r="A97" s="1706"/>
      <c r="B97" s="3159" t="s">
        <v>3235</v>
      </c>
      <c r="C97" s="3132"/>
      <c r="D97" s="3132"/>
      <c r="E97" s="3132"/>
      <c r="F97" s="3132"/>
      <c r="G97" s="3132"/>
      <c r="H97" s="3132"/>
      <c r="I97" s="3132"/>
      <c r="J97" s="3132"/>
      <c r="K97" s="3132"/>
      <c r="L97" s="3132"/>
      <c r="M97" s="3132"/>
      <c r="N97" s="3132"/>
      <c r="O97" s="3132"/>
      <c r="P97" s="3132"/>
      <c r="Q97" s="3132"/>
      <c r="R97" s="3132"/>
      <c r="S97" s="3132"/>
      <c r="T97" s="3132"/>
      <c r="U97" s="3132"/>
      <c r="V97" s="3132"/>
      <c r="W97" s="3132"/>
      <c r="X97" s="3132"/>
      <c r="Y97" s="3132"/>
      <c r="Z97" s="3132"/>
      <c r="AA97" s="3132"/>
      <c r="AB97" s="3132"/>
      <c r="AC97" s="3132"/>
      <c r="AD97" s="3132"/>
      <c r="AE97" s="3132"/>
      <c r="AF97" s="3132"/>
      <c r="AG97" s="3132"/>
      <c r="AH97" s="3132"/>
      <c r="AI97" s="3132"/>
      <c r="AJ97" s="3132"/>
      <c r="AK97" s="1706"/>
      <c r="AO97" s="3177"/>
      <c r="AP97" s="3177"/>
      <c r="AZ97" s="4011">
        <v>175</v>
      </c>
      <c r="BA97" s="4012">
        <v>5.2400000000000002E-2</v>
      </c>
      <c r="BL97" s="64"/>
      <c r="BM97" s="64"/>
    </row>
    <row r="98" spans="1:65" ht="16.5" customHeight="1">
      <c r="A98" s="1706"/>
      <c r="B98" s="3139" t="s">
        <v>2277</v>
      </c>
      <c r="C98" s="2399"/>
      <c r="D98" s="3160" t="s">
        <v>1860</v>
      </c>
      <c r="E98" s="3161" t="s">
        <v>2272</v>
      </c>
      <c r="F98" s="3161"/>
      <c r="G98" s="3161"/>
      <c r="H98" s="3161"/>
      <c r="I98" s="3161"/>
      <c r="J98" s="3161"/>
      <c r="K98" s="3161"/>
      <c r="L98" s="3161"/>
      <c r="M98" s="3162"/>
      <c r="N98" s="3163" t="s">
        <v>1862</v>
      </c>
      <c r="O98" s="3410" t="s">
        <v>2544</v>
      </c>
      <c r="P98" s="3161"/>
      <c r="Q98" s="3161"/>
      <c r="R98" s="3161"/>
      <c r="S98" s="3161"/>
      <c r="T98" s="3161"/>
      <c r="U98" s="3161"/>
      <c r="V98" s="3162"/>
      <c r="W98" s="3163" t="s">
        <v>1865</v>
      </c>
      <c r="X98" s="3161" t="s">
        <v>2273</v>
      </c>
      <c r="Y98" s="3161"/>
      <c r="Z98" s="3161"/>
      <c r="AA98" s="3161"/>
      <c r="AB98" s="3161"/>
      <c r="AC98" s="3162"/>
      <c r="AD98" s="3163" t="s">
        <v>1549</v>
      </c>
      <c r="AE98" s="3161" t="s">
        <v>2274</v>
      </c>
      <c r="AF98" s="3161"/>
      <c r="AG98" s="3161"/>
      <c r="AH98" s="3161"/>
      <c r="AI98" s="3161"/>
      <c r="AJ98" s="3161"/>
      <c r="AK98" s="1706"/>
      <c r="AO98" s="3177"/>
      <c r="AP98" s="3177"/>
      <c r="AZ98" s="4011">
        <v>176</v>
      </c>
      <c r="BA98" s="4012">
        <v>5.2900000000000003E-2</v>
      </c>
      <c r="BL98" s="64"/>
      <c r="BM98" s="64"/>
    </row>
    <row r="99" spans="1:65" ht="15">
      <c r="A99" s="1706"/>
      <c r="B99" s="3139"/>
      <c r="C99" s="304"/>
      <c r="D99" s="6463"/>
      <c r="E99" s="6463"/>
      <c r="F99" s="6463"/>
      <c r="G99" s="6463"/>
      <c r="H99" s="6463"/>
      <c r="I99" s="6464"/>
      <c r="J99" s="6464"/>
      <c r="K99" s="6464"/>
      <c r="L99" s="6464"/>
      <c r="M99" s="6465"/>
      <c r="N99" s="6466"/>
      <c r="O99" s="6467"/>
      <c r="P99" s="6467"/>
      <c r="Q99" s="6467"/>
      <c r="R99" s="6467"/>
      <c r="S99" s="6468"/>
      <c r="T99" s="6468"/>
      <c r="U99" s="6468"/>
      <c r="V99" s="6469"/>
      <c r="W99" s="6459"/>
      <c r="X99" s="6460"/>
      <c r="Y99" s="6460"/>
      <c r="Z99" s="6460"/>
      <c r="AA99" s="6460"/>
      <c r="AB99" s="6461"/>
      <c r="AC99" s="6461"/>
      <c r="AD99" s="6470"/>
      <c r="AE99" s="6460"/>
      <c r="AF99" s="6460"/>
      <c r="AG99" s="6460"/>
      <c r="AH99" s="6460"/>
      <c r="AI99" s="6461"/>
      <c r="AJ99" s="6461"/>
      <c r="AK99" s="1706"/>
      <c r="AO99" s="3177"/>
      <c r="AP99" s="3177"/>
      <c r="AZ99" s="4011">
        <v>177</v>
      </c>
      <c r="BA99" s="4012">
        <v>5.33E-2</v>
      </c>
      <c r="BL99" s="64"/>
      <c r="BM99" s="64"/>
    </row>
    <row r="100" spans="1:65">
      <c r="A100" s="1706"/>
      <c r="B100" s="2399"/>
      <c r="C100" s="2399"/>
      <c r="D100" s="6471" t="s">
        <v>2275</v>
      </c>
      <c r="E100" s="6472"/>
      <c r="F100" s="6472"/>
      <c r="G100" s="6472"/>
      <c r="H100" s="6472"/>
      <c r="I100" s="6473"/>
      <c r="J100" s="6478" t="s">
        <v>2545</v>
      </c>
      <c r="K100" s="6479"/>
      <c r="L100" s="6479"/>
      <c r="M100" s="6479"/>
      <c r="N100" s="6479"/>
      <c r="O100" s="6479"/>
      <c r="P100" s="6479"/>
      <c r="Q100" s="6479"/>
      <c r="R100" s="6480"/>
      <c r="S100" s="6478" t="s">
        <v>2546</v>
      </c>
      <c r="T100" s="6479"/>
      <c r="U100" s="6479"/>
      <c r="V100" s="6479"/>
      <c r="W100" s="6479"/>
      <c r="X100" s="6479"/>
      <c r="Y100" s="6479"/>
      <c r="Z100" s="6479"/>
      <c r="AA100" s="6480"/>
      <c r="AB100" s="6484" t="s">
        <v>2547</v>
      </c>
      <c r="AC100" s="6479"/>
      <c r="AD100" s="6479"/>
      <c r="AE100" s="6479"/>
      <c r="AF100" s="6479"/>
      <c r="AG100" s="6479"/>
      <c r="AH100" s="6479"/>
      <c r="AI100" s="6479"/>
      <c r="AJ100" s="6479"/>
      <c r="AK100" s="1706"/>
      <c r="AO100" s="3177"/>
      <c r="AP100" s="3177"/>
      <c r="AZ100" s="4011">
        <v>178</v>
      </c>
      <c r="BA100" s="4012">
        <v>5.3800000000000001E-2</v>
      </c>
      <c r="BL100" s="64"/>
      <c r="BM100" s="64"/>
    </row>
    <row r="101" spans="1:65" ht="12.75" customHeight="1">
      <c r="A101" s="1706"/>
      <c r="B101" s="2399"/>
      <c r="C101" s="2399"/>
      <c r="D101" s="6474"/>
      <c r="E101" s="6474"/>
      <c r="F101" s="6474"/>
      <c r="G101" s="6474"/>
      <c r="H101" s="6474"/>
      <c r="I101" s="6475"/>
      <c r="J101" s="6481"/>
      <c r="K101" s="6482"/>
      <c r="L101" s="6482"/>
      <c r="M101" s="6482"/>
      <c r="N101" s="6482"/>
      <c r="O101" s="6482"/>
      <c r="P101" s="6482"/>
      <c r="Q101" s="6482"/>
      <c r="R101" s="6483"/>
      <c r="S101" s="6481"/>
      <c r="T101" s="6482"/>
      <c r="U101" s="6482"/>
      <c r="V101" s="6482"/>
      <c r="W101" s="6482"/>
      <c r="X101" s="6482"/>
      <c r="Y101" s="6482"/>
      <c r="Z101" s="6482"/>
      <c r="AA101" s="6483"/>
      <c r="AB101" s="6481"/>
      <c r="AC101" s="6482"/>
      <c r="AD101" s="6482"/>
      <c r="AE101" s="6482"/>
      <c r="AF101" s="6482"/>
      <c r="AG101" s="6482"/>
      <c r="AH101" s="6482"/>
      <c r="AI101" s="6482"/>
      <c r="AJ101" s="6482"/>
      <c r="AK101" s="1706"/>
      <c r="AO101" s="3177"/>
      <c r="AP101" s="3177"/>
      <c r="AZ101" s="4011">
        <v>179</v>
      </c>
      <c r="BA101" s="4012">
        <v>5.4300000000000001E-2</v>
      </c>
      <c r="BL101" s="64"/>
      <c r="BM101" s="64"/>
    </row>
    <row r="102" spans="1:65">
      <c r="A102" s="1706"/>
      <c r="B102" s="2399"/>
      <c r="C102" s="2399"/>
      <c r="D102" s="6474"/>
      <c r="E102" s="6474"/>
      <c r="F102" s="6474"/>
      <c r="G102" s="6474"/>
      <c r="H102" s="6474"/>
      <c r="I102" s="6475"/>
      <c r="J102" s="6481"/>
      <c r="K102" s="6482"/>
      <c r="L102" s="6482"/>
      <c r="M102" s="6482"/>
      <c r="N102" s="6482"/>
      <c r="O102" s="6482"/>
      <c r="P102" s="6482"/>
      <c r="Q102" s="6482"/>
      <c r="R102" s="6483"/>
      <c r="S102" s="6481"/>
      <c r="T102" s="6482"/>
      <c r="U102" s="6482"/>
      <c r="V102" s="6482"/>
      <c r="W102" s="6482"/>
      <c r="X102" s="6482"/>
      <c r="Y102" s="6482"/>
      <c r="Z102" s="6482"/>
      <c r="AA102" s="6483"/>
      <c r="AB102" s="6481"/>
      <c r="AC102" s="6482"/>
      <c r="AD102" s="6482"/>
      <c r="AE102" s="6482"/>
      <c r="AF102" s="6482"/>
      <c r="AG102" s="6482"/>
      <c r="AH102" s="6482"/>
      <c r="AI102" s="6482"/>
      <c r="AJ102" s="6482"/>
      <c r="AK102" s="1706"/>
      <c r="AO102" s="3177"/>
      <c r="AP102" s="3177"/>
      <c r="AZ102" s="4011">
        <v>180</v>
      </c>
      <c r="BA102" s="4012">
        <v>5.4699999999999999E-2</v>
      </c>
      <c r="BL102" s="64"/>
      <c r="BM102" s="64"/>
    </row>
    <row r="103" spans="1:65">
      <c r="A103" s="1706"/>
      <c r="B103" s="2399"/>
      <c r="C103" s="2399"/>
      <c r="D103" s="6474"/>
      <c r="E103" s="6474"/>
      <c r="F103" s="6474"/>
      <c r="G103" s="6474"/>
      <c r="H103" s="6474"/>
      <c r="I103" s="6475"/>
      <c r="J103" s="6481"/>
      <c r="K103" s="6482"/>
      <c r="L103" s="6482"/>
      <c r="M103" s="6482"/>
      <c r="N103" s="6482"/>
      <c r="O103" s="6482"/>
      <c r="P103" s="6482"/>
      <c r="Q103" s="6482"/>
      <c r="R103" s="6483"/>
      <c r="S103" s="6481"/>
      <c r="T103" s="6482"/>
      <c r="U103" s="6482"/>
      <c r="V103" s="6482"/>
      <c r="W103" s="6482"/>
      <c r="X103" s="6482"/>
      <c r="Y103" s="6482"/>
      <c r="Z103" s="6482"/>
      <c r="AA103" s="6483"/>
      <c r="AB103" s="6481"/>
      <c r="AC103" s="6482"/>
      <c r="AD103" s="6482"/>
      <c r="AE103" s="6482"/>
      <c r="AF103" s="6482"/>
      <c r="AG103" s="6482"/>
      <c r="AH103" s="6482"/>
      <c r="AI103" s="6482"/>
      <c r="AJ103" s="6482"/>
      <c r="AK103" s="1706"/>
      <c r="AO103" s="3177"/>
      <c r="AP103" s="3177"/>
      <c r="AZ103" s="4011">
        <v>181</v>
      </c>
      <c r="BA103" s="4012">
        <v>5.5199999999999999E-2</v>
      </c>
      <c r="BL103" s="64"/>
      <c r="BM103" s="64"/>
    </row>
    <row r="104" spans="1:65" ht="18" customHeight="1">
      <c r="A104" s="1706"/>
      <c r="B104" s="3132"/>
      <c r="C104" s="3132"/>
      <c r="D104" s="6476"/>
      <c r="E104" s="6476"/>
      <c r="F104" s="6476"/>
      <c r="G104" s="6476"/>
      <c r="H104" s="6476"/>
      <c r="I104" s="6477"/>
      <c r="J104" s="6485"/>
      <c r="K104" s="6486"/>
      <c r="L104" s="6486"/>
      <c r="M104" s="6486"/>
      <c r="N104" s="6486"/>
      <c r="O104" s="6487"/>
      <c r="P104" s="6487"/>
      <c r="Q104" s="6487"/>
      <c r="R104" s="6488"/>
      <c r="S104" s="6485"/>
      <c r="T104" s="6486"/>
      <c r="U104" s="6486"/>
      <c r="V104" s="6486"/>
      <c r="W104" s="6486"/>
      <c r="X104" s="6487"/>
      <c r="Y104" s="6487"/>
      <c r="Z104" s="6487"/>
      <c r="AA104" s="6488"/>
      <c r="AB104" s="6486"/>
      <c r="AC104" s="6486"/>
      <c r="AD104" s="6486"/>
      <c r="AE104" s="6486"/>
      <c r="AF104" s="6486"/>
      <c r="AG104" s="6487"/>
      <c r="AH104" s="6487"/>
      <c r="AI104" s="6487"/>
      <c r="AJ104" s="6487"/>
      <c r="AK104" s="1706"/>
      <c r="AO104" s="3177"/>
      <c r="AP104" s="3177"/>
      <c r="AZ104" s="4011">
        <v>182</v>
      </c>
      <c r="BA104" s="4012">
        <v>5.57E-2</v>
      </c>
      <c r="BL104" s="64"/>
      <c r="BM104" s="64"/>
    </row>
    <row r="105" spans="1:65">
      <c r="A105" s="1706"/>
      <c r="B105" s="3159" t="s">
        <v>3236</v>
      </c>
      <c r="C105" s="3132"/>
      <c r="D105" s="3132"/>
      <c r="E105" s="3132"/>
      <c r="F105" s="3132"/>
      <c r="G105" s="3132"/>
      <c r="H105" s="3132"/>
      <c r="I105" s="3132"/>
      <c r="J105" s="3132"/>
      <c r="K105" s="3132"/>
      <c r="L105" s="3132"/>
      <c r="M105" s="3132"/>
      <c r="N105" s="3132"/>
      <c r="O105" s="3132"/>
      <c r="P105" s="3132"/>
      <c r="Q105" s="3132"/>
      <c r="R105" s="3132"/>
      <c r="S105" s="3132"/>
      <c r="T105" s="3132"/>
      <c r="U105" s="3132"/>
      <c r="V105" s="3132"/>
      <c r="W105" s="3132"/>
      <c r="X105" s="3132"/>
      <c r="Y105" s="3132"/>
      <c r="Z105" s="3132"/>
      <c r="AA105" s="3132"/>
      <c r="AB105" s="3132"/>
      <c r="AC105" s="3132"/>
      <c r="AD105" s="3132"/>
      <c r="AE105" s="3132"/>
      <c r="AF105" s="3132"/>
      <c r="AG105" s="3132"/>
      <c r="AH105" s="3132"/>
      <c r="AI105" s="3132"/>
      <c r="AJ105" s="3132"/>
      <c r="AK105" s="1706"/>
      <c r="AO105" s="3177"/>
      <c r="AP105" s="3177"/>
      <c r="AZ105" s="4011">
        <v>183</v>
      </c>
      <c r="BA105" s="4012">
        <v>5.6099999999999997E-2</v>
      </c>
      <c r="BL105" s="64"/>
      <c r="BM105" s="64"/>
    </row>
    <row r="106" spans="1:65" ht="16.5" customHeight="1">
      <c r="A106" s="1706"/>
      <c r="B106" s="3139" t="s">
        <v>2278</v>
      </c>
      <c r="C106" s="2399"/>
      <c r="D106" s="3160" t="s">
        <v>1860</v>
      </c>
      <c r="E106" s="3161" t="s">
        <v>2272</v>
      </c>
      <c r="F106" s="3161"/>
      <c r="G106" s="3161"/>
      <c r="H106" s="3161"/>
      <c r="I106" s="3161"/>
      <c r="J106" s="3161"/>
      <c r="K106" s="3161"/>
      <c r="L106" s="3161"/>
      <c r="M106" s="3162"/>
      <c r="N106" s="3163" t="s">
        <v>1862</v>
      </c>
      <c r="O106" s="3410" t="s">
        <v>2544</v>
      </c>
      <c r="P106" s="3161"/>
      <c r="Q106" s="3161"/>
      <c r="R106" s="3161"/>
      <c r="S106" s="3161"/>
      <c r="T106" s="3161"/>
      <c r="U106" s="3161"/>
      <c r="V106" s="3162"/>
      <c r="W106" s="3163" t="s">
        <v>1865</v>
      </c>
      <c r="X106" s="3161" t="s">
        <v>2273</v>
      </c>
      <c r="Y106" s="3161"/>
      <c r="Z106" s="3161"/>
      <c r="AA106" s="3161"/>
      <c r="AB106" s="3161"/>
      <c r="AC106" s="3162"/>
      <c r="AD106" s="3163" t="s">
        <v>1549</v>
      </c>
      <c r="AE106" s="3161" t="s">
        <v>2274</v>
      </c>
      <c r="AF106" s="3161"/>
      <c r="AG106" s="3161"/>
      <c r="AH106" s="3161"/>
      <c r="AI106" s="3161"/>
      <c r="AJ106" s="3161"/>
      <c r="AK106" s="1706"/>
      <c r="AZ106" s="4011">
        <v>184</v>
      </c>
      <c r="BA106" s="4012">
        <v>5.6599999999999998E-2</v>
      </c>
      <c r="BL106" s="64"/>
      <c r="BM106" s="64"/>
    </row>
    <row r="107" spans="1:65" ht="15">
      <c r="A107" s="1706"/>
      <c r="B107" s="3139"/>
      <c r="C107" s="304"/>
      <c r="D107" s="6463"/>
      <c r="E107" s="6463"/>
      <c r="F107" s="6463"/>
      <c r="G107" s="6463"/>
      <c r="H107" s="6463"/>
      <c r="I107" s="6464"/>
      <c r="J107" s="6464"/>
      <c r="K107" s="6464"/>
      <c r="L107" s="6464"/>
      <c r="M107" s="6465"/>
      <c r="N107" s="6466"/>
      <c r="O107" s="6467"/>
      <c r="P107" s="6467"/>
      <c r="Q107" s="6467"/>
      <c r="R107" s="6467"/>
      <c r="S107" s="6468"/>
      <c r="T107" s="6468"/>
      <c r="U107" s="6468"/>
      <c r="V107" s="6469"/>
      <c r="W107" s="6459"/>
      <c r="X107" s="6460"/>
      <c r="Y107" s="6460"/>
      <c r="Z107" s="6460"/>
      <c r="AA107" s="6460"/>
      <c r="AB107" s="6461"/>
      <c r="AC107" s="6461"/>
      <c r="AD107" s="6470"/>
      <c r="AE107" s="6460"/>
      <c r="AF107" s="6460"/>
      <c r="AG107" s="6460"/>
      <c r="AH107" s="6460"/>
      <c r="AI107" s="6461"/>
      <c r="AJ107" s="6461"/>
      <c r="AK107" s="1706"/>
      <c r="AZ107" s="4011">
        <v>185</v>
      </c>
      <c r="BA107" s="4012">
        <v>5.7099999999999998E-2</v>
      </c>
      <c r="BL107" s="64"/>
      <c r="BM107" s="64"/>
    </row>
    <row r="108" spans="1:65">
      <c r="A108" s="1706"/>
      <c r="B108" s="2399"/>
      <c r="C108" s="2399"/>
      <c r="D108" s="6471" t="s">
        <v>2275</v>
      </c>
      <c r="E108" s="6472"/>
      <c r="F108" s="6472"/>
      <c r="G108" s="6472"/>
      <c r="H108" s="6472"/>
      <c r="I108" s="6473"/>
      <c r="J108" s="6478" t="s">
        <v>2545</v>
      </c>
      <c r="K108" s="6479"/>
      <c r="L108" s="6479"/>
      <c r="M108" s="6479"/>
      <c r="N108" s="6479"/>
      <c r="O108" s="6479"/>
      <c r="P108" s="6479"/>
      <c r="Q108" s="6479"/>
      <c r="R108" s="6480"/>
      <c r="S108" s="6478" t="s">
        <v>2546</v>
      </c>
      <c r="T108" s="6479"/>
      <c r="U108" s="6479"/>
      <c r="V108" s="6479"/>
      <c r="W108" s="6479"/>
      <c r="X108" s="6479"/>
      <c r="Y108" s="6479"/>
      <c r="Z108" s="6479"/>
      <c r="AA108" s="6480"/>
      <c r="AB108" s="6484" t="s">
        <v>2547</v>
      </c>
      <c r="AC108" s="6479"/>
      <c r="AD108" s="6479"/>
      <c r="AE108" s="6479"/>
      <c r="AF108" s="6479"/>
      <c r="AG108" s="6479"/>
      <c r="AH108" s="6479"/>
      <c r="AI108" s="6479"/>
      <c r="AJ108" s="6479"/>
      <c r="AK108" s="1706"/>
      <c r="AZ108" s="4011">
        <v>186</v>
      </c>
      <c r="BA108" s="4012">
        <v>5.7500000000000002E-2</v>
      </c>
      <c r="BL108" s="64"/>
      <c r="BM108" s="64"/>
    </row>
    <row r="109" spans="1:65" ht="12.75" customHeight="1">
      <c r="A109" s="1706"/>
      <c r="B109" s="2399"/>
      <c r="C109" s="2399"/>
      <c r="D109" s="6474"/>
      <c r="E109" s="6474"/>
      <c r="F109" s="6474"/>
      <c r="G109" s="6474"/>
      <c r="H109" s="6474"/>
      <c r="I109" s="6475"/>
      <c r="J109" s="6481"/>
      <c r="K109" s="6482"/>
      <c r="L109" s="6482"/>
      <c r="M109" s="6482"/>
      <c r="N109" s="6482"/>
      <c r="O109" s="6482"/>
      <c r="P109" s="6482"/>
      <c r="Q109" s="6482"/>
      <c r="R109" s="6483"/>
      <c r="S109" s="6481"/>
      <c r="T109" s="6482"/>
      <c r="U109" s="6482"/>
      <c r="V109" s="6482"/>
      <c r="W109" s="6482"/>
      <c r="X109" s="6482"/>
      <c r="Y109" s="6482"/>
      <c r="Z109" s="6482"/>
      <c r="AA109" s="6483"/>
      <c r="AB109" s="6481"/>
      <c r="AC109" s="6482"/>
      <c r="AD109" s="6482"/>
      <c r="AE109" s="6482"/>
      <c r="AF109" s="6482"/>
      <c r="AG109" s="6482"/>
      <c r="AH109" s="6482"/>
      <c r="AI109" s="6482"/>
      <c r="AJ109" s="6482"/>
      <c r="AK109" s="1706"/>
      <c r="AZ109" s="4011">
        <v>187</v>
      </c>
      <c r="BA109" s="4012">
        <v>5.8000000000000003E-2</v>
      </c>
      <c r="BL109" s="64"/>
      <c r="BM109" s="64"/>
    </row>
    <row r="110" spans="1:65">
      <c r="A110" s="1706"/>
      <c r="B110" s="2399"/>
      <c r="C110" s="2399"/>
      <c r="D110" s="6474"/>
      <c r="E110" s="6474"/>
      <c r="F110" s="6474"/>
      <c r="G110" s="6474"/>
      <c r="H110" s="6474"/>
      <c r="I110" s="6475"/>
      <c r="J110" s="6481"/>
      <c r="K110" s="6482"/>
      <c r="L110" s="6482"/>
      <c r="M110" s="6482"/>
      <c r="N110" s="6482"/>
      <c r="O110" s="6482"/>
      <c r="P110" s="6482"/>
      <c r="Q110" s="6482"/>
      <c r="R110" s="6483"/>
      <c r="S110" s="6481"/>
      <c r="T110" s="6482"/>
      <c r="U110" s="6482"/>
      <c r="V110" s="6482"/>
      <c r="W110" s="6482"/>
      <c r="X110" s="6482"/>
      <c r="Y110" s="6482"/>
      <c r="Z110" s="6482"/>
      <c r="AA110" s="6483"/>
      <c r="AB110" s="6481"/>
      <c r="AC110" s="6482"/>
      <c r="AD110" s="6482"/>
      <c r="AE110" s="6482"/>
      <c r="AF110" s="6482"/>
      <c r="AG110" s="6482"/>
      <c r="AH110" s="6482"/>
      <c r="AI110" s="6482"/>
      <c r="AJ110" s="6482"/>
      <c r="AK110" s="1706"/>
      <c r="AZ110" s="4011">
        <v>188</v>
      </c>
      <c r="BA110" s="4012">
        <v>5.8500000000000003E-2</v>
      </c>
      <c r="BL110" s="64"/>
      <c r="BM110" s="64"/>
    </row>
    <row r="111" spans="1:65">
      <c r="A111" s="1706"/>
      <c r="B111" s="2399"/>
      <c r="C111" s="2399"/>
      <c r="D111" s="6474"/>
      <c r="E111" s="6474"/>
      <c r="F111" s="6474"/>
      <c r="G111" s="6474"/>
      <c r="H111" s="6474"/>
      <c r="I111" s="6475"/>
      <c r="J111" s="6481"/>
      <c r="K111" s="6482"/>
      <c r="L111" s="6482"/>
      <c r="M111" s="6482"/>
      <c r="N111" s="6482"/>
      <c r="O111" s="6482"/>
      <c r="P111" s="6482"/>
      <c r="Q111" s="6482"/>
      <c r="R111" s="6483"/>
      <c r="S111" s="6481"/>
      <c r="T111" s="6482"/>
      <c r="U111" s="6482"/>
      <c r="V111" s="6482"/>
      <c r="W111" s="6482"/>
      <c r="X111" s="6482"/>
      <c r="Y111" s="6482"/>
      <c r="Z111" s="6482"/>
      <c r="AA111" s="6483"/>
      <c r="AB111" s="6481"/>
      <c r="AC111" s="6482"/>
      <c r="AD111" s="6482"/>
      <c r="AE111" s="6482"/>
      <c r="AF111" s="6482"/>
      <c r="AG111" s="6482"/>
      <c r="AH111" s="6482"/>
      <c r="AI111" s="6482"/>
      <c r="AJ111" s="6482"/>
      <c r="AK111" s="1706"/>
      <c r="AZ111" s="4011">
        <v>189</v>
      </c>
      <c r="BA111" s="4012">
        <v>5.8999999999999997E-2</v>
      </c>
      <c r="BL111" s="64"/>
      <c r="BM111" s="64"/>
    </row>
    <row r="112" spans="1:65" ht="18" customHeight="1">
      <c r="A112" s="1706"/>
      <c r="B112" s="3132"/>
      <c r="C112" s="3132"/>
      <c r="D112" s="6476"/>
      <c r="E112" s="6476"/>
      <c r="F112" s="6476"/>
      <c r="G112" s="6476"/>
      <c r="H112" s="6476"/>
      <c r="I112" s="6477"/>
      <c r="J112" s="6485"/>
      <c r="K112" s="6486"/>
      <c r="L112" s="6486"/>
      <c r="M112" s="6486"/>
      <c r="N112" s="6486"/>
      <c r="O112" s="6487"/>
      <c r="P112" s="6487"/>
      <c r="Q112" s="6487"/>
      <c r="R112" s="6488"/>
      <c r="S112" s="6485"/>
      <c r="T112" s="6486"/>
      <c r="U112" s="6486"/>
      <c r="V112" s="6486"/>
      <c r="W112" s="6486"/>
      <c r="X112" s="6487"/>
      <c r="Y112" s="6487"/>
      <c r="Z112" s="6487"/>
      <c r="AA112" s="6488"/>
      <c r="AB112" s="6486"/>
      <c r="AC112" s="6486"/>
      <c r="AD112" s="6486"/>
      <c r="AE112" s="6486"/>
      <c r="AF112" s="6486"/>
      <c r="AG112" s="6487"/>
      <c r="AH112" s="6487"/>
      <c r="AI112" s="6487"/>
      <c r="AJ112" s="6487"/>
      <c r="AK112" s="1706"/>
      <c r="AZ112" s="4011">
        <v>190</v>
      </c>
      <c r="BA112" s="4012">
        <v>5.9400000000000001E-2</v>
      </c>
      <c r="BL112" s="64"/>
      <c r="BM112" s="64"/>
    </row>
    <row r="113" spans="1:65" ht="15">
      <c r="A113" s="1706"/>
      <c r="B113" s="3139" t="s">
        <v>2279</v>
      </c>
      <c r="C113" s="2598" t="s">
        <v>3237</v>
      </c>
      <c r="D113" s="2399"/>
      <c r="E113" s="2399"/>
      <c r="F113" s="2399"/>
      <c r="G113" s="2399"/>
      <c r="H113" s="2399"/>
      <c r="I113" s="2399"/>
      <c r="J113" s="2399"/>
      <c r="K113" s="2399"/>
      <c r="L113" s="2399"/>
      <c r="M113" s="2399"/>
      <c r="N113" s="2399"/>
      <c r="O113" s="2399"/>
      <c r="P113" s="2399"/>
      <c r="Q113" s="2399"/>
      <c r="R113" s="2399"/>
      <c r="S113" s="2399"/>
      <c r="T113" s="2399"/>
      <c r="U113" s="2399"/>
      <c r="V113" s="2399"/>
      <c r="W113" s="2399"/>
      <c r="X113" s="2399"/>
      <c r="Y113" s="2399"/>
      <c r="Z113" s="2399"/>
      <c r="AA113" s="2399"/>
      <c r="AB113" s="2399"/>
      <c r="AC113" s="2399"/>
      <c r="AD113" s="2399"/>
      <c r="AE113" s="2399"/>
      <c r="AF113" s="2399"/>
      <c r="AG113" s="2399"/>
      <c r="AH113" s="2399"/>
      <c r="AI113" s="2399"/>
      <c r="AJ113" s="2399"/>
      <c r="AK113" s="1706"/>
      <c r="AZ113" s="4011">
        <v>191</v>
      </c>
      <c r="BA113" s="4012">
        <v>5.9900000000000002E-2</v>
      </c>
      <c r="BL113" s="64"/>
      <c r="BM113" s="64"/>
    </row>
    <row r="114" spans="1:65" ht="15.75">
      <c r="A114" s="1706"/>
      <c r="B114" s="2399"/>
      <c r="C114" s="3122"/>
      <c r="D114" s="3164" t="s">
        <v>3238</v>
      </c>
      <c r="E114" s="2399"/>
      <c r="F114" s="2399"/>
      <c r="G114" s="2399"/>
      <c r="H114" s="2399"/>
      <c r="I114" s="2399"/>
      <c r="J114" s="2399"/>
      <c r="K114" s="2399"/>
      <c r="L114" s="2399"/>
      <c r="M114" s="2399"/>
      <c r="N114" s="2399"/>
      <c r="O114" s="2399"/>
      <c r="P114" s="2399"/>
      <c r="Q114" s="2399"/>
      <c r="R114" s="2399"/>
      <c r="S114" s="2399"/>
      <c r="T114" s="2399"/>
      <c r="U114" s="2399"/>
      <c r="V114" s="2399"/>
      <c r="W114" s="2399"/>
      <c r="X114" s="2399"/>
      <c r="Y114" s="2399"/>
      <c r="Z114" s="2399"/>
      <c r="AA114" s="2399"/>
      <c r="AB114" s="2399"/>
      <c r="AC114" s="2399"/>
      <c r="AD114" s="2399"/>
      <c r="AE114" s="2399"/>
      <c r="AF114" s="2399"/>
      <c r="AG114" s="2399"/>
      <c r="AH114" s="2399"/>
      <c r="AI114" s="2399"/>
      <c r="AJ114" s="2399"/>
      <c r="AK114" s="1706"/>
      <c r="AZ114" s="4011">
        <v>192</v>
      </c>
      <c r="BA114" s="4012">
        <v>6.0400000000000002E-2</v>
      </c>
      <c r="BL114" s="64"/>
      <c r="BM114" s="64"/>
    </row>
    <row r="115" spans="1:65">
      <c r="A115" s="1706"/>
      <c r="B115" s="2399"/>
      <c r="C115" s="2598" t="s">
        <v>3239</v>
      </c>
      <c r="D115" s="2399"/>
      <c r="E115" s="2399"/>
      <c r="F115" s="2399"/>
      <c r="G115" s="2399"/>
      <c r="H115" s="2399"/>
      <c r="I115" s="2399"/>
      <c r="J115" s="2399"/>
      <c r="K115" s="2399"/>
      <c r="L115" s="2399"/>
      <c r="M115" s="2399"/>
      <c r="N115" s="2399"/>
      <c r="O115" s="2399"/>
      <c r="P115" s="2399"/>
      <c r="Q115" s="2399"/>
      <c r="R115" s="2399"/>
      <c r="S115" s="2399"/>
      <c r="T115" s="2399"/>
      <c r="U115" s="2399"/>
      <c r="V115" s="2399"/>
      <c r="W115" s="2399"/>
      <c r="X115" s="2399"/>
      <c r="Y115" s="2399"/>
      <c r="Z115" s="2399"/>
      <c r="AA115" s="2399"/>
      <c r="AB115" s="2399"/>
      <c r="AC115" s="2399"/>
      <c r="AD115" s="2399"/>
      <c r="AE115" s="2399"/>
      <c r="AF115" s="2399"/>
      <c r="AG115" s="2399"/>
      <c r="AH115" s="2399"/>
      <c r="AI115" s="2399"/>
      <c r="AJ115" s="2399"/>
      <c r="AK115" s="1706"/>
      <c r="AZ115" s="4011">
        <v>193</v>
      </c>
      <c r="BA115" s="4012">
        <v>6.08E-2</v>
      </c>
      <c r="BL115" s="64"/>
      <c r="BM115" s="64"/>
    </row>
    <row r="116" spans="1:65">
      <c r="A116" s="1706"/>
      <c r="B116" s="2399"/>
      <c r="C116" s="2598" t="s">
        <v>3240</v>
      </c>
      <c r="D116" s="2399"/>
      <c r="E116" s="2399"/>
      <c r="F116" s="2399"/>
      <c r="G116" s="2399"/>
      <c r="H116" s="2399"/>
      <c r="I116" s="2399"/>
      <c r="J116" s="2399"/>
      <c r="K116" s="2399"/>
      <c r="L116" s="2399"/>
      <c r="M116" s="2399"/>
      <c r="N116" s="2399"/>
      <c r="O116" s="2399"/>
      <c r="P116" s="2399"/>
      <c r="Q116" s="2399"/>
      <c r="R116" s="2399"/>
      <c r="S116" s="2399"/>
      <c r="T116" s="2399"/>
      <c r="U116" s="2399"/>
      <c r="V116" s="2399"/>
      <c r="W116" s="2399"/>
      <c r="X116" s="2399"/>
      <c r="Y116" s="2399"/>
      <c r="Z116" s="2399"/>
      <c r="AA116" s="2399"/>
      <c r="AB116" s="2399"/>
      <c r="AC116" s="2399"/>
      <c r="AD116" s="2399"/>
      <c r="AE116" s="2399"/>
      <c r="AF116" s="2399"/>
      <c r="AG116" s="2399"/>
      <c r="AH116" s="2399"/>
      <c r="AI116" s="2399"/>
      <c r="AJ116" s="2399"/>
      <c r="AK116" s="1706"/>
      <c r="AZ116" s="4011">
        <v>194</v>
      </c>
      <c r="BA116" s="4012">
        <v>6.13E-2</v>
      </c>
      <c r="BL116" s="64"/>
      <c r="BM116" s="64"/>
    </row>
    <row r="117" spans="1:65">
      <c r="A117" s="1706"/>
      <c r="B117" s="2399"/>
      <c r="C117" s="2399"/>
      <c r="D117" s="2399"/>
      <c r="E117" s="2399"/>
      <c r="F117" s="2399"/>
      <c r="G117" s="2399"/>
      <c r="H117" s="2399"/>
      <c r="I117" s="2399"/>
      <c r="J117" s="2399"/>
      <c r="K117" s="2399"/>
      <c r="L117" s="2399"/>
      <c r="M117" s="2399"/>
      <c r="N117" s="2399"/>
      <c r="O117" s="2399"/>
      <c r="P117" s="2399"/>
      <c r="Q117" s="2399"/>
      <c r="R117" s="2399"/>
      <c r="S117" s="2399"/>
      <c r="T117" s="2399"/>
      <c r="U117" s="2399"/>
      <c r="V117" s="2399"/>
      <c r="W117" s="2399"/>
      <c r="X117" s="2399"/>
      <c r="Y117" s="2399"/>
      <c r="Z117" s="2399"/>
      <c r="AA117" s="2399"/>
      <c r="AB117" s="2399"/>
      <c r="AC117" s="2399"/>
      <c r="AD117" s="2399"/>
      <c r="AE117" s="2399"/>
      <c r="AF117" s="2399"/>
      <c r="AG117" s="2399"/>
      <c r="AH117" s="2399"/>
      <c r="AI117" s="2399"/>
      <c r="AJ117" s="2399"/>
      <c r="AK117" s="1706"/>
      <c r="AZ117" s="4011">
        <v>195</v>
      </c>
      <c r="BA117" s="4012">
        <v>6.1800000000000001E-2</v>
      </c>
      <c r="BL117" s="64"/>
      <c r="BM117" s="64"/>
    </row>
    <row r="118" spans="1:65">
      <c r="A118" s="1706"/>
      <c r="B118" s="2399"/>
      <c r="C118" s="2399"/>
      <c r="D118" s="2399"/>
      <c r="E118" s="2399"/>
      <c r="F118" s="2399"/>
      <c r="G118" s="2399"/>
      <c r="H118" s="2399"/>
      <c r="I118" s="2399"/>
      <c r="J118" s="2399"/>
      <c r="K118" s="2399"/>
      <c r="L118" s="2399"/>
      <c r="M118" s="2399"/>
      <c r="N118" s="2399"/>
      <c r="O118" s="2399"/>
      <c r="P118" s="2399"/>
      <c r="Q118" s="2399"/>
      <c r="R118" s="2399"/>
      <c r="S118" s="2399"/>
      <c r="T118" s="2399"/>
      <c r="U118" s="2399"/>
      <c r="V118" s="2399"/>
      <c r="W118" s="2399"/>
      <c r="X118" s="2399"/>
      <c r="Y118" s="2399"/>
      <c r="Z118" s="2399"/>
      <c r="AA118" s="2399"/>
      <c r="AB118" s="2399"/>
      <c r="AC118" s="2399"/>
      <c r="AD118" s="2399"/>
      <c r="AE118" s="2399"/>
      <c r="AF118" s="2399"/>
      <c r="AG118" s="2399"/>
      <c r="AH118" s="2399"/>
      <c r="AI118" s="2399"/>
      <c r="AJ118" s="2399"/>
      <c r="AK118" s="1706"/>
      <c r="AZ118" s="4011">
        <v>196</v>
      </c>
      <c r="BA118" s="4012">
        <v>6.2199999999999998E-2</v>
      </c>
      <c r="BL118" s="64"/>
      <c r="BM118" s="64"/>
    </row>
    <row r="119" spans="1:65" ht="15.75">
      <c r="A119" s="1706"/>
      <c r="B119" s="2399"/>
      <c r="C119" s="3122"/>
      <c r="D119" s="3164" t="s">
        <v>2280</v>
      </c>
      <c r="E119" s="2399"/>
      <c r="F119" s="2399"/>
      <c r="G119" s="2399"/>
      <c r="H119" s="2399"/>
      <c r="I119" s="2399"/>
      <c r="J119" s="2399"/>
      <c r="K119" s="2399"/>
      <c r="L119" s="2399"/>
      <c r="M119" s="2399"/>
      <c r="N119" s="2399"/>
      <c r="O119" s="2399"/>
      <c r="P119" s="2399"/>
      <c r="Q119" s="2399"/>
      <c r="R119" s="2399"/>
      <c r="S119" s="2399"/>
      <c r="T119" s="2399"/>
      <c r="U119" s="2399"/>
      <c r="V119" s="2399"/>
      <c r="W119" s="2399"/>
      <c r="X119" s="2399"/>
      <c r="Y119" s="2399"/>
      <c r="Z119" s="2399"/>
      <c r="AA119" s="2399"/>
      <c r="AB119" s="2399"/>
      <c r="AC119" s="2399"/>
      <c r="AD119" s="2399"/>
      <c r="AE119" s="2399"/>
      <c r="AF119" s="2399"/>
      <c r="AG119" s="2399"/>
      <c r="AH119" s="2399"/>
      <c r="AI119" s="2399"/>
      <c r="AJ119" s="2399"/>
      <c r="AK119" s="1706"/>
      <c r="AZ119" s="4011">
        <v>197</v>
      </c>
      <c r="BA119" s="4012">
        <v>6.2700000000000006E-2</v>
      </c>
      <c r="BL119" s="64"/>
      <c r="BM119" s="64"/>
    </row>
    <row r="120" spans="1:65" ht="18" customHeight="1" thickBot="1">
      <c r="A120" s="1706"/>
      <c r="B120" s="2399"/>
      <c r="C120" s="2399"/>
      <c r="D120" s="2399"/>
      <c r="E120" s="2399"/>
      <c r="F120" s="2399"/>
      <c r="G120" s="2399"/>
      <c r="H120" s="2399"/>
      <c r="I120" s="2399"/>
      <c r="J120" s="2399"/>
      <c r="K120" s="2399"/>
      <c r="L120" s="2399"/>
      <c r="M120" s="2399"/>
      <c r="N120" s="2399"/>
      <c r="O120" s="2399"/>
      <c r="P120" s="2399"/>
      <c r="Q120" s="2399"/>
      <c r="R120" s="2399"/>
      <c r="S120" s="2399"/>
      <c r="T120" s="2399"/>
      <c r="U120" s="2399"/>
      <c r="V120" s="2399"/>
      <c r="W120" s="2399"/>
      <c r="X120" s="2399"/>
      <c r="Y120" s="2399"/>
      <c r="Z120" s="2399"/>
      <c r="AA120" s="2399"/>
      <c r="AB120" s="2399"/>
      <c r="AC120" s="2399"/>
      <c r="AD120" s="2399"/>
      <c r="AE120" s="2399"/>
      <c r="AF120" s="2399"/>
      <c r="AG120" s="2399"/>
      <c r="AH120" s="2399"/>
      <c r="AI120" s="2399"/>
      <c r="AJ120" s="2399"/>
      <c r="AK120" s="1706"/>
      <c r="AZ120" s="4011">
        <v>198</v>
      </c>
      <c r="BA120" s="4012">
        <v>6.3200000000000006E-2</v>
      </c>
      <c r="BL120" s="64"/>
      <c r="BM120" s="64"/>
    </row>
    <row r="121" spans="1:65" ht="15.75">
      <c r="A121" s="1706"/>
      <c r="B121" s="3407" t="s">
        <v>202</v>
      </c>
      <c r="C121" s="3408"/>
      <c r="D121" s="3165" t="s">
        <v>2548</v>
      </c>
      <c r="E121" s="3166"/>
      <c r="F121" s="3166"/>
      <c r="G121" s="3166"/>
      <c r="H121" s="3166"/>
      <c r="I121" s="3166"/>
      <c r="J121" s="3166"/>
      <c r="K121" s="3166"/>
      <c r="L121" s="3166"/>
      <c r="M121" s="3166"/>
      <c r="N121" s="3166"/>
      <c r="O121" s="3166"/>
      <c r="P121" s="3166"/>
      <c r="Q121" s="3166"/>
      <c r="R121" s="3166"/>
      <c r="S121" s="3166"/>
      <c r="T121" s="3166"/>
      <c r="U121" s="3166"/>
      <c r="V121" s="3166"/>
      <c r="W121" s="3166"/>
      <c r="X121" s="3166"/>
      <c r="Y121" s="3166"/>
      <c r="Z121" s="3166"/>
      <c r="AA121" s="3166"/>
      <c r="AB121" s="3166"/>
      <c r="AC121" s="3166"/>
      <c r="AD121" s="3166"/>
      <c r="AE121" s="3166"/>
      <c r="AF121" s="3166"/>
      <c r="AG121" s="3166"/>
      <c r="AH121" s="3166"/>
      <c r="AI121" s="3166"/>
      <c r="AJ121" s="3166"/>
      <c r="AK121" s="1706"/>
      <c r="AZ121" s="4011">
        <v>199</v>
      </c>
      <c r="BA121" s="4012">
        <v>6.3600000000000004E-2</v>
      </c>
      <c r="BL121" s="64"/>
      <c r="BM121" s="64"/>
    </row>
    <row r="122" spans="1:65">
      <c r="A122" s="1706"/>
      <c r="B122" s="2399" t="s">
        <v>2281</v>
      </c>
      <c r="C122" s="2399"/>
      <c r="D122" s="2399"/>
      <c r="E122" s="2399"/>
      <c r="F122" s="2399"/>
      <c r="G122" s="2399"/>
      <c r="H122" s="2399"/>
      <c r="I122" s="2399"/>
      <c r="J122" s="2399"/>
      <c r="K122" s="2399"/>
      <c r="L122" s="2399"/>
      <c r="M122" s="2399"/>
      <c r="N122" s="2399"/>
      <c r="O122" s="2399"/>
      <c r="P122" s="2399"/>
      <c r="Q122" s="2399"/>
      <c r="R122" s="2399"/>
      <c r="S122" s="2399"/>
      <c r="T122" s="2399"/>
      <c r="U122" s="2399"/>
      <c r="V122" s="2399"/>
      <c r="W122" s="2399"/>
      <c r="X122" s="2399"/>
      <c r="Y122" s="2399"/>
      <c r="Z122" s="2399"/>
      <c r="AA122" s="2399"/>
      <c r="AB122" s="2399"/>
      <c r="AC122" s="2399"/>
      <c r="AD122" s="2399"/>
      <c r="AE122" s="2399"/>
      <c r="AF122" s="2399"/>
      <c r="AG122" s="2399"/>
      <c r="AH122" s="2399"/>
      <c r="AI122" s="2399"/>
      <c r="AJ122" s="2399"/>
      <c r="AK122" s="1706"/>
      <c r="AZ122" s="4011">
        <v>200</v>
      </c>
      <c r="BA122" s="4012">
        <v>6.4100000000000004E-2</v>
      </c>
      <c r="BL122" s="64"/>
      <c r="BM122" s="64"/>
    </row>
    <row r="123" spans="1:65">
      <c r="A123" s="1706"/>
      <c r="B123" s="3411" t="s">
        <v>2549</v>
      </c>
      <c r="C123" s="3132"/>
      <c r="D123" s="3132"/>
      <c r="E123" s="3132"/>
      <c r="F123" s="3132"/>
      <c r="G123" s="3132"/>
      <c r="H123" s="3132"/>
      <c r="I123" s="3132"/>
      <c r="J123" s="3132"/>
      <c r="K123" s="3132"/>
      <c r="L123" s="3132"/>
      <c r="M123" s="3132"/>
      <c r="N123" s="3132"/>
      <c r="O123" s="3132"/>
      <c r="P123" s="3132"/>
      <c r="Q123" s="3132"/>
      <c r="R123" s="3132"/>
      <c r="S123" s="3132"/>
      <c r="T123" s="3132"/>
      <c r="U123" s="3132"/>
      <c r="V123" s="3132"/>
      <c r="W123" s="3132"/>
      <c r="X123" s="3132"/>
      <c r="Y123" s="3132"/>
      <c r="Z123" s="3132"/>
      <c r="AA123" s="3132"/>
      <c r="AB123" s="3132"/>
      <c r="AC123" s="3132"/>
      <c r="AD123" s="3132"/>
      <c r="AE123" s="3132"/>
      <c r="AF123" s="3132"/>
      <c r="AG123" s="3132"/>
      <c r="AH123" s="3132"/>
      <c r="AI123" s="3132"/>
      <c r="AJ123" s="3132"/>
      <c r="AK123" s="1706"/>
      <c r="AZ123" s="4011">
        <v>201</v>
      </c>
      <c r="BA123" s="4012">
        <v>6.4500000000000002E-2</v>
      </c>
      <c r="BL123" s="64"/>
      <c r="BM123" s="64"/>
    </row>
    <row r="124" spans="1:65" ht="25.5" customHeight="1">
      <c r="A124" s="1706"/>
      <c r="B124" s="6550" t="s">
        <v>2287</v>
      </c>
      <c r="C124" s="3403"/>
      <c r="D124" s="6547" t="s">
        <v>2285</v>
      </c>
      <c r="E124" s="5846"/>
      <c r="F124" s="5846"/>
      <c r="G124" s="5846"/>
      <c r="H124" s="5785"/>
      <c r="I124" s="3828" t="s">
        <v>1860</v>
      </c>
      <c r="J124" s="6444" t="s">
        <v>2282</v>
      </c>
      <c r="K124" s="6444"/>
      <c r="L124" s="6444"/>
      <c r="M124" s="6444"/>
      <c r="N124" s="6444"/>
      <c r="O124" s="6445"/>
      <c r="P124" s="3827" t="s">
        <v>1862</v>
      </c>
      <c r="Q124" s="6446" t="s">
        <v>3241</v>
      </c>
      <c r="R124" s="6444"/>
      <c r="S124" s="6444"/>
      <c r="T124" s="6444"/>
      <c r="U124" s="6444"/>
      <c r="V124" s="6445"/>
      <c r="W124" s="3827" t="s">
        <v>1865</v>
      </c>
      <c r="X124" s="6444" t="s">
        <v>2283</v>
      </c>
      <c r="Y124" s="6444"/>
      <c r="Z124" s="6444"/>
      <c r="AA124" s="6444"/>
      <c r="AB124" s="6444"/>
      <c r="AC124" s="6445"/>
      <c r="AD124" s="3827" t="s">
        <v>1549</v>
      </c>
      <c r="AE124" s="6444" t="s">
        <v>2284</v>
      </c>
      <c r="AF124" s="6444"/>
      <c r="AG124" s="6444"/>
      <c r="AH124" s="6444"/>
      <c r="AI124" s="6444"/>
      <c r="AJ124" s="6444"/>
      <c r="AK124" s="1706"/>
      <c r="AZ124" s="4011">
        <v>202</v>
      </c>
      <c r="BA124" s="4012">
        <v>6.4799999999999996E-2</v>
      </c>
      <c r="BL124" s="64"/>
      <c r="BM124" s="64"/>
    </row>
    <row r="125" spans="1:65">
      <c r="A125" s="1706"/>
      <c r="B125" s="5451"/>
      <c r="C125" s="3412"/>
      <c r="D125" s="5200"/>
      <c r="E125" s="5200"/>
      <c r="F125" s="5200"/>
      <c r="G125" s="5200"/>
      <c r="H125" s="5201"/>
      <c r="I125" s="6455"/>
      <c r="J125" s="6456"/>
      <c r="K125" s="6456"/>
      <c r="L125" s="6456"/>
      <c r="M125" s="6456"/>
      <c r="N125" s="6457"/>
      <c r="O125" s="6458"/>
      <c r="P125" s="6459"/>
      <c r="Q125" s="6460"/>
      <c r="R125" s="6460"/>
      <c r="S125" s="6460"/>
      <c r="T125" s="6460"/>
      <c r="U125" s="6461"/>
      <c r="V125" s="6462"/>
      <c r="W125" s="6459"/>
      <c r="X125" s="6460"/>
      <c r="Y125" s="6460"/>
      <c r="Z125" s="6460"/>
      <c r="AA125" s="6460"/>
      <c r="AB125" s="6461"/>
      <c r="AC125" s="6462"/>
      <c r="AD125" s="6459"/>
      <c r="AE125" s="6460"/>
      <c r="AF125" s="6460"/>
      <c r="AG125" s="6460"/>
      <c r="AH125" s="6460"/>
      <c r="AI125" s="6461"/>
      <c r="AJ125" s="6461"/>
      <c r="AK125" s="1706"/>
      <c r="AZ125" s="4011">
        <v>203</v>
      </c>
      <c r="BA125" s="4012">
        <v>6.5199999999999994E-2</v>
      </c>
      <c r="BL125" s="64"/>
      <c r="BM125" s="64"/>
    </row>
    <row r="126" spans="1:65" ht="27" customHeight="1">
      <c r="A126" s="1706"/>
      <c r="B126" s="6550" t="s">
        <v>2288</v>
      </c>
      <c r="C126" s="3403"/>
      <c r="D126" s="6547" t="s">
        <v>2286</v>
      </c>
      <c r="E126" s="5846"/>
      <c r="F126" s="5846"/>
      <c r="G126" s="5846"/>
      <c r="H126" s="5785"/>
      <c r="I126" s="3828" t="s">
        <v>1860</v>
      </c>
      <c r="J126" s="6444" t="s">
        <v>2282</v>
      </c>
      <c r="K126" s="6444"/>
      <c r="L126" s="6444"/>
      <c r="M126" s="6444"/>
      <c r="N126" s="6444"/>
      <c r="O126" s="6445"/>
      <c r="P126" s="3827" t="s">
        <v>1862</v>
      </c>
      <c r="Q126" s="6446" t="s">
        <v>3241</v>
      </c>
      <c r="R126" s="6444"/>
      <c r="S126" s="6444"/>
      <c r="T126" s="6444"/>
      <c r="U126" s="6444"/>
      <c r="V126" s="6445"/>
      <c r="W126" s="3827" t="s">
        <v>1865</v>
      </c>
      <c r="X126" s="6444" t="s">
        <v>2283</v>
      </c>
      <c r="Y126" s="6444"/>
      <c r="Z126" s="6444"/>
      <c r="AA126" s="6444"/>
      <c r="AB126" s="6444"/>
      <c r="AC126" s="6445"/>
      <c r="AD126" s="3827" t="s">
        <v>1549</v>
      </c>
      <c r="AE126" s="6444" t="s">
        <v>2284</v>
      </c>
      <c r="AF126" s="6444"/>
      <c r="AG126" s="6444"/>
      <c r="AH126" s="6444"/>
      <c r="AI126" s="6444"/>
      <c r="AJ126" s="6444"/>
      <c r="AK126" s="1706"/>
      <c r="AZ126" s="4011">
        <v>204</v>
      </c>
      <c r="BA126" s="4012">
        <v>6.5500000000000003E-2</v>
      </c>
      <c r="BL126" s="64"/>
      <c r="BM126" s="64"/>
    </row>
    <row r="127" spans="1:65" ht="13.5" thickBot="1">
      <c r="A127" s="1706"/>
      <c r="B127" s="6551"/>
      <c r="C127" s="3414"/>
      <c r="D127" s="6548"/>
      <c r="E127" s="6548"/>
      <c r="F127" s="6548"/>
      <c r="G127" s="6548"/>
      <c r="H127" s="6549"/>
      <c r="I127" s="6447"/>
      <c r="J127" s="6448"/>
      <c r="K127" s="6448"/>
      <c r="L127" s="6448"/>
      <c r="M127" s="6448"/>
      <c r="N127" s="6449"/>
      <c r="O127" s="6450"/>
      <c r="P127" s="6451"/>
      <c r="Q127" s="6452"/>
      <c r="R127" s="6452"/>
      <c r="S127" s="6452"/>
      <c r="T127" s="6452"/>
      <c r="U127" s="6453"/>
      <c r="V127" s="6454"/>
      <c r="W127" s="6451"/>
      <c r="X127" s="6452"/>
      <c r="Y127" s="6452"/>
      <c r="Z127" s="6452"/>
      <c r="AA127" s="6452"/>
      <c r="AB127" s="6453"/>
      <c r="AC127" s="6454"/>
      <c r="AD127" s="6451"/>
      <c r="AE127" s="6452"/>
      <c r="AF127" s="6452"/>
      <c r="AG127" s="6452"/>
      <c r="AH127" s="6452"/>
      <c r="AI127" s="6453"/>
      <c r="AJ127" s="6453"/>
      <c r="AK127" s="1706"/>
      <c r="AL127" s="3115"/>
      <c r="AM127" s="3116"/>
      <c r="AZ127" s="4011">
        <v>205</v>
      </c>
      <c r="BA127" s="4012">
        <v>6.59E-2</v>
      </c>
      <c r="BL127" s="64"/>
      <c r="BM127" s="64"/>
    </row>
    <row r="128" spans="1:65" ht="21.75" customHeight="1">
      <c r="A128" s="3123"/>
      <c r="B128" s="3413"/>
      <c r="C128" s="178"/>
      <c r="D128" s="178"/>
      <c r="E128" s="178"/>
      <c r="F128" s="178"/>
      <c r="G128" s="178"/>
      <c r="H128" s="178"/>
      <c r="I128" s="178"/>
      <c r="J128" s="178"/>
      <c r="K128" s="178"/>
      <c r="L128" s="178"/>
      <c r="M128" s="178"/>
      <c r="N128" s="178"/>
      <c r="O128" s="178"/>
      <c r="P128" s="178"/>
      <c r="Q128" s="44"/>
      <c r="R128" s="44"/>
      <c r="S128" s="44"/>
      <c r="T128" s="44"/>
      <c r="U128" s="737"/>
      <c r="V128" s="44"/>
      <c r="W128" s="737"/>
      <c r="X128" s="44"/>
      <c r="Y128" s="44"/>
      <c r="Z128" s="44"/>
      <c r="AA128" s="44"/>
      <c r="AB128" s="44"/>
      <c r="AC128" s="44"/>
      <c r="AD128" s="44"/>
      <c r="AE128" s="44"/>
      <c r="AF128" s="44"/>
      <c r="AG128" s="44"/>
      <c r="AH128" s="1569" t="s">
        <v>2268</v>
      </c>
      <c r="AI128" s="44"/>
      <c r="AJ128" s="1569" t="str">
        <f>"("&amp;TaxYear&amp;")"</f>
        <v>(2016)</v>
      </c>
      <c r="AK128" s="1706"/>
      <c r="AN128" s="3115"/>
      <c r="AZ128" s="4011">
        <v>206</v>
      </c>
      <c r="BA128" s="4012">
        <v>6.6199999999999995E-2</v>
      </c>
      <c r="BL128" s="64"/>
      <c r="BM128" s="64"/>
    </row>
    <row r="129" spans="1:65">
      <c r="A129" s="1706"/>
      <c r="B129" s="1706"/>
      <c r="C129" s="1706"/>
      <c r="D129" s="1706"/>
      <c r="E129" s="1706"/>
      <c r="F129" s="1706"/>
      <c r="G129" s="1706"/>
      <c r="H129" s="1706"/>
      <c r="I129" s="1706"/>
      <c r="J129" s="1706"/>
      <c r="K129" s="1706"/>
      <c r="L129" s="1706"/>
      <c r="M129" s="1706"/>
      <c r="N129" s="1706"/>
      <c r="O129" s="1706"/>
      <c r="P129" s="1706"/>
      <c r="Q129" s="1706"/>
      <c r="R129" s="1706"/>
      <c r="S129" s="1706"/>
      <c r="T129" s="1706"/>
      <c r="U129" s="1706"/>
      <c r="V129" s="1706"/>
      <c r="W129" s="1706"/>
      <c r="X129" s="1706"/>
      <c r="Y129" s="1706"/>
      <c r="Z129" s="1706"/>
      <c r="AA129" s="1706"/>
      <c r="AB129" s="1706"/>
      <c r="AC129" s="1706"/>
      <c r="AD129" s="1706"/>
      <c r="AE129" s="1706"/>
      <c r="AF129" s="1706"/>
      <c r="AG129" s="1706"/>
      <c r="AH129" s="1706"/>
      <c r="AI129" s="1706"/>
      <c r="AJ129" s="1706"/>
      <c r="AK129" s="1706"/>
      <c r="AZ129" s="4011">
        <v>207</v>
      </c>
      <c r="BA129" s="4012">
        <v>6.6600000000000006E-2</v>
      </c>
      <c r="BL129" s="64"/>
      <c r="BM129" s="64"/>
    </row>
    <row r="130" spans="1:65">
      <c r="AZ130" s="4011">
        <v>208</v>
      </c>
      <c r="BA130" s="4012">
        <v>6.6900000000000001E-2</v>
      </c>
      <c r="BL130" s="64"/>
      <c r="BM130" s="64"/>
    </row>
    <row r="131" spans="1:65">
      <c r="AZ131" s="4011">
        <v>209</v>
      </c>
      <c r="BA131" s="4012">
        <v>6.7299999999999999E-2</v>
      </c>
      <c r="BL131" s="64"/>
      <c r="BM131" s="64"/>
    </row>
    <row r="132" spans="1:65">
      <c r="AZ132" s="4011">
        <v>210</v>
      </c>
      <c r="BA132" s="4012">
        <v>6.7599999999999993E-2</v>
      </c>
      <c r="BL132" s="64"/>
      <c r="BM132" s="64"/>
    </row>
    <row r="133" spans="1:65">
      <c r="AZ133" s="4011">
        <v>211</v>
      </c>
      <c r="BA133" s="4012">
        <v>6.8000000000000005E-2</v>
      </c>
      <c r="BL133" s="64"/>
      <c r="BM133" s="64"/>
    </row>
    <row r="134" spans="1:65">
      <c r="AZ134" s="4011">
        <v>212</v>
      </c>
      <c r="BA134" s="4012">
        <v>6.83E-2</v>
      </c>
      <c r="BL134" s="64"/>
      <c r="BM134" s="64"/>
    </row>
    <row r="135" spans="1:65">
      <c r="AZ135" s="4011">
        <v>213</v>
      </c>
      <c r="BA135" s="4012">
        <v>6.8699999999999997E-2</v>
      </c>
      <c r="BL135" s="64"/>
      <c r="BM135" s="64"/>
    </row>
    <row r="136" spans="1:65">
      <c r="AZ136" s="4011">
        <v>214</v>
      </c>
      <c r="BA136" s="4012">
        <v>6.9099999999999995E-2</v>
      </c>
      <c r="BL136" s="64"/>
      <c r="BM136" s="64"/>
    </row>
    <row r="137" spans="1:65">
      <c r="AZ137" s="4011">
        <v>215</v>
      </c>
      <c r="BA137" s="4012">
        <v>6.9400000000000003E-2</v>
      </c>
      <c r="BL137" s="64"/>
      <c r="BM137" s="64"/>
    </row>
    <row r="138" spans="1:65">
      <c r="AZ138" s="4011">
        <v>216</v>
      </c>
      <c r="BA138" s="4012">
        <v>6.9800000000000001E-2</v>
      </c>
      <c r="BL138" s="64"/>
      <c r="BM138" s="64"/>
    </row>
    <row r="139" spans="1:65">
      <c r="AZ139" s="4011">
        <v>217</v>
      </c>
      <c r="BA139" s="4012">
        <v>7.0099999999999996E-2</v>
      </c>
      <c r="BL139" s="64"/>
      <c r="BM139" s="64"/>
    </row>
    <row r="140" spans="1:65">
      <c r="AZ140" s="4011">
        <v>218</v>
      </c>
      <c r="BA140" s="4012">
        <v>7.0499999999999993E-2</v>
      </c>
      <c r="BL140" s="64"/>
      <c r="BM140" s="64"/>
    </row>
    <row r="141" spans="1:65">
      <c r="AZ141" s="4011">
        <v>219</v>
      </c>
      <c r="BA141" s="4012">
        <v>7.0800000000000002E-2</v>
      </c>
      <c r="BL141" s="64"/>
      <c r="BM141" s="64"/>
    </row>
    <row r="142" spans="1:65">
      <c r="AZ142" s="4011">
        <v>220</v>
      </c>
      <c r="BA142" s="4012">
        <v>7.1199999999999999E-2</v>
      </c>
      <c r="BL142" s="64"/>
      <c r="BM142" s="64"/>
    </row>
    <row r="143" spans="1:65">
      <c r="AZ143" s="4011">
        <v>221</v>
      </c>
      <c r="BA143" s="4012">
        <v>7.1499999999999994E-2</v>
      </c>
      <c r="BL143" s="64"/>
      <c r="BM143" s="64"/>
    </row>
    <row r="144" spans="1:65">
      <c r="AZ144" s="4011">
        <v>222</v>
      </c>
      <c r="BA144" s="4012">
        <v>7.1900000000000006E-2</v>
      </c>
      <c r="BL144" s="64"/>
      <c r="BM144" s="64"/>
    </row>
    <row r="145" spans="52:65">
      <c r="AZ145" s="4011">
        <v>223</v>
      </c>
      <c r="BA145" s="4012">
        <v>7.22E-2</v>
      </c>
      <c r="BL145" s="64"/>
      <c r="BM145" s="64"/>
    </row>
    <row r="146" spans="52:65">
      <c r="AZ146" s="4011">
        <v>224</v>
      </c>
      <c r="BA146" s="4012">
        <v>7.2599999999999998E-2</v>
      </c>
      <c r="BL146" s="64"/>
      <c r="BM146" s="64"/>
    </row>
    <row r="147" spans="52:65">
      <c r="AZ147" s="4011">
        <v>225</v>
      </c>
      <c r="BA147" s="4012">
        <v>7.2999999999999995E-2</v>
      </c>
      <c r="BL147" s="64"/>
      <c r="BM147" s="64"/>
    </row>
    <row r="148" spans="52:65">
      <c r="AZ148" s="4011">
        <v>226</v>
      </c>
      <c r="BA148" s="4012">
        <v>7.3300000000000004E-2</v>
      </c>
      <c r="BL148" s="64"/>
      <c r="BM148" s="64"/>
    </row>
    <row r="149" spans="52:65">
      <c r="AZ149" s="4011">
        <v>227</v>
      </c>
      <c r="BA149" s="4012">
        <v>7.3700000000000002E-2</v>
      </c>
      <c r="BL149" s="64"/>
      <c r="BM149" s="64"/>
    </row>
    <row r="150" spans="52:65">
      <c r="AZ150" s="4011">
        <v>228</v>
      </c>
      <c r="BA150" s="4012">
        <v>7.3999999999999996E-2</v>
      </c>
      <c r="BL150" s="64"/>
      <c r="BM150" s="64"/>
    </row>
    <row r="151" spans="52:65">
      <c r="AZ151" s="4011">
        <v>229</v>
      </c>
      <c r="BA151" s="4012">
        <v>7.4399999999999994E-2</v>
      </c>
      <c r="BL151" s="64"/>
      <c r="BM151" s="64"/>
    </row>
    <row r="152" spans="52:65">
      <c r="AZ152" s="4011">
        <v>230</v>
      </c>
      <c r="BA152" s="4012">
        <v>7.4700000000000003E-2</v>
      </c>
      <c r="BL152" s="64"/>
      <c r="BM152" s="64"/>
    </row>
    <row r="153" spans="52:65">
      <c r="AZ153" s="4011">
        <v>231</v>
      </c>
      <c r="BA153" s="4012">
        <v>7.51E-2</v>
      </c>
      <c r="BL153" s="64"/>
      <c r="BM153" s="64"/>
    </row>
    <row r="154" spans="52:65">
      <c r="AZ154" s="4011">
        <v>232</v>
      </c>
      <c r="BA154" s="4012">
        <v>7.5399999999999995E-2</v>
      </c>
      <c r="BL154" s="64"/>
      <c r="BM154" s="64"/>
    </row>
    <row r="155" spans="52:65">
      <c r="AZ155" s="4011">
        <v>233</v>
      </c>
      <c r="BA155" s="4012">
        <v>7.5800000000000006E-2</v>
      </c>
      <c r="BL155" s="64"/>
      <c r="BM155" s="64"/>
    </row>
    <row r="156" spans="52:65">
      <c r="AZ156" s="4011">
        <v>234</v>
      </c>
      <c r="BA156" s="4012">
        <v>7.6100000000000001E-2</v>
      </c>
      <c r="BL156" s="64"/>
      <c r="BM156" s="64"/>
    </row>
    <row r="157" spans="52:65">
      <c r="AZ157" s="4011">
        <v>235</v>
      </c>
      <c r="BA157" s="4012">
        <v>7.6499999999999999E-2</v>
      </c>
      <c r="BL157" s="64"/>
      <c r="BM157" s="64"/>
    </row>
    <row r="158" spans="52:65">
      <c r="AZ158" s="4011">
        <v>236</v>
      </c>
      <c r="BA158" s="4012">
        <v>7.6799999999999993E-2</v>
      </c>
      <c r="BL158" s="64"/>
      <c r="BM158" s="64"/>
    </row>
    <row r="159" spans="52:65">
      <c r="AZ159" s="4011">
        <v>237</v>
      </c>
      <c r="BA159" s="4012">
        <v>7.7200000000000005E-2</v>
      </c>
      <c r="BL159" s="64"/>
      <c r="BM159" s="64"/>
    </row>
    <row r="160" spans="52:65">
      <c r="AZ160" s="4011">
        <v>238</v>
      </c>
      <c r="BA160" s="4012">
        <v>7.7600000000000002E-2</v>
      </c>
      <c r="BL160" s="64"/>
      <c r="BM160" s="64"/>
    </row>
    <row r="161" spans="52:65">
      <c r="AZ161" s="4011">
        <v>239</v>
      </c>
      <c r="BA161" s="4012">
        <v>7.7899999999999997E-2</v>
      </c>
      <c r="BL161" s="64"/>
      <c r="BM161" s="64"/>
    </row>
    <row r="162" spans="52:65">
      <c r="AZ162" s="4011">
        <v>240</v>
      </c>
      <c r="BA162" s="4012">
        <v>7.8299999999999995E-2</v>
      </c>
      <c r="BL162" s="64"/>
      <c r="BM162" s="64"/>
    </row>
    <row r="163" spans="52:65">
      <c r="AZ163" s="4011">
        <v>241</v>
      </c>
      <c r="BA163" s="4012">
        <v>7.8600000000000003E-2</v>
      </c>
      <c r="BL163" s="64"/>
      <c r="BM163" s="64"/>
    </row>
    <row r="164" spans="52:65">
      <c r="AZ164" s="4011">
        <v>242</v>
      </c>
      <c r="BA164" s="4012">
        <v>7.9000000000000001E-2</v>
      </c>
      <c r="BL164" s="64"/>
      <c r="BM164" s="64"/>
    </row>
    <row r="165" spans="52:65">
      <c r="AZ165" s="4011">
        <v>243</v>
      </c>
      <c r="BA165" s="4012">
        <v>7.9299999999999995E-2</v>
      </c>
      <c r="BL165" s="64"/>
      <c r="BM165" s="64"/>
    </row>
    <row r="166" spans="52:65">
      <c r="AZ166" s="4011">
        <v>244</v>
      </c>
      <c r="BA166" s="4012">
        <v>7.9699999999999993E-2</v>
      </c>
      <c r="BL166" s="64"/>
      <c r="BM166" s="64"/>
    </row>
    <row r="167" spans="52:65">
      <c r="AZ167" s="4011">
        <v>245</v>
      </c>
      <c r="BA167" s="4012">
        <v>0.08</v>
      </c>
      <c r="BL167" s="64"/>
      <c r="BM167" s="64"/>
    </row>
    <row r="168" spans="52:65">
      <c r="AZ168" s="4011">
        <v>246</v>
      </c>
      <c r="BA168" s="4012">
        <v>8.0399999999999999E-2</v>
      </c>
      <c r="BL168" s="64"/>
      <c r="BM168" s="64"/>
    </row>
    <row r="169" spans="52:65">
      <c r="AZ169" s="4011">
        <v>247</v>
      </c>
      <c r="BA169" s="4012">
        <v>8.0699999999999994E-2</v>
      </c>
      <c r="BL169" s="64"/>
      <c r="BM169" s="64"/>
    </row>
    <row r="170" spans="52:65">
      <c r="AZ170" s="4011">
        <v>248</v>
      </c>
      <c r="BA170" s="4012">
        <v>8.1100000000000005E-2</v>
      </c>
      <c r="BL170" s="64"/>
      <c r="BM170" s="64"/>
    </row>
    <row r="171" spans="52:65">
      <c r="AZ171" s="4011">
        <v>249</v>
      </c>
      <c r="BA171" s="4012">
        <v>8.14E-2</v>
      </c>
      <c r="BL171" s="64"/>
      <c r="BM171" s="64"/>
    </row>
    <row r="172" spans="52:65">
      <c r="AZ172" s="4011">
        <v>250</v>
      </c>
      <c r="BA172" s="4012">
        <v>8.1799999999999998E-2</v>
      </c>
      <c r="BL172" s="64"/>
      <c r="BM172" s="64"/>
    </row>
    <row r="173" spans="52:65">
      <c r="AZ173" s="4011">
        <v>251</v>
      </c>
      <c r="BA173" s="4012">
        <v>8.2100000000000006E-2</v>
      </c>
      <c r="BL173" s="64"/>
      <c r="BM173" s="64"/>
    </row>
    <row r="174" spans="52:65">
      <c r="AZ174" s="4011">
        <v>252</v>
      </c>
      <c r="BA174" s="4012">
        <v>8.2400000000000001E-2</v>
      </c>
      <c r="BL174" s="64"/>
      <c r="BM174" s="64"/>
    </row>
    <row r="175" spans="52:65">
      <c r="AZ175" s="4011">
        <v>253</v>
      </c>
      <c r="BA175" s="4012">
        <v>8.2699999999999996E-2</v>
      </c>
      <c r="BL175" s="64"/>
      <c r="BM175" s="64"/>
    </row>
    <row r="176" spans="52:65">
      <c r="AZ176" s="4011">
        <v>254</v>
      </c>
      <c r="BA176" s="4012">
        <v>8.3000000000000004E-2</v>
      </c>
      <c r="BL176" s="64"/>
      <c r="BM176" s="64"/>
    </row>
    <row r="177" spans="52:65">
      <c r="AZ177" s="4011">
        <v>255</v>
      </c>
      <c r="BA177" s="4012">
        <v>8.3299999999999999E-2</v>
      </c>
      <c r="BL177" s="64"/>
      <c r="BM177" s="64"/>
    </row>
    <row r="178" spans="52:65">
      <c r="AZ178" s="4011">
        <v>256</v>
      </c>
      <c r="BA178" s="4012">
        <v>8.3599999999999994E-2</v>
      </c>
      <c r="BL178" s="64"/>
      <c r="BM178" s="64"/>
    </row>
    <row r="179" spans="52:65">
      <c r="AZ179" s="4011">
        <v>257</v>
      </c>
      <c r="BA179" s="4012">
        <v>8.3900000000000002E-2</v>
      </c>
      <c r="BL179" s="64"/>
      <c r="BM179" s="64"/>
    </row>
    <row r="180" spans="52:65">
      <c r="AZ180" s="4011">
        <v>258</v>
      </c>
      <c r="BA180" s="4012">
        <v>8.4199999999999997E-2</v>
      </c>
      <c r="BL180" s="64"/>
      <c r="BM180" s="64"/>
    </row>
    <row r="181" spans="52:65">
      <c r="AZ181" s="4011">
        <v>259</v>
      </c>
      <c r="BA181" s="4012">
        <v>8.4500000000000006E-2</v>
      </c>
      <c r="BL181" s="64"/>
      <c r="BM181" s="64"/>
    </row>
    <row r="182" spans="52:65">
      <c r="AZ182" s="4011">
        <v>260</v>
      </c>
      <c r="BA182" s="4012">
        <v>8.48E-2</v>
      </c>
      <c r="BL182" s="64"/>
      <c r="BM182" s="64"/>
    </row>
    <row r="183" spans="52:65">
      <c r="AZ183" s="4011">
        <v>261</v>
      </c>
      <c r="BA183" s="4012">
        <v>8.5099999999999995E-2</v>
      </c>
      <c r="BL183" s="64"/>
      <c r="BM183" s="64"/>
    </row>
    <row r="184" spans="52:65">
      <c r="AZ184" s="4011">
        <v>262</v>
      </c>
      <c r="BA184" s="4012">
        <v>8.5400000000000004E-2</v>
      </c>
      <c r="BL184" s="64"/>
      <c r="BM184" s="64"/>
    </row>
    <row r="185" spans="52:65">
      <c r="AZ185" s="4011">
        <v>263</v>
      </c>
      <c r="BA185" s="4012">
        <v>8.5599999999999996E-2</v>
      </c>
      <c r="BL185" s="64"/>
      <c r="BM185" s="64"/>
    </row>
    <row r="186" spans="52:65">
      <c r="AZ186" s="4011">
        <v>264</v>
      </c>
      <c r="BA186" s="4012">
        <v>8.5900000000000004E-2</v>
      </c>
      <c r="BL186" s="64"/>
      <c r="BM186" s="64"/>
    </row>
    <row r="187" spans="52:65">
      <c r="AZ187" s="4011">
        <v>265</v>
      </c>
      <c r="BA187" s="4012">
        <v>8.6199999999999999E-2</v>
      </c>
      <c r="BL187" s="64"/>
      <c r="BM187" s="64"/>
    </row>
    <row r="188" spans="52:65">
      <c r="AZ188" s="4011">
        <v>266</v>
      </c>
      <c r="BA188" s="4012">
        <v>8.6499999999999994E-2</v>
      </c>
      <c r="BL188" s="64"/>
      <c r="BM188" s="64"/>
    </row>
    <row r="189" spans="52:65">
      <c r="AZ189" s="4011">
        <v>267</v>
      </c>
      <c r="BA189" s="4012">
        <v>8.6800000000000002E-2</v>
      </c>
      <c r="BL189" s="64"/>
      <c r="BM189" s="64"/>
    </row>
    <row r="190" spans="52:65">
      <c r="AZ190" s="4011">
        <v>268</v>
      </c>
      <c r="BA190" s="4012">
        <v>8.7099999999999997E-2</v>
      </c>
      <c r="BL190" s="64"/>
      <c r="BM190" s="64"/>
    </row>
    <row r="191" spans="52:65">
      <c r="AZ191" s="4011">
        <v>269</v>
      </c>
      <c r="BA191" s="4012">
        <v>8.7400000000000005E-2</v>
      </c>
      <c r="BL191" s="64"/>
      <c r="BM191" s="64"/>
    </row>
    <row r="192" spans="52:65">
      <c r="AZ192" s="4011">
        <v>270</v>
      </c>
      <c r="BA192" s="4012">
        <v>8.77E-2</v>
      </c>
      <c r="BL192" s="64"/>
      <c r="BM192" s="64"/>
    </row>
    <row r="193" spans="52:65">
      <c r="AZ193" s="4011">
        <v>271</v>
      </c>
      <c r="BA193" s="4012">
        <v>8.7999999999999995E-2</v>
      </c>
      <c r="BL193" s="64"/>
      <c r="BM193" s="64"/>
    </row>
    <row r="194" spans="52:65">
      <c r="AZ194" s="4011">
        <v>272</v>
      </c>
      <c r="BA194" s="4012">
        <v>8.8300000000000003E-2</v>
      </c>
      <c r="BL194" s="64"/>
      <c r="BM194" s="64"/>
    </row>
    <row r="195" spans="52:65">
      <c r="AZ195" s="4011">
        <v>273</v>
      </c>
      <c r="BA195" s="4012">
        <v>8.8599999999999998E-2</v>
      </c>
      <c r="BL195" s="64"/>
      <c r="BM195" s="64"/>
    </row>
    <row r="196" spans="52:65">
      <c r="AZ196" s="4011">
        <v>274</v>
      </c>
      <c r="BA196" s="4012">
        <v>8.8900000000000007E-2</v>
      </c>
      <c r="BL196" s="64"/>
      <c r="BM196" s="64"/>
    </row>
    <row r="197" spans="52:65">
      <c r="AZ197" s="4011">
        <v>275</v>
      </c>
      <c r="BA197" s="4012">
        <v>8.9200000000000002E-2</v>
      </c>
      <c r="BL197" s="64"/>
      <c r="BM197" s="64"/>
    </row>
    <row r="198" spans="52:65">
      <c r="AZ198" s="4011">
        <v>276</v>
      </c>
      <c r="BA198" s="4012">
        <v>8.9499999999999996E-2</v>
      </c>
      <c r="BL198" s="64"/>
      <c r="BM198" s="64"/>
    </row>
    <row r="199" spans="52:65">
      <c r="AZ199" s="4011">
        <v>277</v>
      </c>
      <c r="BA199" s="4012">
        <v>8.9800000000000005E-2</v>
      </c>
      <c r="BL199" s="64"/>
      <c r="BM199" s="64"/>
    </row>
    <row r="200" spans="52:65">
      <c r="AZ200" s="4011">
        <v>278</v>
      </c>
      <c r="BA200" s="4012">
        <v>9.01E-2</v>
      </c>
      <c r="BL200" s="64"/>
      <c r="BM200" s="64"/>
    </row>
    <row r="201" spans="52:65">
      <c r="AZ201" s="4011">
        <v>279</v>
      </c>
      <c r="BA201" s="4012">
        <v>9.0399999999999994E-2</v>
      </c>
      <c r="BL201" s="64"/>
      <c r="BM201" s="64"/>
    </row>
    <row r="202" spans="52:65">
      <c r="AZ202" s="4011">
        <v>280</v>
      </c>
      <c r="BA202" s="4012">
        <v>9.0700000000000003E-2</v>
      </c>
      <c r="BL202" s="64"/>
      <c r="BM202" s="64"/>
    </row>
    <row r="203" spans="52:65">
      <c r="AZ203" s="4011">
        <v>281</v>
      </c>
      <c r="BA203" s="4012">
        <v>9.0999999999999998E-2</v>
      </c>
      <c r="BL203" s="64"/>
      <c r="BM203" s="64"/>
    </row>
    <row r="204" spans="52:65">
      <c r="AZ204" s="4011">
        <v>282</v>
      </c>
      <c r="BA204" s="4012">
        <v>9.1300000000000006E-2</v>
      </c>
      <c r="BL204" s="64"/>
      <c r="BM204" s="64"/>
    </row>
    <row r="205" spans="52:65">
      <c r="AZ205" s="4011">
        <v>283</v>
      </c>
      <c r="BA205" s="4012">
        <v>9.1600000000000001E-2</v>
      </c>
      <c r="BL205" s="64"/>
      <c r="BM205" s="64"/>
    </row>
    <row r="206" spans="52:65">
      <c r="AZ206" s="4011">
        <v>284</v>
      </c>
      <c r="BA206" s="4012">
        <v>9.1899999999999996E-2</v>
      </c>
      <c r="BL206" s="64"/>
      <c r="BM206" s="64"/>
    </row>
    <row r="207" spans="52:65">
      <c r="AZ207" s="4011">
        <v>285</v>
      </c>
      <c r="BA207" s="4012">
        <v>9.2200000000000004E-2</v>
      </c>
      <c r="BL207" s="64"/>
      <c r="BM207" s="64"/>
    </row>
    <row r="208" spans="52:65">
      <c r="AZ208" s="4011">
        <v>286</v>
      </c>
      <c r="BA208" s="4012">
        <v>9.2499999999999999E-2</v>
      </c>
      <c r="BL208" s="64"/>
      <c r="BM208" s="64"/>
    </row>
    <row r="209" spans="52:65">
      <c r="AZ209" s="4011">
        <v>287</v>
      </c>
      <c r="BA209" s="4012">
        <v>9.2799999999999994E-2</v>
      </c>
      <c r="BL209" s="64"/>
      <c r="BM209" s="64"/>
    </row>
    <row r="210" spans="52:65">
      <c r="AZ210" s="4011">
        <v>288</v>
      </c>
      <c r="BA210" s="4012">
        <v>9.2999999999999999E-2</v>
      </c>
      <c r="BL210" s="64"/>
      <c r="BM210" s="64"/>
    </row>
    <row r="211" spans="52:65">
      <c r="AZ211" s="4011">
        <v>289</v>
      </c>
      <c r="BA211" s="4012">
        <v>9.3299999999999994E-2</v>
      </c>
      <c r="BL211" s="64"/>
      <c r="BM211" s="64"/>
    </row>
    <row r="212" spans="52:65">
      <c r="AZ212" s="4011">
        <v>290</v>
      </c>
      <c r="BA212" s="4012">
        <v>9.3600000000000003E-2</v>
      </c>
      <c r="BL212" s="64"/>
      <c r="BM212" s="64"/>
    </row>
    <row r="213" spans="52:65">
      <c r="AZ213" s="4011">
        <v>291</v>
      </c>
      <c r="BA213" s="4012">
        <v>9.3899999999999997E-2</v>
      </c>
      <c r="BL213" s="64"/>
      <c r="BM213" s="64"/>
    </row>
    <row r="214" spans="52:65">
      <c r="AZ214" s="4011">
        <v>292</v>
      </c>
      <c r="BA214" s="4012">
        <v>9.4200000000000006E-2</v>
      </c>
      <c r="BL214" s="64"/>
      <c r="BM214" s="64"/>
    </row>
    <row r="215" spans="52:65">
      <c r="AZ215" s="4011">
        <v>293</v>
      </c>
      <c r="BA215" s="4012">
        <v>9.4500000000000001E-2</v>
      </c>
      <c r="BL215" s="64"/>
      <c r="BM215" s="64"/>
    </row>
    <row r="216" spans="52:65">
      <c r="AZ216" s="4011">
        <v>294</v>
      </c>
      <c r="BA216" s="4012">
        <v>9.4799999999999995E-2</v>
      </c>
      <c r="BL216" s="64"/>
      <c r="BM216" s="64"/>
    </row>
    <row r="217" spans="52:65">
      <c r="AZ217" s="4011">
        <v>295</v>
      </c>
      <c r="BA217" s="4012">
        <v>9.5100000000000004E-2</v>
      </c>
      <c r="BL217" s="64"/>
      <c r="BM217" s="64"/>
    </row>
    <row r="218" spans="52:65">
      <c r="AZ218" s="4011">
        <v>296</v>
      </c>
      <c r="BA218" s="4012">
        <v>9.5399999999999999E-2</v>
      </c>
      <c r="BL218" s="64"/>
      <c r="BM218" s="64"/>
    </row>
    <row r="219" spans="52:65">
      <c r="AZ219" s="4011">
        <v>297</v>
      </c>
      <c r="BA219" s="4012">
        <v>9.5699999999999993E-2</v>
      </c>
      <c r="BL219" s="64"/>
      <c r="BM219" s="64"/>
    </row>
    <row r="220" spans="52:65">
      <c r="AZ220" s="4011">
        <v>298</v>
      </c>
      <c r="BA220" s="4012">
        <v>9.6000000000000002E-2</v>
      </c>
      <c r="BL220" s="64"/>
      <c r="BM220" s="64"/>
    </row>
    <row r="221" spans="52:65">
      <c r="AZ221" s="4011">
        <v>299</v>
      </c>
      <c r="BA221" s="4012">
        <v>9.6299999999999997E-2</v>
      </c>
      <c r="BL221" s="64"/>
      <c r="BM221" s="64"/>
    </row>
    <row r="222" spans="52:65">
      <c r="AZ222" s="4011">
        <v>300</v>
      </c>
      <c r="BA222" s="4012">
        <v>9.6600000000000005E-2</v>
      </c>
      <c r="BL222" s="64"/>
      <c r="BM222" s="64"/>
    </row>
    <row r="223" spans="52:65">
      <c r="AZ223" s="4013">
        <v>400</v>
      </c>
      <c r="BA223" s="4014">
        <v>9.6600000000000005E-2</v>
      </c>
      <c r="BL223" s="64"/>
      <c r="BM223" s="64"/>
    </row>
    <row r="224" spans="52:65">
      <c r="BM224" s="3458"/>
    </row>
    <row r="225" spans="65:65">
      <c r="BM225" s="3458"/>
    </row>
  </sheetData>
  <sheetProtection password="F07E" sheet="1" objects="1" scenarios="1"/>
  <mergeCells count="210">
    <mergeCell ref="AY53:BB53"/>
    <mergeCell ref="AO84:AR84"/>
    <mergeCell ref="D126:H127"/>
    <mergeCell ref="D124:H125"/>
    <mergeCell ref="B124:B125"/>
    <mergeCell ref="B126:B127"/>
    <mergeCell ref="AZ17:BI20"/>
    <mergeCell ref="AN17:AW20"/>
    <mergeCell ref="AE73:AJ73"/>
    <mergeCell ref="AE70:AJ70"/>
    <mergeCell ref="AO76:AT76"/>
    <mergeCell ref="AO77:AT77"/>
    <mergeCell ref="AE27:AI27"/>
    <mergeCell ref="G50:K50"/>
    <mergeCell ref="L50:P50"/>
    <mergeCell ref="Q50:U50"/>
    <mergeCell ref="V50:Z50"/>
    <mergeCell ref="AA50:AE50"/>
    <mergeCell ref="AF50:AJ50"/>
    <mergeCell ref="B46:F49"/>
    <mergeCell ref="G46:K49"/>
    <mergeCell ref="L46:P49"/>
    <mergeCell ref="Q46:U49"/>
    <mergeCell ref="V46:Z49"/>
    <mergeCell ref="D50:F50"/>
    <mergeCell ref="AM5:AQ11"/>
    <mergeCell ref="AN46:AW49"/>
    <mergeCell ref="AZ46:BI49"/>
    <mergeCell ref="M37:R37"/>
    <mergeCell ref="AE37:AJ37"/>
    <mergeCell ref="AE25:AJ25"/>
    <mergeCell ref="I4:AB5"/>
    <mergeCell ref="M20:R20"/>
    <mergeCell ref="M19:R19"/>
    <mergeCell ref="AC5:AJ6"/>
    <mergeCell ref="AC4:AJ4"/>
    <mergeCell ref="AR2:AW11"/>
    <mergeCell ref="I8:AB8"/>
    <mergeCell ref="I7:AB7"/>
    <mergeCell ref="AE34:AJ34"/>
    <mergeCell ref="AE17:AJ17"/>
    <mergeCell ref="AE20:AJ20"/>
    <mergeCell ref="AE22:AJ22"/>
    <mergeCell ref="M36:R36"/>
    <mergeCell ref="AA46:AE49"/>
    <mergeCell ref="AF46:AJ49"/>
    <mergeCell ref="B12:AH14"/>
    <mergeCell ref="Y10:AJ11"/>
    <mergeCell ref="B10:X11"/>
    <mergeCell ref="D59:F59"/>
    <mergeCell ref="G59:K59"/>
    <mergeCell ref="L59:P59"/>
    <mergeCell ref="Q59:U59"/>
    <mergeCell ref="AF55:AJ55"/>
    <mergeCell ref="D56:F56"/>
    <mergeCell ref="G56:K56"/>
    <mergeCell ref="L56:P56"/>
    <mergeCell ref="Q56:U56"/>
    <mergeCell ref="V56:Z56"/>
    <mergeCell ref="AA56:AE56"/>
    <mergeCell ref="AF56:AJ56"/>
    <mergeCell ref="V57:Z57"/>
    <mergeCell ref="AA57:AE57"/>
    <mergeCell ref="AF57:AJ57"/>
    <mergeCell ref="D58:F58"/>
    <mergeCell ref="G58:K58"/>
    <mergeCell ref="L58:P58"/>
    <mergeCell ref="Q58:U58"/>
    <mergeCell ref="V58:Z58"/>
    <mergeCell ref="V59:Z59"/>
    <mergeCell ref="AA59:AE59"/>
    <mergeCell ref="AF59:AJ59"/>
    <mergeCell ref="AA58:AE58"/>
    <mergeCell ref="AF58:AJ58"/>
    <mergeCell ref="G57:K57"/>
    <mergeCell ref="L57:P57"/>
    <mergeCell ref="Q57:U57"/>
    <mergeCell ref="B51:F54"/>
    <mergeCell ref="G51:K54"/>
    <mergeCell ref="L51:P54"/>
    <mergeCell ref="Q51:U54"/>
    <mergeCell ref="V51:Z54"/>
    <mergeCell ref="D57:F57"/>
    <mergeCell ref="AA51:AE54"/>
    <mergeCell ref="AF51:AJ54"/>
    <mergeCell ref="D55:F55"/>
    <mergeCell ref="G55:K55"/>
    <mergeCell ref="L55:P55"/>
    <mergeCell ref="Q55:U55"/>
    <mergeCell ref="V55:Z55"/>
    <mergeCell ref="AA55:AE55"/>
    <mergeCell ref="D60:F60"/>
    <mergeCell ref="G60:K60"/>
    <mergeCell ref="L60:P60"/>
    <mergeCell ref="Q60:U60"/>
    <mergeCell ref="V60:Z60"/>
    <mergeCell ref="AA60:AE60"/>
    <mergeCell ref="AF60:AJ60"/>
    <mergeCell ref="AA61:AE61"/>
    <mergeCell ref="AF61:AJ61"/>
    <mergeCell ref="D62:F62"/>
    <mergeCell ref="G62:K62"/>
    <mergeCell ref="L62:P62"/>
    <mergeCell ref="Q62:U62"/>
    <mergeCell ref="V62:Z62"/>
    <mergeCell ref="AA62:AE62"/>
    <mergeCell ref="AF62:AJ62"/>
    <mergeCell ref="D61:F61"/>
    <mergeCell ref="G61:K61"/>
    <mergeCell ref="L61:P61"/>
    <mergeCell ref="Q61:U61"/>
    <mergeCell ref="V61:Z61"/>
    <mergeCell ref="AA63:AE63"/>
    <mergeCell ref="AF63:AJ63"/>
    <mergeCell ref="D64:F64"/>
    <mergeCell ref="G64:K64"/>
    <mergeCell ref="L64:P64"/>
    <mergeCell ref="Q64:U64"/>
    <mergeCell ref="V64:Z64"/>
    <mergeCell ref="AA64:AE64"/>
    <mergeCell ref="AF64:AJ64"/>
    <mergeCell ref="D63:F63"/>
    <mergeCell ref="G63:K63"/>
    <mergeCell ref="L63:P63"/>
    <mergeCell ref="Q63:U63"/>
    <mergeCell ref="V63:Z63"/>
    <mergeCell ref="AE74:AJ74"/>
    <mergeCell ref="AE76:AJ76"/>
    <mergeCell ref="D4:G5"/>
    <mergeCell ref="B5:C5"/>
    <mergeCell ref="AH7:AH8"/>
    <mergeCell ref="AD8:AG8"/>
    <mergeCell ref="AD7:AG7"/>
    <mergeCell ref="AE71:AJ71"/>
    <mergeCell ref="AE67:AJ67"/>
    <mergeCell ref="AE68:AJ68"/>
    <mergeCell ref="AA65:AE65"/>
    <mergeCell ref="AF65:AJ65"/>
    <mergeCell ref="D66:F66"/>
    <mergeCell ref="G66:K66"/>
    <mergeCell ref="L66:P66"/>
    <mergeCell ref="Q66:U66"/>
    <mergeCell ref="V66:Z66"/>
    <mergeCell ref="AA66:AE66"/>
    <mergeCell ref="AF66:AJ66"/>
    <mergeCell ref="D65:F65"/>
    <mergeCell ref="G65:K65"/>
    <mergeCell ref="L65:P65"/>
    <mergeCell ref="Q65:U65"/>
    <mergeCell ref="V65:Z65"/>
    <mergeCell ref="D84:I88"/>
    <mergeCell ref="J84:R87"/>
    <mergeCell ref="S84:AA87"/>
    <mergeCell ref="AB84:AJ87"/>
    <mergeCell ref="J88:R88"/>
    <mergeCell ref="S88:AA88"/>
    <mergeCell ref="AB88:AJ88"/>
    <mergeCell ref="D83:M83"/>
    <mergeCell ref="N83:V83"/>
    <mergeCell ref="W83:AC83"/>
    <mergeCell ref="AD83:AJ83"/>
    <mergeCell ref="D91:M91"/>
    <mergeCell ref="N91:V91"/>
    <mergeCell ref="W91:AC91"/>
    <mergeCell ref="AD91:AJ91"/>
    <mergeCell ref="D92:I96"/>
    <mergeCell ref="J92:R95"/>
    <mergeCell ref="S92:AA95"/>
    <mergeCell ref="AB92:AJ95"/>
    <mergeCell ref="J96:R96"/>
    <mergeCell ref="S96:AA96"/>
    <mergeCell ref="AB96:AJ96"/>
    <mergeCell ref="D99:M99"/>
    <mergeCell ref="N99:V99"/>
    <mergeCell ref="W99:AC99"/>
    <mergeCell ref="AD99:AJ99"/>
    <mergeCell ref="D100:I104"/>
    <mergeCell ref="J100:R103"/>
    <mergeCell ref="S100:AA103"/>
    <mergeCell ref="AB100:AJ103"/>
    <mergeCell ref="J104:R104"/>
    <mergeCell ref="S104:AA104"/>
    <mergeCell ref="AB104:AJ104"/>
    <mergeCell ref="D107:M107"/>
    <mergeCell ref="N107:V107"/>
    <mergeCell ref="W107:AC107"/>
    <mergeCell ref="AD107:AJ107"/>
    <mergeCell ref="D108:I112"/>
    <mergeCell ref="J108:R111"/>
    <mergeCell ref="S108:AA111"/>
    <mergeCell ref="AB108:AJ111"/>
    <mergeCell ref="J112:R112"/>
    <mergeCell ref="S112:AA112"/>
    <mergeCell ref="AB112:AJ112"/>
    <mergeCell ref="J124:O124"/>
    <mergeCell ref="Q124:V124"/>
    <mergeCell ref="X124:AC124"/>
    <mergeCell ref="AE124:AJ124"/>
    <mergeCell ref="J126:O126"/>
    <mergeCell ref="Q126:V126"/>
    <mergeCell ref="X126:AC126"/>
    <mergeCell ref="AE126:AJ126"/>
    <mergeCell ref="I127:O127"/>
    <mergeCell ref="P127:V127"/>
    <mergeCell ref="W127:AC127"/>
    <mergeCell ref="AD127:AJ127"/>
    <mergeCell ref="I125:O125"/>
    <mergeCell ref="P125:V125"/>
    <mergeCell ref="W125:AC125"/>
    <mergeCell ref="AD125:AJ125"/>
  </mergeCells>
  <conditionalFormatting sqref="B10:K10">
    <cfRule type="expression" dxfId="108" priority="205">
      <formula>IF(NoColor,1,0)</formula>
    </cfRule>
  </conditionalFormatting>
  <conditionalFormatting sqref="AE20:AJ20">
    <cfRule type="expression" dxfId="107" priority="175">
      <formula>IF(NoColor,1,0)</formula>
    </cfRule>
  </conditionalFormatting>
  <conditionalFormatting sqref="M37">
    <cfRule type="expression" dxfId="106" priority="202">
      <formula>IF(NoColor,1,0)</formula>
    </cfRule>
  </conditionalFormatting>
  <conditionalFormatting sqref="AF55:AJ66 G55:P66">
    <cfRule type="expression" dxfId="105" priority="200">
      <formula>IF(NoColor,1,0)</formula>
    </cfRule>
  </conditionalFormatting>
  <conditionalFormatting sqref="M37:R37">
    <cfRule type="expression" dxfId="104" priority="199">
      <formula>IF(NoColor,1,0)</formula>
    </cfRule>
  </conditionalFormatting>
  <conditionalFormatting sqref="AE37">
    <cfRule type="expression" dxfId="103" priority="198">
      <formula>IF(NoColor,1,0)</formula>
    </cfRule>
  </conditionalFormatting>
  <conditionalFormatting sqref="AE37:AJ37">
    <cfRule type="expression" dxfId="102" priority="197">
      <formula>IF(NoColor,1,0)</formula>
    </cfRule>
  </conditionalFormatting>
  <conditionalFormatting sqref="AE34">
    <cfRule type="expression" dxfId="101" priority="196">
      <formula>IF(NoColor,1,0)</formula>
    </cfRule>
  </conditionalFormatting>
  <conditionalFormatting sqref="AE34:AJ34">
    <cfRule type="expression" dxfId="100" priority="195">
      <formula>IF(NoColor,1,0)</formula>
    </cfRule>
  </conditionalFormatting>
  <conditionalFormatting sqref="M20">
    <cfRule type="expression" dxfId="99" priority="184">
      <formula>IF(NoColor,1,0)</formula>
    </cfRule>
  </conditionalFormatting>
  <conditionalFormatting sqref="M20:R20">
    <cfRule type="expression" dxfId="98" priority="183">
      <formula>IF(NoColor,1,0)</formula>
    </cfRule>
  </conditionalFormatting>
  <conditionalFormatting sqref="AE27">
    <cfRule type="expression" dxfId="97" priority="182">
      <formula>IF(NoColor,1,0)</formula>
    </cfRule>
  </conditionalFormatting>
  <conditionalFormatting sqref="AE27 AJ27">
    <cfRule type="expression" dxfId="96" priority="181">
      <formula>IF(NoColor,1,0)</formula>
    </cfRule>
  </conditionalFormatting>
  <conditionalFormatting sqref="AE25">
    <cfRule type="expression" dxfId="95" priority="180">
      <formula>IF(NoColor,1,0)</formula>
    </cfRule>
  </conditionalFormatting>
  <conditionalFormatting sqref="AE25:AJ25">
    <cfRule type="expression" dxfId="94" priority="179">
      <formula>IF(NoColor,1,0)</formula>
    </cfRule>
  </conditionalFormatting>
  <conditionalFormatting sqref="AE22">
    <cfRule type="expression" dxfId="93" priority="178">
      <formula>IF(NoColor,1,0)</formula>
    </cfRule>
  </conditionalFormatting>
  <conditionalFormatting sqref="AE22:AJ22">
    <cfRule type="expression" dxfId="92" priority="177">
      <formula>IF(NoColor,1,0)</formula>
    </cfRule>
  </conditionalFormatting>
  <conditionalFormatting sqref="AE20">
    <cfRule type="expression" dxfId="91" priority="176">
      <formula>IF(NoColor,1,0)</formula>
    </cfRule>
  </conditionalFormatting>
  <conditionalFormatting sqref="AE17">
    <cfRule type="expression" dxfId="90" priority="174">
      <formula>IF(NoColor,1,0)</formula>
    </cfRule>
  </conditionalFormatting>
  <conditionalFormatting sqref="AE17:AJ17">
    <cfRule type="expression" dxfId="89" priority="173">
      <formula>IF(NoColor,1,0)</formula>
    </cfRule>
  </conditionalFormatting>
  <conditionalFormatting sqref="AE67">
    <cfRule type="expression" dxfId="88" priority="172">
      <formula>IF(NoColor,1,0)</formula>
    </cfRule>
  </conditionalFormatting>
  <conditionalFormatting sqref="AE67:AJ67">
    <cfRule type="expression" dxfId="87" priority="171">
      <formula>IF(NoColor,1,0)</formula>
    </cfRule>
  </conditionalFormatting>
  <conditionalFormatting sqref="AE68">
    <cfRule type="expression" dxfId="86" priority="170">
      <formula>IF(NoColor,1,0)</formula>
    </cfRule>
  </conditionalFormatting>
  <conditionalFormatting sqref="AE68:AJ68">
    <cfRule type="expression" dxfId="85" priority="169">
      <formula>IF(NoColor,1,0)</formula>
    </cfRule>
  </conditionalFormatting>
  <conditionalFormatting sqref="AE71">
    <cfRule type="expression" dxfId="84" priority="168">
      <formula>IF(NoColor,1,0)</formula>
    </cfRule>
  </conditionalFormatting>
  <conditionalFormatting sqref="AE71:AJ71">
    <cfRule type="expression" dxfId="83" priority="167">
      <formula>IF(NoColor,1,0)</formula>
    </cfRule>
  </conditionalFormatting>
  <conditionalFormatting sqref="D83:H83">
    <cfRule type="expression" dxfId="82" priority="162">
      <formula>IF(NoColor,1,0)</formula>
    </cfRule>
  </conditionalFormatting>
  <conditionalFormatting sqref="C119">
    <cfRule type="expression" dxfId="81" priority="133">
      <formula>IF(NoColor,1,0)</formula>
    </cfRule>
  </conditionalFormatting>
  <conditionalFormatting sqref="N83:R83">
    <cfRule type="expression" dxfId="80" priority="161">
      <formula>IF(NoColor,1,0)</formula>
    </cfRule>
  </conditionalFormatting>
  <conditionalFormatting sqref="W83:AA83">
    <cfRule type="expression" dxfId="79" priority="160">
      <formula>IF(NoColor,1,0)</formula>
    </cfRule>
  </conditionalFormatting>
  <conditionalFormatting sqref="AD83:AH83">
    <cfRule type="expression" dxfId="78" priority="159">
      <formula>IF(NoColor,1,0)</formula>
    </cfRule>
  </conditionalFormatting>
  <conditionalFormatting sqref="J88:N88">
    <cfRule type="expression" dxfId="77" priority="158">
      <formula>IF(NoColor,1,0)</formula>
    </cfRule>
  </conditionalFormatting>
  <conditionalFormatting sqref="S88:W88">
    <cfRule type="expression" dxfId="76" priority="157">
      <formula>IF(NoColor,1,0)</formula>
    </cfRule>
  </conditionalFormatting>
  <conditionalFormatting sqref="AB88:AF88">
    <cfRule type="expression" dxfId="75" priority="156">
      <formula>IF(NoColor,1,0)</formula>
    </cfRule>
  </conditionalFormatting>
  <conditionalFormatting sqref="C114">
    <cfRule type="expression" dxfId="74" priority="134">
      <formula>IF(NoColor,1,0)</formula>
    </cfRule>
  </conditionalFormatting>
  <conditionalFormatting sqref="I125:M125">
    <cfRule type="expression" dxfId="73" priority="132">
      <formula>IF(NoColor,1,0)</formula>
    </cfRule>
  </conditionalFormatting>
  <conditionalFormatting sqref="P125:T125">
    <cfRule type="expression" dxfId="72" priority="131">
      <formula>IF(NoColor,1,0)</formula>
    </cfRule>
  </conditionalFormatting>
  <conditionalFormatting sqref="W125:AA125">
    <cfRule type="expression" dxfId="71" priority="130">
      <formula>IF(NoColor,1,0)</formula>
    </cfRule>
  </conditionalFormatting>
  <conditionalFormatting sqref="AD125:AH125">
    <cfRule type="expression" dxfId="70" priority="129">
      <formula>IF(NoColor,1,0)</formula>
    </cfRule>
  </conditionalFormatting>
  <conditionalFormatting sqref="AE76">
    <cfRule type="expression" dxfId="69" priority="116">
      <formula>IF(NoColor,1,0)</formula>
    </cfRule>
  </conditionalFormatting>
  <conditionalFormatting sqref="D43">
    <cfRule type="expression" dxfId="68" priority="123">
      <formula>IF(NoColor,1,0)</formula>
    </cfRule>
  </conditionalFormatting>
  <conditionalFormatting sqref="AE76:AJ76">
    <cfRule type="expression" dxfId="67" priority="115">
      <formula>IF(NoColor,1,0)</formula>
    </cfRule>
  </conditionalFormatting>
  <conditionalFormatting sqref="D29">
    <cfRule type="expression" dxfId="66" priority="120">
      <formula>IF(NoColor,1,0)</formula>
    </cfRule>
  </conditionalFormatting>
  <conditionalFormatting sqref="AA50:AE50">
    <cfRule type="expression" dxfId="65" priority="110">
      <formula>IF(NoColor,1,0)</formula>
    </cfRule>
  </conditionalFormatting>
  <conditionalFormatting sqref="AE74">
    <cfRule type="expression" dxfId="64" priority="118">
      <formula>IF(NoColor,1,0)</formula>
    </cfRule>
  </conditionalFormatting>
  <conditionalFormatting sqref="AE74:AJ74">
    <cfRule type="expression" dxfId="63" priority="117">
      <formula>IF(NoColor,1,0)</formula>
    </cfRule>
  </conditionalFormatting>
  <conditionalFormatting sqref="G50:K50">
    <cfRule type="expression" dxfId="62" priority="46">
      <formula>IF($D$43="",1,0)</formula>
    </cfRule>
    <cfRule type="expression" dxfId="61" priority="114">
      <formula>IF(NoColor,1,0)</formula>
    </cfRule>
  </conditionalFormatting>
  <conditionalFormatting sqref="Q50:U50">
    <cfRule type="expression" dxfId="60" priority="112">
      <formula>IF(NoColor,1,0)</formula>
    </cfRule>
  </conditionalFormatting>
  <conditionalFormatting sqref="V50:Z50">
    <cfRule type="expression" dxfId="59" priority="111">
      <formula>IF(NoColor,1,0)</formula>
    </cfRule>
  </conditionalFormatting>
  <conditionalFormatting sqref="AF50:AJ50">
    <cfRule type="expression" dxfId="58" priority="109">
      <formula>IF(NoColor,1,0)</formula>
    </cfRule>
  </conditionalFormatting>
  <conditionalFormatting sqref="AJ15">
    <cfRule type="expression" dxfId="57" priority="105">
      <formula>IF(AL15&lt;&gt;"",1,0)</formula>
    </cfRule>
  </conditionalFormatting>
  <conditionalFormatting sqref="AR2">
    <cfRule type="expression" dxfId="56" priority="104">
      <formula>IF(AND(File_Marr_Sep&lt;&gt;"",$AH$10=""),1,0)</formula>
    </cfRule>
  </conditionalFormatting>
  <conditionalFormatting sqref="O25">
    <cfRule type="expression" dxfId="55" priority="92">
      <formula>IF(NoColor,1,0)</formula>
    </cfRule>
  </conditionalFormatting>
  <conditionalFormatting sqref="D31">
    <cfRule type="expression" dxfId="54" priority="100">
      <formula>IF(NoColor,1,0)</formula>
    </cfRule>
  </conditionalFormatting>
  <conditionalFormatting sqref="Z40">
    <cfRule type="expression" dxfId="53" priority="98">
      <formula>IF(NoColor,1,0)</formula>
    </cfRule>
  </conditionalFormatting>
  <conditionalFormatting sqref="D40">
    <cfRule type="expression" dxfId="52" priority="99">
      <formula>IF(NoColor,1,0)</formula>
    </cfRule>
  </conditionalFormatting>
  <conditionalFormatting sqref="AE73:AJ73">
    <cfRule type="expression" dxfId="51" priority="90">
      <formula>IF(NoColor,1,0)</formula>
    </cfRule>
  </conditionalFormatting>
  <conditionalFormatting sqref="Z43">
    <cfRule type="expression" dxfId="50" priority="95">
      <formula>IF(NoColor,1,0)</formula>
    </cfRule>
  </conditionalFormatting>
  <conditionalFormatting sqref="W25">
    <cfRule type="expression" dxfId="49" priority="94">
      <formula>IF(NoColor,1,0)</formula>
    </cfRule>
  </conditionalFormatting>
  <conditionalFormatting sqref="S25">
    <cfRule type="expression" dxfId="48" priority="93">
      <formula>IF(NoColor,1,0)</formula>
    </cfRule>
  </conditionalFormatting>
  <conditionalFormatting sqref="AE73">
    <cfRule type="expression" dxfId="47" priority="91">
      <formula>IF(NoColor,1,0)</formula>
    </cfRule>
  </conditionalFormatting>
  <conditionalFormatting sqref="BG43">
    <cfRule type="expression" dxfId="46" priority="83">
      <formula>IF(NoColor,1,0)</formula>
    </cfRule>
  </conditionalFormatting>
  <conditionalFormatting sqref="AT30">
    <cfRule type="expression" dxfId="45" priority="88">
      <formula>IF(NoColor,1,0)</formula>
    </cfRule>
  </conditionalFormatting>
  <conditionalFormatting sqref="AU25">
    <cfRule type="expression" dxfId="44" priority="81">
      <formula>IF(NoColor,1,0)</formula>
    </cfRule>
  </conditionalFormatting>
  <conditionalFormatting sqref="AT40">
    <cfRule type="expression" dxfId="43" priority="80">
      <formula>IF(NoColor,1,0)</formula>
    </cfRule>
  </conditionalFormatting>
  <conditionalFormatting sqref="AU43">
    <cfRule type="expression" dxfId="42" priority="78">
      <formula>IF(NoColor,1,0)</formula>
    </cfRule>
  </conditionalFormatting>
  <conditionalFormatting sqref="BG26">
    <cfRule type="expression" dxfId="41" priority="75">
      <formula>IF(NoColor,1,0)</formula>
    </cfRule>
  </conditionalFormatting>
  <conditionalFormatting sqref="BF31">
    <cfRule type="expression" dxfId="40" priority="70">
      <formula>IF(NoColor,1,0)</formula>
    </cfRule>
  </conditionalFormatting>
  <conditionalFormatting sqref="BF40">
    <cfRule type="expression" dxfId="39" priority="68">
      <formula>IF(NoColor,1,0)</formula>
    </cfRule>
  </conditionalFormatting>
  <conditionalFormatting sqref="V2">
    <cfRule type="expression" dxfId="38" priority="65">
      <formula>IF(NoColor,1,0)</formula>
    </cfRule>
  </conditionalFormatting>
  <conditionalFormatting sqref="V55:Z66">
    <cfRule type="expression" dxfId="37" priority="49">
      <formula>IF(NoColor,1,0)</formula>
    </cfRule>
  </conditionalFormatting>
  <conditionalFormatting sqref="AA55:AE66">
    <cfRule type="expression" dxfId="36" priority="48">
      <formula>IF(NoColor,1,0)</formula>
    </cfRule>
  </conditionalFormatting>
  <conditionalFormatting sqref="Q55:U66">
    <cfRule type="expression" dxfId="35" priority="47">
      <formula>IF(NoColor,1,0)</formula>
    </cfRule>
  </conditionalFormatting>
  <conditionalFormatting sqref="L50:P50">
    <cfRule type="expression" dxfId="34" priority="44">
      <formula>IF($D$43="",1,0)</formula>
    </cfRule>
    <cfRule type="expression" dxfId="33" priority="45">
      <formula>IF(NoColor,1,0)</formula>
    </cfRule>
  </conditionalFormatting>
  <conditionalFormatting sqref="G55:U66">
    <cfRule type="expression" dxfId="32" priority="43">
      <formula>IF($D$43&lt;&gt;"",1,0)</formula>
    </cfRule>
  </conditionalFormatting>
  <conditionalFormatting sqref="AI13">
    <cfRule type="expression" dxfId="31" priority="42">
      <formula>IF(NoColor,1,0)</formula>
    </cfRule>
  </conditionalFormatting>
  <conditionalFormatting sqref="Y10">
    <cfRule type="expression" dxfId="30" priority="41">
      <formula>IF(NoColor,1,0)</formula>
    </cfRule>
  </conditionalFormatting>
  <conditionalFormatting sqref="B12:AH14">
    <cfRule type="expression" dxfId="29" priority="31">
      <formula>IF(AND(File_Marr_Sep&lt;&gt;"",$AI$13=""),1,0)</formula>
    </cfRule>
  </conditionalFormatting>
  <conditionalFormatting sqref="AT34">
    <cfRule type="expression" dxfId="28" priority="30">
      <formula>IF(NoColor,1,0)</formula>
    </cfRule>
  </conditionalFormatting>
  <conditionalFormatting sqref="BF36">
    <cfRule type="expression" dxfId="27" priority="28">
      <formula>IF(NoColor,1,0)</formula>
    </cfRule>
  </conditionalFormatting>
  <conditionalFormatting sqref="L2">
    <cfRule type="expression" dxfId="26" priority="27">
      <formula>IF(NoColor,1,0)</formula>
    </cfRule>
  </conditionalFormatting>
  <conditionalFormatting sqref="B2">
    <cfRule type="expression" dxfId="25" priority="26">
      <formula>IF(NoColor,1,0)</formula>
    </cfRule>
  </conditionalFormatting>
  <conditionalFormatting sqref="D91:H91">
    <cfRule type="expression" dxfId="24" priority="25">
      <formula>IF(NoColor,1,0)</formula>
    </cfRule>
  </conditionalFormatting>
  <conditionalFormatting sqref="N91:R91">
    <cfRule type="expression" dxfId="23" priority="24">
      <formula>IF(NoColor,1,0)</formula>
    </cfRule>
  </conditionalFormatting>
  <conditionalFormatting sqref="W91:AA91">
    <cfRule type="expression" dxfId="22" priority="23">
      <formula>IF(NoColor,1,0)</formula>
    </cfRule>
  </conditionalFormatting>
  <conditionalFormatting sqref="AD91:AH91">
    <cfRule type="expression" dxfId="21" priority="22">
      <formula>IF(NoColor,1,0)</formula>
    </cfRule>
  </conditionalFormatting>
  <conditionalFormatting sqref="D99:H99">
    <cfRule type="expression" dxfId="20" priority="21">
      <formula>IF(NoColor,1,0)</formula>
    </cfRule>
  </conditionalFormatting>
  <conditionalFormatting sqref="N99:R99">
    <cfRule type="expression" dxfId="19" priority="20">
      <formula>IF(NoColor,1,0)</formula>
    </cfRule>
  </conditionalFormatting>
  <conditionalFormatting sqref="W99:AA99">
    <cfRule type="expression" dxfId="18" priority="19">
      <formula>IF(NoColor,1,0)</formula>
    </cfRule>
  </conditionalFormatting>
  <conditionalFormatting sqref="AD99:AH99">
    <cfRule type="expression" dxfId="17" priority="18">
      <formula>IF(NoColor,1,0)</formula>
    </cfRule>
  </conditionalFormatting>
  <conditionalFormatting sqref="D107:H107">
    <cfRule type="expression" dxfId="16" priority="17">
      <formula>IF(NoColor,1,0)</formula>
    </cfRule>
  </conditionalFormatting>
  <conditionalFormatting sqref="N107:R107">
    <cfRule type="expression" dxfId="15" priority="16">
      <formula>IF(NoColor,1,0)</formula>
    </cfRule>
  </conditionalFormatting>
  <conditionalFormatting sqref="W107:AA107">
    <cfRule type="expression" dxfId="14" priority="15">
      <formula>IF(NoColor,1,0)</formula>
    </cfRule>
  </conditionalFormatting>
  <conditionalFormatting sqref="AD107:AH107">
    <cfRule type="expression" dxfId="13" priority="14">
      <formula>IF(NoColor,1,0)</formula>
    </cfRule>
  </conditionalFormatting>
  <conditionalFormatting sqref="I127:M127">
    <cfRule type="expression" dxfId="12" priority="13">
      <formula>IF(NoColor,1,0)</formula>
    </cfRule>
  </conditionalFormatting>
  <conditionalFormatting sqref="P127:T127">
    <cfRule type="expression" dxfId="11" priority="12">
      <formula>IF(NoColor,1,0)</formula>
    </cfRule>
  </conditionalFormatting>
  <conditionalFormatting sqref="W127:AA127">
    <cfRule type="expression" dxfId="10" priority="11">
      <formula>IF(NoColor,1,0)</formula>
    </cfRule>
  </conditionalFormatting>
  <conditionalFormatting sqref="AD127:AH127">
    <cfRule type="expression" dxfId="9" priority="10">
      <formula>IF(NoColor,1,0)</formula>
    </cfRule>
  </conditionalFormatting>
  <conditionalFormatting sqref="J96:N96">
    <cfRule type="expression" dxfId="8" priority="9">
      <formula>IF(NoColor,1,0)</formula>
    </cfRule>
  </conditionalFormatting>
  <conditionalFormatting sqref="S96:W96">
    <cfRule type="expression" dxfId="7" priority="8">
      <formula>IF(NoColor,1,0)</formula>
    </cfRule>
  </conditionalFormatting>
  <conditionalFormatting sqref="AB96:AF96">
    <cfRule type="expression" dxfId="6" priority="7">
      <formula>IF(NoColor,1,0)</formula>
    </cfRule>
  </conditionalFormatting>
  <conditionalFormatting sqref="J104:N104">
    <cfRule type="expression" dxfId="5" priority="6">
      <formula>IF(NoColor,1,0)</formula>
    </cfRule>
  </conditionalFormatting>
  <conditionalFormatting sqref="S104:W104">
    <cfRule type="expression" dxfId="4" priority="5">
      <formula>IF(NoColor,1,0)</formula>
    </cfRule>
  </conditionalFormatting>
  <conditionalFormatting sqref="AB104:AF104">
    <cfRule type="expression" dxfId="3" priority="4">
      <formula>IF(NoColor,1,0)</formula>
    </cfRule>
  </conditionalFormatting>
  <conditionalFormatting sqref="J112:N112">
    <cfRule type="expression" dxfId="2" priority="3">
      <formula>IF(NoColor,1,0)</formula>
    </cfRule>
  </conditionalFormatting>
  <conditionalFormatting sqref="S112:W112">
    <cfRule type="expression" dxfId="1" priority="2">
      <formula>IF(NoColor,1,0)</formula>
    </cfRule>
  </conditionalFormatting>
  <conditionalFormatting sqref="AB112:AF112">
    <cfRule type="expression" dxfId="0" priority="1">
      <formula>IF(NoColor,1,0)</formula>
    </cfRule>
  </conditionalFormatting>
  <pageMargins left="0.7" right="0.2" top="0.25" bottom="0.25" header="0" footer="0"/>
  <pageSetup scale="75" fitToHeight="0" orientation="portrait" horizontalDpi="4294967293" verticalDpi="4294967293" r:id="rId1"/>
  <rowBreaks count="1" manualBreakCount="1">
    <brk id="77" min="1" max="35"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80"/>
  <sheetViews>
    <sheetView zoomScaleNormal="100" workbookViewId="0">
      <pane ySplit="2" topLeftCell="A3" activePane="bottomLeft" state="frozen"/>
      <selection activeCell="D26" sqref="D26"/>
      <selection pane="bottomLeft" activeCell="A3" sqref="A3"/>
    </sheetView>
  </sheetViews>
  <sheetFormatPr defaultColWidth="14.7109375" defaultRowHeight="12.75"/>
  <cols>
    <col min="1" max="1" width="14.7109375" style="3493" customWidth="1"/>
    <col min="2" max="2" width="14.7109375" style="3496" customWidth="1"/>
    <col min="3" max="4" width="11.85546875" style="3493" customWidth="1"/>
    <col min="5" max="5" width="11.85546875" style="3459" customWidth="1"/>
    <col min="6" max="6" width="11.85546875" style="3496" customWidth="1"/>
    <col min="7" max="7" width="11.85546875" style="3493" customWidth="1"/>
    <col min="8" max="9" width="11.85546875" style="3459" customWidth="1"/>
    <col min="10" max="10" width="11.85546875" style="3496" customWidth="1"/>
    <col min="11" max="11" width="14.7109375" style="3420" customWidth="1"/>
    <col min="12" max="258" width="14.7109375" style="3493"/>
    <col min="259" max="261" width="14.7109375" style="3493" customWidth="1"/>
    <col min="262" max="262" width="14.85546875" style="3493" customWidth="1"/>
    <col min="263" max="267" width="14.7109375" style="3493" customWidth="1"/>
    <col min="268" max="514" width="14.7109375" style="3493"/>
    <col min="515" max="517" width="14.7109375" style="3493" customWidth="1"/>
    <col min="518" max="518" width="14.85546875" style="3493" customWidth="1"/>
    <col min="519" max="523" width="14.7109375" style="3493" customWidth="1"/>
    <col min="524" max="770" width="14.7109375" style="3493"/>
    <col min="771" max="773" width="14.7109375" style="3493" customWidth="1"/>
    <col min="774" max="774" width="14.85546875" style="3493" customWidth="1"/>
    <col min="775" max="779" width="14.7109375" style="3493" customWidth="1"/>
    <col min="780" max="1026" width="14.7109375" style="3493"/>
    <col min="1027" max="1029" width="14.7109375" style="3493" customWidth="1"/>
    <col min="1030" max="1030" width="14.85546875" style="3493" customWidth="1"/>
    <col min="1031" max="1035" width="14.7109375" style="3493" customWidth="1"/>
    <col min="1036" max="1282" width="14.7109375" style="3493"/>
    <col min="1283" max="1285" width="14.7109375" style="3493" customWidth="1"/>
    <col min="1286" max="1286" width="14.85546875" style="3493" customWidth="1"/>
    <col min="1287" max="1291" width="14.7109375" style="3493" customWidth="1"/>
    <col min="1292" max="1538" width="14.7109375" style="3493"/>
    <col min="1539" max="1541" width="14.7109375" style="3493" customWidth="1"/>
    <col min="1542" max="1542" width="14.85546875" style="3493" customWidth="1"/>
    <col min="1543" max="1547" width="14.7109375" style="3493" customWidth="1"/>
    <col min="1548" max="1794" width="14.7109375" style="3493"/>
    <col min="1795" max="1797" width="14.7109375" style="3493" customWidth="1"/>
    <col min="1798" max="1798" width="14.85546875" style="3493" customWidth="1"/>
    <col min="1799" max="1803" width="14.7109375" style="3493" customWidth="1"/>
    <col min="1804" max="2050" width="14.7109375" style="3493"/>
    <col min="2051" max="2053" width="14.7109375" style="3493" customWidth="1"/>
    <col min="2054" max="2054" width="14.85546875" style="3493" customWidth="1"/>
    <col min="2055" max="2059" width="14.7109375" style="3493" customWidth="1"/>
    <col min="2060" max="2306" width="14.7109375" style="3493"/>
    <col min="2307" max="2309" width="14.7109375" style="3493" customWidth="1"/>
    <col min="2310" max="2310" width="14.85546875" style="3493" customWidth="1"/>
    <col min="2311" max="2315" width="14.7109375" style="3493" customWidth="1"/>
    <col min="2316" max="2562" width="14.7109375" style="3493"/>
    <col min="2563" max="2565" width="14.7109375" style="3493" customWidth="1"/>
    <col min="2566" max="2566" width="14.85546875" style="3493" customWidth="1"/>
    <col min="2567" max="2571" width="14.7109375" style="3493" customWidth="1"/>
    <col min="2572" max="2818" width="14.7109375" style="3493"/>
    <col min="2819" max="2821" width="14.7109375" style="3493" customWidth="1"/>
    <col min="2822" max="2822" width="14.85546875" style="3493" customWidth="1"/>
    <col min="2823" max="2827" width="14.7109375" style="3493" customWidth="1"/>
    <col min="2828" max="3074" width="14.7109375" style="3493"/>
    <col min="3075" max="3077" width="14.7109375" style="3493" customWidth="1"/>
    <col min="3078" max="3078" width="14.85546875" style="3493" customWidth="1"/>
    <col min="3079" max="3083" width="14.7109375" style="3493" customWidth="1"/>
    <col min="3084" max="3330" width="14.7109375" style="3493"/>
    <col min="3331" max="3333" width="14.7109375" style="3493" customWidth="1"/>
    <col min="3334" max="3334" width="14.85546875" style="3493" customWidth="1"/>
    <col min="3335" max="3339" width="14.7109375" style="3493" customWidth="1"/>
    <col min="3340" max="3586" width="14.7109375" style="3493"/>
    <col min="3587" max="3589" width="14.7109375" style="3493" customWidth="1"/>
    <col min="3590" max="3590" width="14.85546875" style="3493" customWidth="1"/>
    <col min="3591" max="3595" width="14.7109375" style="3493" customWidth="1"/>
    <col min="3596" max="3842" width="14.7109375" style="3493"/>
    <col min="3843" max="3845" width="14.7109375" style="3493" customWidth="1"/>
    <col min="3846" max="3846" width="14.85546875" style="3493" customWidth="1"/>
    <col min="3847" max="3851" width="14.7109375" style="3493" customWidth="1"/>
    <col min="3852" max="4098" width="14.7109375" style="3493"/>
    <col min="4099" max="4101" width="14.7109375" style="3493" customWidth="1"/>
    <col min="4102" max="4102" width="14.85546875" style="3493" customWidth="1"/>
    <col min="4103" max="4107" width="14.7109375" style="3493" customWidth="1"/>
    <col min="4108" max="4354" width="14.7109375" style="3493"/>
    <col min="4355" max="4357" width="14.7109375" style="3493" customWidth="1"/>
    <col min="4358" max="4358" width="14.85546875" style="3493" customWidth="1"/>
    <col min="4359" max="4363" width="14.7109375" style="3493" customWidth="1"/>
    <col min="4364" max="4610" width="14.7109375" style="3493"/>
    <col min="4611" max="4613" width="14.7109375" style="3493" customWidth="1"/>
    <col min="4614" max="4614" width="14.85546875" style="3493" customWidth="1"/>
    <col min="4615" max="4619" width="14.7109375" style="3493" customWidth="1"/>
    <col min="4620" max="4866" width="14.7109375" style="3493"/>
    <col min="4867" max="4869" width="14.7109375" style="3493" customWidth="1"/>
    <col min="4870" max="4870" width="14.85546875" style="3493" customWidth="1"/>
    <col min="4871" max="4875" width="14.7109375" style="3493" customWidth="1"/>
    <col min="4876" max="5122" width="14.7109375" style="3493"/>
    <col min="5123" max="5125" width="14.7109375" style="3493" customWidth="1"/>
    <col min="5126" max="5126" width="14.85546875" style="3493" customWidth="1"/>
    <col min="5127" max="5131" width="14.7109375" style="3493" customWidth="1"/>
    <col min="5132" max="5378" width="14.7109375" style="3493"/>
    <col min="5379" max="5381" width="14.7109375" style="3493" customWidth="1"/>
    <col min="5382" max="5382" width="14.85546875" style="3493" customWidth="1"/>
    <col min="5383" max="5387" width="14.7109375" style="3493" customWidth="1"/>
    <col min="5388" max="5634" width="14.7109375" style="3493"/>
    <col min="5635" max="5637" width="14.7109375" style="3493" customWidth="1"/>
    <col min="5638" max="5638" width="14.85546875" style="3493" customWidth="1"/>
    <col min="5639" max="5643" width="14.7109375" style="3493" customWidth="1"/>
    <col min="5644" max="5890" width="14.7109375" style="3493"/>
    <col min="5891" max="5893" width="14.7109375" style="3493" customWidth="1"/>
    <col min="5894" max="5894" width="14.85546875" style="3493" customWidth="1"/>
    <col min="5895" max="5899" width="14.7109375" style="3493" customWidth="1"/>
    <col min="5900" max="6146" width="14.7109375" style="3493"/>
    <col min="6147" max="6149" width="14.7109375" style="3493" customWidth="1"/>
    <col min="6150" max="6150" width="14.85546875" style="3493" customWidth="1"/>
    <col min="6151" max="6155" width="14.7109375" style="3493" customWidth="1"/>
    <col min="6156" max="6402" width="14.7109375" style="3493"/>
    <col min="6403" max="6405" width="14.7109375" style="3493" customWidth="1"/>
    <col min="6406" max="6406" width="14.85546875" style="3493" customWidth="1"/>
    <col min="6407" max="6411" width="14.7109375" style="3493" customWidth="1"/>
    <col min="6412" max="6658" width="14.7109375" style="3493"/>
    <col min="6659" max="6661" width="14.7109375" style="3493" customWidth="1"/>
    <col min="6662" max="6662" width="14.85546875" style="3493" customWidth="1"/>
    <col min="6663" max="6667" width="14.7109375" style="3493" customWidth="1"/>
    <col min="6668" max="6914" width="14.7109375" style="3493"/>
    <col min="6915" max="6917" width="14.7109375" style="3493" customWidth="1"/>
    <col min="6918" max="6918" width="14.85546875" style="3493" customWidth="1"/>
    <col min="6919" max="6923" width="14.7109375" style="3493" customWidth="1"/>
    <col min="6924" max="7170" width="14.7109375" style="3493"/>
    <col min="7171" max="7173" width="14.7109375" style="3493" customWidth="1"/>
    <col min="7174" max="7174" width="14.85546875" style="3493" customWidth="1"/>
    <col min="7175" max="7179" width="14.7109375" style="3493" customWidth="1"/>
    <col min="7180" max="7426" width="14.7109375" style="3493"/>
    <col min="7427" max="7429" width="14.7109375" style="3493" customWidth="1"/>
    <col min="7430" max="7430" width="14.85546875" style="3493" customWidth="1"/>
    <col min="7431" max="7435" width="14.7109375" style="3493" customWidth="1"/>
    <col min="7436" max="7682" width="14.7109375" style="3493"/>
    <col min="7683" max="7685" width="14.7109375" style="3493" customWidth="1"/>
    <col min="7686" max="7686" width="14.85546875" style="3493" customWidth="1"/>
    <col min="7687" max="7691" width="14.7109375" style="3493" customWidth="1"/>
    <col min="7692" max="7938" width="14.7109375" style="3493"/>
    <col min="7939" max="7941" width="14.7109375" style="3493" customWidth="1"/>
    <col min="7942" max="7942" width="14.85546875" style="3493" customWidth="1"/>
    <col min="7943" max="7947" width="14.7109375" style="3493" customWidth="1"/>
    <col min="7948" max="8194" width="14.7109375" style="3493"/>
    <col min="8195" max="8197" width="14.7109375" style="3493" customWidth="1"/>
    <col min="8198" max="8198" width="14.85546875" style="3493" customWidth="1"/>
    <col min="8199" max="8203" width="14.7109375" style="3493" customWidth="1"/>
    <col min="8204" max="8450" width="14.7109375" style="3493"/>
    <col min="8451" max="8453" width="14.7109375" style="3493" customWidth="1"/>
    <col min="8454" max="8454" width="14.85546875" style="3493" customWidth="1"/>
    <col min="8455" max="8459" width="14.7109375" style="3493" customWidth="1"/>
    <col min="8460" max="8706" width="14.7109375" style="3493"/>
    <col min="8707" max="8709" width="14.7109375" style="3493" customWidth="1"/>
    <col min="8710" max="8710" width="14.85546875" style="3493" customWidth="1"/>
    <col min="8711" max="8715" width="14.7109375" style="3493" customWidth="1"/>
    <col min="8716" max="8962" width="14.7109375" style="3493"/>
    <col min="8963" max="8965" width="14.7109375" style="3493" customWidth="1"/>
    <col min="8966" max="8966" width="14.85546875" style="3493" customWidth="1"/>
    <col min="8967" max="8971" width="14.7109375" style="3493" customWidth="1"/>
    <col min="8972" max="9218" width="14.7109375" style="3493"/>
    <col min="9219" max="9221" width="14.7109375" style="3493" customWidth="1"/>
    <col min="9222" max="9222" width="14.85546875" style="3493" customWidth="1"/>
    <col min="9223" max="9227" width="14.7109375" style="3493" customWidth="1"/>
    <col min="9228" max="9474" width="14.7109375" style="3493"/>
    <col min="9475" max="9477" width="14.7109375" style="3493" customWidth="1"/>
    <col min="9478" max="9478" width="14.85546875" style="3493" customWidth="1"/>
    <col min="9479" max="9483" width="14.7109375" style="3493" customWidth="1"/>
    <col min="9484" max="9730" width="14.7109375" style="3493"/>
    <col min="9731" max="9733" width="14.7109375" style="3493" customWidth="1"/>
    <col min="9734" max="9734" width="14.85546875" style="3493" customWidth="1"/>
    <col min="9735" max="9739" width="14.7109375" style="3493" customWidth="1"/>
    <col min="9740" max="9986" width="14.7109375" style="3493"/>
    <col min="9987" max="9989" width="14.7109375" style="3493" customWidth="1"/>
    <col min="9990" max="9990" width="14.85546875" style="3493" customWidth="1"/>
    <col min="9991" max="9995" width="14.7109375" style="3493" customWidth="1"/>
    <col min="9996" max="10242" width="14.7109375" style="3493"/>
    <col min="10243" max="10245" width="14.7109375" style="3493" customWidth="1"/>
    <col min="10246" max="10246" width="14.85546875" style="3493" customWidth="1"/>
    <col min="10247" max="10251" width="14.7109375" style="3493" customWidth="1"/>
    <col min="10252" max="10498" width="14.7109375" style="3493"/>
    <col min="10499" max="10501" width="14.7109375" style="3493" customWidth="1"/>
    <col min="10502" max="10502" width="14.85546875" style="3493" customWidth="1"/>
    <col min="10503" max="10507" width="14.7109375" style="3493" customWidth="1"/>
    <col min="10508" max="10754" width="14.7109375" style="3493"/>
    <col min="10755" max="10757" width="14.7109375" style="3493" customWidth="1"/>
    <col min="10758" max="10758" width="14.85546875" style="3493" customWidth="1"/>
    <col min="10759" max="10763" width="14.7109375" style="3493" customWidth="1"/>
    <col min="10764" max="11010" width="14.7109375" style="3493"/>
    <col min="11011" max="11013" width="14.7109375" style="3493" customWidth="1"/>
    <col min="11014" max="11014" width="14.85546875" style="3493" customWidth="1"/>
    <col min="11015" max="11019" width="14.7109375" style="3493" customWidth="1"/>
    <col min="11020" max="11266" width="14.7109375" style="3493"/>
    <col min="11267" max="11269" width="14.7109375" style="3493" customWidth="1"/>
    <col min="11270" max="11270" width="14.85546875" style="3493" customWidth="1"/>
    <col min="11271" max="11275" width="14.7109375" style="3493" customWidth="1"/>
    <col min="11276" max="11522" width="14.7109375" style="3493"/>
    <col min="11523" max="11525" width="14.7109375" style="3493" customWidth="1"/>
    <col min="11526" max="11526" width="14.85546875" style="3493" customWidth="1"/>
    <col min="11527" max="11531" width="14.7109375" style="3493" customWidth="1"/>
    <col min="11532" max="11778" width="14.7109375" style="3493"/>
    <col min="11779" max="11781" width="14.7109375" style="3493" customWidth="1"/>
    <col min="11782" max="11782" width="14.85546875" style="3493" customWidth="1"/>
    <col min="11783" max="11787" width="14.7109375" style="3493" customWidth="1"/>
    <col min="11788" max="12034" width="14.7109375" style="3493"/>
    <col min="12035" max="12037" width="14.7109375" style="3493" customWidth="1"/>
    <col min="12038" max="12038" width="14.85546875" style="3493" customWidth="1"/>
    <col min="12039" max="12043" width="14.7109375" style="3493" customWidth="1"/>
    <col min="12044" max="12290" width="14.7109375" style="3493"/>
    <col min="12291" max="12293" width="14.7109375" style="3493" customWidth="1"/>
    <col min="12294" max="12294" width="14.85546875" style="3493" customWidth="1"/>
    <col min="12295" max="12299" width="14.7109375" style="3493" customWidth="1"/>
    <col min="12300" max="12546" width="14.7109375" style="3493"/>
    <col min="12547" max="12549" width="14.7109375" style="3493" customWidth="1"/>
    <col min="12550" max="12550" width="14.85546875" style="3493" customWidth="1"/>
    <col min="12551" max="12555" width="14.7109375" style="3493" customWidth="1"/>
    <col min="12556" max="12802" width="14.7109375" style="3493"/>
    <col min="12803" max="12805" width="14.7109375" style="3493" customWidth="1"/>
    <col min="12806" max="12806" width="14.85546875" style="3493" customWidth="1"/>
    <col min="12807" max="12811" width="14.7109375" style="3493" customWidth="1"/>
    <col min="12812" max="13058" width="14.7109375" style="3493"/>
    <col min="13059" max="13061" width="14.7109375" style="3493" customWidth="1"/>
    <col min="13062" max="13062" width="14.85546875" style="3493" customWidth="1"/>
    <col min="13063" max="13067" width="14.7109375" style="3493" customWidth="1"/>
    <col min="13068" max="13314" width="14.7109375" style="3493"/>
    <col min="13315" max="13317" width="14.7109375" style="3493" customWidth="1"/>
    <col min="13318" max="13318" width="14.85546875" style="3493" customWidth="1"/>
    <col min="13319" max="13323" width="14.7109375" style="3493" customWidth="1"/>
    <col min="13324" max="13570" width="14.7109375" style="3493"/>
    <col min="13571" max="13573" width="14.7109375" style="3493" customWidth="1"/>
    <col min="13574" max="13574" width="14.85546875" style="3493" customWidth="1"/>
    <col min="13575" max="13579" width="14.7109375" style="3493" customWidth="1"/>
    <col min="13580" max="13826" width="14.7109375" style="3493"/>
    <col min="13827" max="13829" width="14.7109375" style="3493" customWidth="1"/>
    <col min="13830" max="13830" width="14.85546875" style="3493" customWidth="1"/>
    <col min="13831" max="13835" width="14.7109375" style="3493" customWidth="1"/>
    <col min="13836" max="14082" width="14.7109375" style="3493"/>
    <col min="14083" max="14085" width="14.7109375" style="3493" customWidth="1"/>
    <col min="14086" max="14086" width="14.85546875" style="3493" customWidth="1"/>
    <col min="14087" max="14091" width="14.7109375" style="3493" customWidth="1"/>
    <col min="14092" max="14338" width="14.7109375" style="3493"/>
    <col min="14339" max="14341" width="14.7109375" style="3493" customWidth="1"/>
    <col min="14342" max="14342" width="14.85546875" style="3493" customWidth="1"/>
    <col min="14343" max="14347" width="14.7109375" style="3493" customWidth="1"/>
    <col min="14348" max="14594" width="14.7109375" style="3493"/>
    <col min="14595" max="14597" width="14.7109375" style="3493" customWidth="1"/>
    <col min="14598" max="14598" width="14.85546875" style="3493" customWidth="1"/>
    <col min="14599" max="14603" width="14.7109375" style="3493" customWidth="1"/>
    <col min="14604" max="14850" width="14.7109375" style="3493"/>
    <col min="14851" max="14853" width="14.7109375" style="3493" customWidth="1"/>
    <col min="14854" max="14854" width="14.85546875" style="3493" customWidth="1"/>
    <col min="14855" max="14859" width="14.7109375" style="3493" customWidth="1"/>
    <col min="14860" max="15106" width="14.7109375" style="3493"/>
    <col min="15107" max="15109" width="14.7109375" style="3493" customWidth="1"/>
    <col min="15110" max="15110" width="14.85546875" style="3493" customWidth="1"/>
    <col min="15111" max="15115" width="14.7109375" style="3493" customWidth="1"/>
    <col min="15116" max="15362" width="14.7109375" style="3493"/>
    <col min="15363" max="15365" width="14.7109375" style="3493" customWidth="1"/>
    <col min="15366" max="15366" width="14.85546875" style="3493" customWidth="1"/>
    <col min="15367" max="15371" width="14.7109375" style="3493" customWidth="1"/>
    <col min="15372" max="15618" width="14.7109375" style="3493"/>
    <col min="15619" max="15621" width="14.7109375" style="3493" customWidth="1"/>
    <col min="15622" max="15622" width="14.85546875" style="3493" customWidth="1"/>
    <col min="15623" max="15627" width="14.7109375" style="3493" customWidth="1"/>
    <col min="15628" max="15874" width="14.7109375" style="3493"/>
    <col min="15875" max="15877" width="14.7109375" style="3493" customWidth="1"/>
    <col min="15878" max="15878" width="14.85546875" style="3493" customWidth="1"/>
    <col min="15879" max="15883" width="14.7109375" style="3493" customWidth="1"/>
    <col min="15884" max="16130" width="14.7109375" style="3493"/>
    <col min="16131" max="16133" width="14.7109375" style="3493" customWidth="1"/>
    <col min="16134" max="16134" width="14.85546875" style="3493" customWidth="1"/>
    <col min="16135" max="16139" width="14.7109375" style="3493" customWidth="1"/>
    <col min="16140" max="16384" width="14.7109375" style="3493"/>
  </cols>
  <sheetData>
    <row r="1" spans="1:11" s="3486" customFormat="1">
      <c r="A1" s="6570" t="s">
        <v>2673</v>
      </c>
      <c r="B1" s="6570"/>
      <c r="C1" s="6571" t="s">
        <v>2674</v>
      </c>
      <c r="D1" s="6572"/>
      <c r="E1" s="6572"/>
      <c r="F1" s="6573"/>
      <c r="G1" s="6571" t="s">
        <v>2675</v>
      </c>
      <c r="H1" s="6572"/>
      <c r="I1" s="6572"/>
      <c r="J1" s="6573"/>
    </row>
    <row r="2" spans="1:11" s="2069" customFormat="1" ht="12" thickBot="1">
      <c r="A2" s="3487" t="s">
        <v>2676</v>
      </c>
      <c r="B2" s="3488" t="s">
        <v>2677</v>
      </c>
      <c r="C2" s="3489" t="s">
        <v>2678</v>
      </c>
      <c r="D2" s="3489" t="s">
        <v>2679</v>
      </c>
      <c r="E2" s="3489" t="s">
        <v>2797</v>
      </c>
      <c r="F2" s="3490" t="s">
        <v>2796</v>
      </c>
      <c r="G2" s="3489" t="s">
        <v>2678</v>
      </c>
      <c r="H2" s="3489" t="s">
        <v>2679</v>
      </c>
      <c r="I2" s="3489" t="s">
        <v>2797</v>
      </c>
      <c r="J2" s="3490" t="s">
        <v>2796</v>
      </c>
      <c r="K2" s="995"/>
    </row>
    <row r="3" spans="1:11" ht="13.5">
      <c r="A3" s="3983">
        <v>1</v>
      </c>
      <c r="B3" s="3982">
        <v>50</v>
      </c>
      <c r="C3" s="3983">
        <v>2</v>
      </c>
      <c r="D3" s="3983">
        <v>9</v>
      </c>
      <c r="E3" s="3984">
        <v>10</v>
      </c>
      <c r="F3" s="3982">
        <v>11</v>
      </c>
      <c r="G3" s="3983">
        <v>2</v>
      </c>
      <c r="H3" s="3984">
        <v>9</v>
      </c>
      <c r="I3" s="3984">
        <v>10</v>
      </c>
      <c r="J3" s="3982">
        <v>11</v>
      </c>
      <c r="K3" s="3493"/>
    </row>
    <row r="4" spans="1:11" ht="13.5">
      <c r="A4" s="3491">
        <v>50</v>
      </c>
      <c r="B4" s="3492">
        <v>100</v>
      </c>
      <c r="C4" s="3491">
        <v>6</v>
      </c>
      <c r="D4" s="3491">
        <v>26</v>
      </c>
      <c r="E4" s="3494">
        <v>30</v>
      </c>
      <c r="F4" s="3492">
        <v>34</v>
      </c>
      <c r="G4" s="3491">
        <v>6</v>
      </c>
      <c r="H4" s="3494">
        <v>26</v>
      </c>
      <c r="I4" s="3494">
        <v>30</v>
      </c>
      <c r="J4" s="3492">
        <v>34</v>
      </c>
    </row>
    <row r="5" spans="1:11" ht="13.5">
      <c r="A5" s="3491">
        <v>100</v>
      </c>
      <c r="B5" s="3492">
        <v>150</v>
      </c>
      <c r="C5" s="3491">
        <v>10</v>
      </c>
      <c r="D5" s="3491">
        <v>43</v>
      </c>
      <c r="E5" s="3494">
        <v>50</v>
      </c>
      <c r="F5" s="3492">
        <v>56</v>
      </c>
      <c r="G5" s="3491">
        <v>10</v>
      </c>
      <c r="H5" s="3494">
        <v>43</v>
      </c>
      <c r="I5" s="3494">
        <v>50</v>
      </c>
      <c r="J5" s="3492">
        <v>56</v>
      </c>
    </row>
    <row r="6" spans="1:11" ht="13.5">
      <c r="A6" s="3491">
        <v>150</v>
      </c>
      <c r="B6" s="3492">
        <v>200</v>
      </c>
      <c r="C6" s="3491">
        <v>13</v>
      </c>
      <c r="D6" s="3491">
        <v>60</v>
      </c>
      <c r="E6" s="3494">
        <v>70</v>
      </c>
      <c r="F6" s="3492">
        <v>79</v>
      </c>
      <c r="G6" s="3491">
        <v>13</v>
      </c>
      <c r="H6" s="3494">
        <v>60</v>
      </c>
      <c r="I6" s="3494">
        <v>70</v>
      </c>
      <c r="J6" s="3492">
        <v>79</v>
      </c>
    </row>
    <row r="7" spans="1:11" ht="13.5">
      <c r="A7" s="3491">
        <v>200</v>
      </c>
      <c r="B7" s="3492">
        <v>250</v>
      </c>
      <c r="C7" s="3491">
        <v>17</v>
      </c>
      <c r="D7" s="3491">
        <v>77</v>
      </c>
      <c r="E7" s="3494">
        <v>90</v>
      </c>
      <c r="F7" s="3492">
        <v>101</v>
      </c>
      <c r="G7" s="3491">
        <v>17</v>
      </c>
      <c r="H7" s="3494">
        <v>77</v>
      </c>
      <c r="I7" s="3494">
        <v>90</v>
      </c>
      <c r="J7" s="3492">
        <v>101</v>
      </c>
    </row>
    <row r="8" spans="1:11" ht="13.5">
      <c r="A8" s="3491">
        <v>250</v>
      </c>
      <c r="B8" s="3492">
        <v>300</v>
      </c>
      <c r="C8" s="3491">
        <v>21</v>
      </c>
      <c r="D8" s="3491">
        <v>94</v>
      </c>
      <c r="E8" s="3494">
        <v>110</v>
      </c>
      <c r="F8" s="3492">
        <v>124</v>
      </c>
      <c r="G8" s="3491">
        <v>21</v>
      </c>
      <c r="H8" s="3494">
        <v>94</v>
      </c>
      <c r="I8" s="3494">
        <v>110</v>
      </c>
      <c r="J8" s="3492">
        <v>124</v>
      </c>
    </row>
    <row r="9" spans="1:11" ht="13.5">
      <c r="A9" s="3491">
        <v>300</v>
      </c>
      <c r="B9" s="3492">
        <v>350</v>
      </c>
      <c r="C9" s="3491">
        <v>25</v>
      </c>
      <c r="D9" s="3491">
        <v>111</v>
      </c>
      <c r="E9" s="3494">
        <v>130</v>
      </c>
      <c r="F9" s="3492">
        <v>146</v>
      </c>
      <c r="G9" s="3491">
        <v>25</v>
      </c>
      <c r="H9" s="3494">
        <v>111</v>
      </c>
      <c r="I9" s="3494">
        <v>130</v>
      </c>
      <c r="J9" s="3492">
        <v>146</v>
      </c>
    </row>
    <row r="10" spans="1:11" ht="13.5">
      <c r="A10" s="3491">
        <v>350</v>
      </c>
      <c r="B10" s="3492">
        <v>400</v>
      </c>
      <c r="C10" s="3491">
        <v>29</v>
      </c>
      <c r="D10" s="3491">
        <v>128</v>
      </c>
      <c r="E10" s="3494">
        <v>150</v>
      </c>
      <c r="F10" s="3492">
        <v>169</v>
      </c>
      <c r="G10" s="3491">
        <v>29</v>
      </c>
      <c r="H10" s="3494">
        <v>128</v>
      </c>
      <c r="I10" s="3494">
        <v>150</v>
      </c>
      <c r="J10" s="3492">
        <v>169</v>
      </c>
    </row>
    <row r="11" spans="1:11" ht="13.5">
      <c r="A11" s="3491">
        <v>400</v>
      </c>
      <c r="B11" s="3492">
        <v>450</v>
      </c>
      <c r="C11" s="3491">
        <v>33</v>
      </c>
      <c r="D11" s="3491">
        <v>145</v>
      </c>
      <c r="E11" s="3494">
        <v>170</v>
      </c>
      <c r="F11" s="3492">
        <v>191</v>
      </c>
      <c r="G11" s="3491">
        <v>33</v>
      </c>
      <c r="H11" s="3494">
        <v>145</v>
      </c>
      <c r="I11" s="3494">
        <v>170</v>
      </c>
      <c r="J11" s="3492">
        <v>191</v>
      </c>
    </row>
    <row r="12" spans="1:11" ht="13.5">
      <c r="A12" s="3491">
        <v>450</v>
      </c>
      <c r="B12" s="3492">
        <v>500</v>
      </c>
      <c r="C12" s="3491">
        <v>36</v>
      </c>
      <c r="D12" s="3491">
        <v>162</v>
      </c>
      <c r="E12" s="3494">
        <v>190</v>
      </c>
      <c r="F12" s="3492">
        <v>214</v>
      </c>
      <c r="G12" s="3491">
        <v>36</v>
      </c>
      <c r="H12" s="3494">
        <v>162</v>
      </c>
      <c r="I12" s="3494">
        <v>190</v>
      </c>
      <c r="J12" s="3492">
        <v>214</v>
      </c>
    </row>
    <row r="13" spans="1:11" ht="13.5">
      <c r="A13" s="3491">
        <v>500</v>
      </c>
      <c r="B13" s="3492">
        <v>550</v>
      </c>
      <c r="C13" s="3491">
        <v>40</v>
      </c>
      <c r="D13" s="3491">
        <v>179</v>
      </c>
      <c r="E13" s="3494">
        <v>210</v>
      </c>
      <c r="F13" s="3492">
        <v>236</v>
      </c>
      <c r="G13" s="3491">
        <v>40</v>
      </c>
      <c r="H13" s="3494">
        <v>179</v>
      </c>
      <c r="I13" s="3494">
        <v>210</v>
      </c>
      <c r="J13" s="3492">
        <v>236</v>
      </c>
    </row>
    <row r="14" spans="1:11" ht="13.5">
      <c r="A14" s="3491">
        <v>550</v>
      </c>
      <c r="B14" s="3492">
        <v>600</v>
      </c>
      <c r="C14" s="3491">
        <v>44</v>
      </c>
      <c r="D14" s="3491">
        <v>196</v>
      </c>
      <c r="E14" s="3494">
        <v>230</v>
      </c>
      <c r="F14" s="3492">
        <v>259</v>
      </c>
      <c r="G14" s="3491">
        <v>44</v>
      </c>
      <c r="H14" s="3494">
        <v>196</v>
      </c>
      <c r="I14" s="3494">
        <v>230</v>
      </c>
      <c r="J14" s="3492">
        <v>259</v>
      </c>
    </row>
    <row r="15" spans="1:11" ht="13.5">
      <c r="A15" s="3491">
        <v>600</v>
      </c>
      <c r="B15" s="3492">
        <v>650</v>
      </c>
      <c r="C15" s="3491">
        <v>48</v>
      </c>
      <c r="D15" s="3491">
        <v>213</v>
      </c>
      <c r="E15" s="3494">
        <v>250</v>
      </c>
      <c r="F15" s="3492">
        <v>281</v>
      </c>
      <c r="G15" s="3491">
        <v>48</v>
      </c>
      <c r="H15" s="3494">
        <v>213</v>
      </c>
      <c r="I15" s="3494">
        <v>250</v>
      </c>
      <c r="J15" s="3492">
        <v>281</v>
      </c>
    </row>
    <row r="16" spans="1:11" ht="13.5">
      <c r="A16" s="3491">
        <v>650</v>
      </c>
      <c r="B16" s="3492">
        <v>700</v>
      </c>
      <c r="C16" s="3491">
        <v>52</v>
      </c>
      <c r="D16" s="3491">
        <v>230</v>
      </c>
      <c r="E16" s="3494">
        <v>270</v>
      </c>
      <c r="F16" s="3492">
        <v>304</v>
      </c>
      <c r="G16" s="3491">
        <v>52</v>
      </c>
      <c r="H16" s="3494">
        <v>230</v>
      </c>
      <c r="I16" s="3494">
        <v>270</v>
      </c>
      <c r="J16" s="3492">
        <v>304</v>
      </c>
    </row>
    <row r="17" spans="1:10" ht="13.5">
      <c r="A17" s="3491">
        <v>700</v>
      </c>
      <c r="B17" s="3492">
        <v>750</v>
      </c>
      <c r="C17" s="3491">
        <v>55</v>
      </c>
      <c r="D17" s="3491">
        <v>247</v>
      </c>
      <c r="E17" s="3494">
        <v>290</v>
      </c>
      <c r="F17" s="3492">
        <v>326</v>
      </c>
      <c r="G17" s="3491">
        <v>55</v>
      </c>
      <c r="H17" s="3494">
        <v>247</v>
      </c>
      <c r="I17" s="3494">
        <v>290</v>
      </c>
      <c r="J17" s="3492">
        <v>326</v>
      </c>
    </row>
    <row r="18" spans="1:10" ht="13.5">
      <c r="A18" s="3491">
        <v>750</v>
      </c>
      <c r="B18" s="3492">
        <v>800</v>
      </c>
      <c r="C18" s="3491">
        <v>59</v>
      </c>
      <c r="D18" s="3491">
        <v>264</v>
      </c>
      <c r="E18" s="3494">
        <v>310</v>
      </c>
      <c r="F18" s="3492">
        <v>349</v>
      </c>
      <c r="G18" s="3491">
        <v>59</v>
      </c>
      <c r="H18" s="3494">
        <v>264</v>
      </c>
      <c r="I18" s="3494">
        <v>310</v>
      </c>
      <c r="J18" s="3492">
        <v>349</v>
      </c>
    </row>
    <row r="19" spans="1:10" ht="13.5">
      <c r="A19" s="3491">
        <v>800</v>
      </c>
      <c r="B19" s="3492">
        <v>850</v>
      </c>
      <c r="C19" s="3491">
        <v>63</v>
      </c>
      <c r="D19" s="3491">
        <v>281</v>
      </c>
      <c r="E19" s="3494">
        <v>330</v>
      </c>
      <c r="F19" s="3492">
        <v>371</v>
      </c>
      <c r="G19" s="3491">
        <v>63</v>
      </c>
      <c r="H19" s="3494">
        <v>281</v>
      </c>
      <c r="I19" s="3494">
        <v>330</v>
      </c>
      <c r="J19" s="3492">
        <v>371</v>
      </c>
    </row>
    <row r="20" spans="1:10" ht="13.5">
      <c r="A20" s="3491">
        <v>850</v>
      </c>
      <c r="B20" s="3492">
        <v>900</v>
      </c>
      <c r="C20" s="3491">
        <v>67</v>
      </c>
      <c r="D20" s="3491">
        <v>298</v>
      </c>
      <c r="E20" s="3494">
        <v>350</v>
      </c>
      <c r="F20" s="3492">
        <v>394</v>
      </c>
      <c r="G20" s="3491">
        <v>67</v>
      </c>
      <c r="H20" s="3494">
        <v>298</v>
      </c>
      <c r="I20" s="3494">
        <v>350</v>
      </c>
      <c r="J20" s="3492">
        <v>394</v>
      </c>
    </row>
    <row r="21" spans="1:10" ht="13.5">
      <c r="A21" s="3491">
        <v>900</v>
      </c>
      <c r="B21" s="3492">
        <v>950</v>
      </c>
      <c r="C21" s="3491">
        <v>71</v>
      </c>
      <c r="D21" s="3491">
        <v>315</v>
      </c>
      <c r="E21" s="3494">
        <v>370</v>
      </c>
      <c r="F21" s="3492">
        <v>416</v>
      </c>
      <c r="G21" s="3491">
        <v>71</v>
      </c>
      <c r="H21" s="3494">
        <v>315</v>
      </c>
      <c r="I21" s="3494">
        <v>370</v>
      </c>
      <c r="J21" s="3492">
        <v>416</v>
      </c>
    </row>
    <row r="22" spans="1:10" ht="13.5">
      <c r="A22" s="3491">
        <v>950</v>
      </c>
      <c r="B22" s="3631">
        <v>1000</v>
      </c>
      <c r="C22" s="3491">
        <v>75</v>
      </c>
      <c r="D22" s="3491">
        <v>332</v>
      </c>
      <c r="E22" s="3494">
        <v>390</v>
      </c>
      <c r="F22" s="3492">
        <v>439</v>
      </c>
      <c r="G22" s="3491">
        <v>75</v>
      </c>
      <c r="H22" s="3494">
        <v>332</v>
      </c>
      <c r="I22" s="3494">
        <v>390</v>
      </c>
      <c r="J22" s="3492">
        <v>439</v>
      </c>
    </row>
    <row r="23" spans="1:10" ht="13.5">
      <c r="A23" s="3632">
        <v>1000</v>
      </c>
      <c r="B23" s="3631">
        <v>1050</v>
      </c>
      <c r="C23" s="3491">
        <v>78</v>
      </c>
      <c r="D23" s="3491">
        <v>349</v>
      </c>
      <c r="E23" s="3494">
        <v>410</v>
      </c>
      <c r="F23" s="3492">
        <v>461</v>
      </c>
      <c r="G23" s="3491">
        <v>78</v>
      </c>
      <c r="H23" s="3494">
        <v>349</v>
      </c>
      <c r="I23" s="3494">
        <v>410</v>
      </c>
      <c r="J23" s="3492">
        <v>461</v>
      </c>
    </row>
    <row r="24" spans="1:10" ht="13.5">
      <c r="A24" s="3632">
        <v>1050</v>
      </c>
      <c r="B24" s="3631">
        <v>1100</v>
      </c>
      <c r="C24" s="3491">
        <v>82</v>
      </c>
      <c r="D24" s="3491">
        <v>366</v>
      </c>
      <c r="E24" s="3494">
        <v>430</v>
      </c>
      <c r="F24" s="3492">
        <v>484</v>
      </c>
      <c r="G24" s="3491">
        <v>82</v>
      </c>
      <c r="H24" s="3494">
        <v>366</v>
      </c>
      <c r="I24" s="3494">
        <v>430</v>
      </c>
      <c r="J24" s="3492">
        <v>484</v>
      </c>
    </row>
    <row r="25" spans="1:10" ht="13.5">
      <c r="A25" s="3632">
        <v>1100</v>
      </c>
      <c r="B25" s="3631">
        <v>1150</v>
      </c>
      <c r="C25" s="3491">
        <v>86</v>
      </c>
      <c r="D25" s="3491">
        <v>383</v>
      </c>
      <c r="E25" s="3494">
        <v>450</v>
      </c>
      <c r="F25" s="3492">
        <v>506</v>
      </c>
      <c r="G25" s="3491">
        <v>86</v>
      </c>
      <c r="H25" s="3494">
        <v>383</v>
      </c>
      <c r="I25" s="3494">
        <v>450</v>
      </c>
      <c r="J25" s="3492">
        <v>506</v>
      </c>
    </row>
    <row r="26" spans="1:10" ht="13.5">
      <c r="A26" s="3632">
        <v>1150</v>
      </c>
      <c r="B26" s="3631">
        <v>1200</v>
      </c>
      <c r="C26" s="3491">
        <v>90</v>
      </c>
      <c r="D26" s="3491">
        <v>400</v>
      </c>
      <c r="E26" s="3494">
        <v>470</v>
      </c>
      <c r="F26" s="3492">
        <v>529</v>
      </c>
      <c r="G26" s="3491">
        <v>90</v>
      </c>
      <c r="H26" s="3494">
        <v>400</v>
      </c>
      <c r="I26" s="3494">
        <v>470</v>
      </c>
      <c r="J26" s="3492">
        <v>529</v>
      </c>
    </row>
    <row r="27" spans="1:10" ht="13.5">
      <c r="A27" s="3632">
        <v>1200</v>
      </c>
      <c r="B27" s="3631">
        <v>1250</v>
      </c>
      <c r="C27" s="3491">
        <v>94</v>
      </c>
      <c r="D27" s="3491">
        <v>417</v>
      </c>
      <c r="E27" s="3494">
        <v>490</v>
      </c>
      <c r="F27" s="3492">
        <v>551</v>
      </c>
      <c r="G27" s="3491">
        <v>94</v>
      </c>
      <c r="H27" s="3494">
        <v>417</v>
      </c>
      <c r="I27" s="3494">
        <v>490</v>
      </c>
      <c r="J27" s="3492">
        <v>551</v>
      </c>
    </row>
    <row r="28" spans="1:10" ht="13.5">
      <c r="A28" s="3632">
        <v>1250</v>
      </c>
      <c r="B28" s="3631">
        <v>1300</v>
      </c>
      <c r="C28" s="3491">
        <v>98</v>
      </c>
      <c r="D28" s="3491">
        <v>434</v>
      </c>
      <c r="E28" s="3494">
        <v>510</v>
      </c>
      <c r="F28" s="3492">
        <v>574</v>
      </c>
      <c r="G28" s="3491">
        <v>98</v>
      </c>
      <c r="H28" s="3494">
        <v>434</v>
      </c>
      <c r="I28" s="3494">
        <v>510</v>
      </c>
      <c r="J28" s="3492">
        <v>574</v>
      </c>
    </row>
    <row r="29" spans="1:10" ht="13.5">
      <c r="A29" s="3632">
        <v>1300</v>
      </c>
      <c r="B29" s="3631">
        <v>1350</v>
      </c>
      <c r="C29" s="3491">
        <v>101</v>
      </c>
      <c r="D29" s="3491">
        <v>451</v>
      </c>
      <c r="E29" s="3494">
        <v>530</v>
      </c>
      <c r="F29" s="3492">
        <v>596</v>
      </c>
      <c r="G29" s="3491">
        <v>101</v>
      </c>
      <c r="H29" s="3494">
        <v>451</v>
      </c>
      <c r="I29" s="3494">
        <v>530</v>
      </c>
      <c r="J29" s="3492">
        <v>596</v>
      </c>
    </row>
    <row r="30" spans="1:10" ht="13.5">
      <c r="A30" s="3632">
        <v>1350</v>
      </c>
      <c r="B30" s="3631">
        <v>1400</v>
      </c>
      <c r="C30" s="3491">
        <v>105</v>
      </c>
      <c r="D30" s="3491">
        <v>468</v>
      </c>
      <c r="E30" s="3494">
        <v>550</v>
      </c>
      <c r="F30" s="3492">
        <v>619</v>
      </c>
      <c r="G30" s="3491">
        <v>105</v>
      </c>
      <c r="H30" s="3494">
        <v>468</v>
      </c>
      <c r="I30" s="3494">
        <v>550</v>
      </c>
      <c r="J30" s="3492">
        <v>619</v>
      </c>
    </row>
    <row r="31" spans="1:10" ht="13.5">
      <c r="A31" s="3632">
        <v>1400</v>
      </c>
      <c r="B31" s="3631">
        <v>1450</v>
      </c>
      <c r="C31" s="3491">
        <v>109</v>
      </c>
      <c r="D31" s="3491">
        <v>485</v>
      </c>
      <c r="E31" s="3494">
        <v>570</v>
      </c>
      <c r="F31" s="3492">
        <v>641</v>
      </c>
      <c r="G31" s="3491">
        <v>109</v>
      </c>
      <c r="H31" s="3494">
        <v>485</v>
      </c>
      <c r="I31" s="3494">
        <v>570</v>
      </c>
      <c r="J31" s="3492">
        <v>641</v>
      </c>
    </row>
    <row r="32" spans="1:10" ht="13.5">
      <c r="A32" s="3632">
        <v>1450</v>
      </c>
      <c r="B32" s="3631">
        <v>1500</v>
      </c>
      <c r="C32" s="3491">
        <v>113</v>
      </c>
      <c r="D32" s="3491">
        <v>502</v>
      </c>
      <c r="E32" s="3494">
        <v>590</v>
      </c>
      <c r="F32" s="3492">
        <v>664</v>
      </c>
      <c r="G32" s="3491">
        <v>113</v>
      </c>
      <c r="H32" s="3494">
        <v>502</v>
      </c>
      <c r="I32" s="3494">
        <v>590</v>
      </c>
      <c r="J32" s="3492">
        <v>664</v>
      </c>
    </row>
    <row r="33" spans="1:10" ht="13.5">
      <c r="A33" s="3632">
        <v>1500</v>
      </c>
      <c r="B33" s="3631">
        <v>1550</v>
      </c>
      <c r="C33" s="3491">
        <v>117</v>
      </c>
      <c r="D33" s="3491">
        <v>519</v>
      </c>
      <c r="E33" s="3494">
        <v>610</v>
      </c>
      <c r="F33" s="3492">
        <v>686</v>
      </c>
      <c r="G33" s="3491">
        <v>117</v>
      </c>
      <c r="H33" s="3494">
        <v>519</v>
      </c>
      <c r="I33" s="3494">
        <v>610</v>
      </c>
      <c r="J33" s="3492">
        <v>686</v>
      </c>
    </row>
    <row r="34" spans="1:10" ht="13.5">
      <c r="A34" s="3632">
        <v>1550</v>
      </c>
      <c r="B34" s="3631">
        <v>1600</v>
      </c>
      <c r="C34" s="3491">
        <v>120</v>
      </c>
      <c r="D34" s="3491">
        <v>536</v>
      </c>
      <c r="E34" s="3494">
        <v>630</v>
      </c>
      <c r="F34" s="3492">
        <v>709</v>
      </c>
      <c r="G34" s="3491">
        <v>120</v>
      </c>
      <c r="H34" s="3494">
        <v>536</v>
      </c>
      <c r="I34" s="3494">
        <v>630</v>
      </c>
      <c r="J34" s="3492">
        <v>709</v>
      </c>
    </row>
    <row r="35" spans="1:10" ht="13.5">
      <c r="A35" s="3632">
        <v>1600</v>
      </c>
      <c r="B35" s="3631">
        <v>1650</v>
      </c>
      <c r="C35" s="3491">
        <v>124</v>
      </c>
      <c r="D35" s="3491">
        <v>553</v>
      </c>
      <c r="E35" s="3494">
        <v>650</v>
      </c>
      <c r="F35" s="3492">
        <v>731</v>
      </c>
      <c r="G35" s="3491">
        <v>124</v>
      </c>
      <c r="H35" s="3494">
        <v>553</v>
      </c>
      <c r="I35" s="3494">
        <v>650</v>
      </c>
      <c r="J35" s="3492">
        <v>731</v>
      </c>
    </row>
    <row r="36" spans="1:10" ht="13.5">
      <c r="A36" s="3632">
        <v>1650</v>
      </c>
      <c r="B36" s="3631">
        <v>1700</v>
      </c>
      <c r="C36" s="3491">
        <v>128</v>
      </c>
      <c r="D36" s="3491">
        <v>570</v>
      </c>
      <c r="E36" s="3494">
        <v>670</v>
      </c>
      <c r="F36" s="3492">
        <v>754</v>
      </c>
      <c r="G36" s="3491">
        <v>128</v>
      </c>
      <c r="H36" s="3494">
        <v>570</v>
      </c>
      <c r="I36" s="3494">
        <v>670</v>
      </c>
      <c r="J36" s="3492">
        <v>754</v>
      </c>
    </row>
    <row r="37" spans="1:10" ht="13.5">
      <c r="A37" s="3632">
        <v>1700</v>
      </c>
      <c r="B37" s="3631">
        <v>1750</v>
      </c>
      <c r="C37" s="3491">
        <v>132</v>
      </c>
      <c r="D37" s="3491">
        <v>587</v>
      </c>
      <c r="E37" s="3494">
        <v>690</v>
      </c>
      <c r="F37" s="3492">
        <v>776</v>
      </c>
      <c r="G37" s="3491">
        <v>132</v>
      </c>
      <c r="H37" s="3494">
        <v>587</v>
      </c>
      <c r="I37" s="3494">
        <v>690</v>
      </c>
      <c r="J37" s="3492">
        <v>776</v>
      </c>
    </row>
    <row r="38" spans="1:10" ht="13.5">
      <c r="A38" s="3632">
        <v>1750</v>
      </c>
      <c r="B38" s="3631">
        <v>1800</v>
      </c>
      <c r="C38" s="3491">
        <v>136</v>
      </c>
      <c r="D38" s="3491">
        <v>604</v>
      </c>
      <c r="E38" s="3494">
        <v>710</v>
      </c>
      <c r="F38" s="3492">
        <v>799</v>
      </c>
      <c r="G38" s="3491">
        <v>136</v>
      </c>
      <c r="H38" s="3494">
        <v>604</v>
      </c>
      <c r="I38" s="3494">
        <v>710</v>
      </c>
      <c r="J38" s="3492">
        <v>799</v>
      </c>
    </row>
    <row r="39" spans="1:10" ht="13.5">
      <c r="A39" s="3632">
        <v>1800</v>
      </c>
      <c r="B39" s="3631">
        <v>1850</v>
      </c>
      <c r="C39" s="3491">
        <v>140</v>
      </c>
      <c r="D39" s="3491">
        <v>621</v>
      </c>
      <c r="E39" s="3494">
        <v>730</v>
      </c>
      <c r="F39" s="3492">
        <v>821</v>
      </c>
      <c r="G39" s="3491">
        <v>140</v>
      </c>
      <c r="H39" s="3494">
        <v>621</v>
      </c>
      <c r="I39" s="3494">
        <v>730</v>
      </c>
      <c r="J39" s="3492">
        <v>821</v>
      </c>
    </row>
    <row r="40" spans="1:10" ht="13.5">
      <c r="A40" s="3632">
        <v>1850</v>
      </c>
      <c r="B40" s="3631">
        <v>1900</v>
      </c>
      <c r="C40" s="3491">
        <v>143</v>
      </c>
      <c r="D40" s="3491">
        <v>638</v>
      </c>
      <c r="E40" s="3494">
        <v>750</v>
      </c>
      <c r="F40" s="3492">
        <v>844</v>
      </c>
      <c r="G40" s="3491">
        <v>143</v>
      </c>
      <c r="H40" s="3494">
        <v>638</v>
      </c>
      <c r="I40" s="3494">
        <v>750</v>
      </c>
      <c r="J40" s="3492">
        <v>844</v>
      </c>
    </row>
    <row r="41" spans="1:10" ht="13.5">
      <c r="A41" s="3632">
        <v>1900</v>
      </c>
      <c r="B41" s="3631">
        <v>1950</v>
      </c>
      <c r="C41" s="3491">
        <v>147</v>
      </c>
      <c r="D41" s="3491">
        <v>655</v>
      </c>
      <c r="E41" s="3494">
        <v>770</v>
      </c>
      <c r="F41" s="3492">
        <v>866</v>
      </c>
      <c r="G41" s="3491">
        <v>147</v>
      </c>
      <c r="H41" s="3494">
        <v>655</v>
      </c>
      <c r="I41" s="3494">
        <v>770</v>
      </c>
      <c r="J41" s="3492">
        <v>866</v>
      </c>
    </row>
    <row r="42" spans="1:10" ht="13.5">
      <c r="A42" s="3632">
        <v>1950</v>
      </c>
      <c r="B42" s="3631">
        <v>2000</v>
      </c>
      <c r="C42" s="3491">
        <v>151</v>
      </c>
      <c r="D42" s="3491">
        <v>672</v>
      </c>
      <c r="E42" s="3494">
        <v>790</v>
      </c>
      <c r="F42" s="3492">
        <v>889</v>
      </c>
      <c r="G42" s="3491">
        <v>151</v>
      </c>
      <c r="H42" s="3494">
        <v>672</v>
      </c>
      <c r="I42" s="3494">
        <v>790</v>
      </c>
      <c r="J42" s="3492">
        <v>889</v>
      </c>
    </row>
    <row r="43" spans="1:10" ht="13.5">
      <c r="A43" s="3632">
        <v>2000</v>
      </c>
      <c r="B43" s="3631">
        <v>2050</v>
      </c>
      <c r="C43" s="3491">
        <v>155</v>
      </c>
      <c r="D43" s="3491">
        <v>689</v>
      </c>
      <c r="E43" s="3494">
        <v>810</v>
      </c>
      <c r="F43" s="3492">
        <v>911</v>
      </c>
      <c r="G43" s="3491">
        <v>155</v>
      </c>
      <c r="H43" s="3494">
        <v>689</v>
      </c>
      <c r="I43" s="3494">
        <v>810</v>
      </c>
      <c r="J43" s="3492">
        <v>911</v>
      </c>
    </row>
    <row r="44" spans="1:10" ht="13.5">
      <c r="A44" s="3632">
        <v>2050</v>
      </c>
      <c r="B44" s="3631">
        <v>2100</v>
      </c>
      <c r="C44" s="3491">
        <v>159</v>
      </c>
      <c r="D44" s="3491">
        <v>706</v>
      </c>
      <c r="E44" s="3494">
        <v>830</v>
      </c>
      <c r="F44" s="3492">
        <v>934</v>
      </c>
      <c r="G44" s="3491">
        <v>159</v>
      </c>
      <c r="H44" s="3494">
        <v>706</v>
      </c>
      <c r="I44" s="3494">
        <v>830</v>
      </c>
      <c r="J44" s="3492">
        <v>934</v>
      </c>
    </row>
    <row r="45" spans="1:10" ht="13.5">
      <c r="A45" s="3632">
        <v>2100</v>
      </c>
      <c r="B45" s="3631">
        <v>2150</v>
      </c>
      <c r="C45" s="3491">
        <v>163</v>
      </c>
      <c r="D45" s="3491">
        <v>723</v>
      </c>
      <c r="E45" s="3494">
        <v>850</v>
      </c>
      <c r="F45" s="3492">
        <v>956</v>
      </c>
      <c r="G45" s="3491">
        <v>163</v>
      </c>
      <c r="H45" s="3494">
        <v>723</v>
      </c>
      <c r="I45" s="3494">
        <v>850</v>
      </c>
      <c r="J45" s="3492">
        <v>956</v>
      </c>
    </row>
    <row r="46" spans="1:10" ht="13.5">
      <c r="A46" s="3632">
        <v>2150</v>
      </c>
      <c r="B46" s="3631">
        <v>2200</v>
      </c>
      <c r="C46" s="3491">
        <v>166</v>
      </c>
      <c r="D46" s="3491">
        <v>740</v>
      </c>
      <c r="E46" s="3494">
        <v>870</v>
      </c>
      <c r="F46" s="3492">
        <v>979</v>
      </c>
      <c r="G46" s="3491">
        <v>166</v>
      </c>
      <c r="H46" s="3494">
        <v>740</v>
      </c>
      <c r="I46" s="3494">
        <v>870</v>
      </c>
      <c r="J46" s="3492">
        <v>979</v>
      </c>
    </row>
    <row r="47" spans="1:10" ht="13.5">
      <c r="A47" s="3632">
        <v>2200</v>
      </c>
      <c r="B47" s="3631">
        <v>2250</v>
      </c>
      <c r="C47" s="3491">
        <v>170</v>
      </c>
      <c r="D47" s="3491">
        <v>757</v>
      </c>
      <c r="E47" s="3494">
        <v>890</v>
      </c>
      <c r="F47" s="3631">
        <v>1001</v>
      </c>
      <c r="G47" s="3491">
        <v>170</v>
      </c>
      <c r="H47" s="3494">
        <v>757</v>
      </c>
      <c r="I47" s="3494">
        <v>890</v>
      </c>
      <c r="J47" s="3631">
        <v>1001</v>
      </c>
    </row>
    <row r="48" spans="1:10" ht="13.5">
      <c r="A48" s="3632">
        <v>2250</v>
      </c>
      <c r="B48" s="3631">
        <v>2300</v>
      </c>
      <c r="C48" s="3491">
        <v>174</v>
      </c>
      <c r="D48" s="3491">
        <v>774</v>
      </c>
      <c r="E48" s="3494">
        <v>910</v>
      </c>
      <c r="F48" s="3631">
        <v>1024</v>
      </c>
      <c r="G48" s="3491">
        <v>174</v>
      </c>
      <c r="H48" s="3494">
        <v>774</v>
      </c>
      <c r="I48" s="3494">
        <v>910</v>
      </c>
      <c r="J48" s="3631">
        <v>1024</v>
      </c>
    </row>
    <row r="49" spans="1:10" ht="13.5">
      <c r="A49" s="3632">
        <v>2300</v>
      </c>
      <c r="B49" s="3631">
        <v>2350</v>
      </c>
      <c r="C49" s="3491">
        <v>178</v>
      </c>
      <c r="D49" s="3491">
        <v>791</v>
      </c>
      <c r="E49" s="3494">
        <v>930</v>
      </c>
      <c r="F49" s="3631">
        <v>1046</v>
      </c>
      <c r="G49" s="3491">
        <v>178</v>
      </c>
      <c r="H49" s="3494">
        <v>791</v>
      </c>
      <c r="I49" s="3494">
        <v>930</v>
      </c>
      <c r="J49" s="3631">
        <v>1046</v>
      </c>
    </row>
    <row r="50" spans="1:10" ht="13.5">
      <c r="A50" s="3632">
        <v>2350</v>
      </c>
      <c r="B50" s="3631">
        <v>2400</v>
      </c>
      <c r="C50" s="3491">
        <v>182</v>
      </c>
      <c r="D50" s="3491">
        <v>808</v>
      </c>
      <c r="E50" s="3494">
        <v>950</v>
      </c>
      <c r="F50" s="3631">
        <v>1069</v>
      </c>
      <c r="G50" s="3491">
        <v>182</v>
      </c>
      <c r="H50" s="3494">
        <v>808</v>
      </c>
      <c r="I50" s="3494">
        <v>950</v>
      </c>
      <c r="J50" s="3631">
        <v>1069</v>
      </c>
    </row>
    <row r="51" spans="1:10" ht="13.5">
      <c r="A51" s="3632">
        <v>2400</v>
      </c>
      <c r="B51" s="3631">
        <v>2450</v>
      </c>
      <c r="C51" s="3491">
        <v>186</v>
      </c>
      <c r="D51" s="3491">
        <v>825</v>
      </c>
      <c r="E51" s="3494">
        <v>970</v>
      </c>
      <c r="F51" s="3631">
        <v>1091</v>
      </c>
      <c r="G51" s="3491">
        <v>186</v>
      </c>
      <c r="H51" s="3494">
        <v>825</v>
      </c>
      <c r="I51" s="3494">
        <v>970</v>
      </c>
      <c r="J51" s="3631">
        <v>1091</v>
      </c>
    </row>
    <row r="52" spans="1:10" ht="13.5">
      <c r="A52" s="3632">
        <v>2450</v>
      </c>
      <c r="B52" s="3631">
        <v>2500</v>
      </c>
      <c r="C52" s="3491">
        <v>189</v>
      </c>
      <c r="D52" s="3491">
        <v>842</v>
      </c>
      <c r="E52" s="3494">
        <v>990</v>
      </c>
      <c r="F52" s="3631">
        <v>1114</v>
      </c>
      <c r="G52" s="3491">
        <v>189</v>
      </c>
      <c r="H52" s="3494">
        <v>842</v>
      </c>
      <c r="I52" s="3494">
        <v>990</v>
      </c>
      <c r="J52" s="3631">
        <v>1114</v>
      </c>
    </row>
    <row r="53" spans="1:10" ht="13.5">
      <c r="A53" s="3632">
        <v>2500</v>
      </c>
      <c r="B53" s="3631">
        <v>2550</v>
      </c>
      <c r="C53" s="3491">
        <v>193</v>
      </c>
      <c r="D53" s="3491">
        <v>859</v>
      </c>
      <c r="E53" s="3633">
        <v>1010</v>
      </c>
      <c r="F53" s="3631">
        <v>1136</v>
      </c>
      <c r="G53" s="3491">
        <v>193</v>
      </c>
      <c r="H53" s="3494">
        <v>859</v>
      </c>
      <c r="I53" s="3633">
        <v>1010</v>
      </c>
      <c r="J53" s="3631">
        <v>1136</v>
      </c>
    </row>
    <row r="54" spans="1:10" ht="13.5">
      <c r="A54" s="3632">
        <v>2550</v>
      </c>
      <c r="B54" s="3631">
        <v>2600</v>
      </c>
      <c r="C54" s="3491">
        <v>197</v>
      </c>
      <c r="D54" s="3491">
        <v>876</v>
      </c>
      <c r="E54" s="3633">
        <v>1030</v>
      </c>
      <c r="F54" s="3631">
        <v>1159</v>
      </c>
      <c r="G54" s="3491">
        <v>197</v>
      </c>
      <c r="H54" s="3494">
        <v>876</v>
      </c>
      <c r="I54" s="3633">
        <v>1030</v>
      </c>
      <c r="J54" s="3631">
        <v>1159</v>
      </c>
    </row>
    <row r="55" spans="1:10" ht="13.5">
      <c r="A55" s="3632">
        <v>2600</v>
      </c>
      <c r="B55" s="3631">
        <v>2650</v>
      </c>
      <c r="C55" s="3491">
        <v>201</v>
      </c>
      <c r="D55" s="3491">
        <v>893</v>
      </c>
      <c r="E55" s="3633">
        <v>1050</v>
      </c>
      <c r="F55" s="3631">
        <v>1181</v>
      </c>
      <c r="G55" s="3491">
        <v>201</v>
      </c>
      <c r="H55" s="3494">
        <v>893</v>
      </c>
      <c r="I55" s="3633">
        <v>1050</v>
      </c>
      <c r="J55" s="3631">
        <v>1181</v>
      </c>
    </row>
    <row r="56" spans="1:10" ht="13.5">
      <c r="A56" s="3632">
        <v>2650</v>
      </c>
      <c r="B56" s="3631">
        <v>2700</v>
      </c>
      <c r="C56" s="3491">
        <v>205</v>
      </c>
      <c r="D56" s="3491">
        <v>910</v>
      </c>
      <c r="E56" s="3633">
        <v>1070</v>
      </c>
      <c r="F56" s="3631">
        <v>1204</v>
      </c>
      <c r="G56" s="3491">
        <v>205</v>
      </c>
      <c r="H56" s="3494">
        <v>910</v>
      </c>
      <c r="I56" s="3633">
        <v>1070</v>
      </c>
      <c r="J56" s="3631">
        <v>1204</v>
      </c>
    </row>
    <row r="57" spans="1:10" ht="13.5">
      <c r="A57" s="3632">
        <v>2700</v>
      </c>
      <c r="B57" s="3631">
        <v>2750</v>
      </c>
      <c r="C57" s="3491">
        <v>208</v>
      </c>
      <c r="D57" s="3491">
        <v>927</v>
      </c>
      <c r="E57" s="3633">
        <v>1090</v>
      </c>
      <c r="F57" s="3631">
        <v>1226</v>
      </c>
      <c r="G57" s="3491">
        <v>208</v>
      </c>
      <c r="H57" s="3494">
        <v>927</v>
      </c>
      <c r="I57" s="3633">
        <v>1090</v>
      </c>
      <c r="J57" s="3631">
        <v>1226</v>
      </c>
    </row>
    <row r="58" spans="1:10" ht="13.5">
      <c r="A58" s="3632">
        <v>2750</v>
      </c>
      <c r="B58" s="3631">
        <v>2800</v>
      </c>
      <c r="C58" s="3491">
        <v>212</v>
      </c>
      <c r="D58" s="3491">
        <v>944</v>
      </c>
      <c r="E58" s="3633">
        <v>1110</v>
      </c>
      <c r="F58" s="3631">
        <v>1249</v>
      </c>
      <c r="G58" s="3491">
        <v>212</v>
      </c>
      <c r="H58" s="3494">
        <v>944</v>
      </c>
      <c r="I58" s="3633">
        <v>1110</v>
      </c>
      <c r="J58" s="3631">
        <v>1249</v>
      </c>
    </row>
    <row r="59" spans="1:10" ht="13.5">
      <c r="A59" s="3632">
        <v>2800</v>
      </c>
      <c r="B59" s="3631">
        <v>2850</v>
      </c>
      <c r="C59" s="3491">
        <v>216</v>
      </c>
      <c r="D59" s="3491">
        <v>961</v>
      </c>
      <c r="E59" s="3633">
        <v>1130</v>
      </c>
      <c r="F59" s="3631">
        <v>1271</v>
      </c>
      <c r="G59" s="3491">
        <v>216</v>
      </c>
      <c r="H59" s="3494">
        <v>961</v>
      </c>
      <c r="I59" s="3633">
        <v>1130</v>
      </c>
      <c r="J59" s="3631">
        <v>1271</v>
      </c>
    </row>
    <row r="60" spans="1:10" ht="13.5">
      <c r="A60" s="3632">
        <v>2850</v>
      </c>
      <c r="B60" s="3631">
        <v>2900</v>
      </c>
      <c r="C60" s="3491">
        <v>220</v>
      </c>
      <c r="D60" s="3491">
        <v>978</v>
      </c>
      <c r="E60" s="3633">
        <v>1150</v>
      </c>
      <c r="F60" s="3631">
        <v>1294</v>
      </c>
      <c r="G60" s="3491">
        <v>220</v>
      </c>
      <c r="H60" s="3494">
        <v>978</v>
      </c>
      <c r="I60" s="3633">
        <v>1150</v>
      </c>
      <c r="J60" s="3631">
        <v>1294</v>
      </c>
    </row>
    <row r="61" spans="1:10" ht="13.5">
      <c r="A61" s="3632">
        <v>2900</v>
      </c>
      <c r="B61" s="3631">
        <v>2950</v>
      </c>
      <c r="C61" s="3491">
        <v>224</v>
      </c>
      <c r="D61" s="3491">
        <v>995</v>
      </c>
      <c r="E61" s="3633">
        <v>1170</v>
      </c>
      <c r="F61" s="3631">
        <v>1316</v>
      </c>
      <c r="G61" s="3491">
        <v>224</v>
      </c>
      <c r="H61" s="3494">
        <v>995</v>
      </c>
      <c r="I61" s="3633">
        <v>1170</v>
      </c>
      <c r="J61" s="3631">
        <v>1316</v>
      </c>
    </row>
    <row r="62" spans="1:10" ht="13.5">
      <c r="A62" s="3632">
        <v>2950</v>
      </c>
      <c r="B62" s="3631">
        <v>3000</v>
      </c>
      <c r="C62" s="3491">
        <v>228</v>
      </c>
      <c r="D62" s="3632">
        <v>1012</v>
      </c>
      <c r="E62" s="3633">
        <v>1190</v>
      </c>
      <c r="F62" s="3631">
        <v>1339</v>
      </c>
      <c r="G62" s="3491">
        <v>228</v>
      </c>
      <c r="H62" s="3633">
        <v>1012</v>
      </c>
      <c r="I62" s="3633">
        <v>1190</v>
      </c>
      <c r="J62" s="3631">
        <v>1339</v>
      </c>
    </row>
    <row r="63" spans="1:10" ht="13.5">
      <c r="A63" s="3632">
        <v>3000</v>
      </c>
      <c r="B63" s="3631">
        <v>3050</v>
      </c>
      <c r="C63" s="3491">
        <v>231</v>
      </c>
      <c r="D63" s="3632">
        <v>1029</v>
      </c>
      <c r="E63" s="3633">
        <v>1210</v>
      </c>
      <c r="F63" s="3631">
        <v>1361</v>
      </c>
      <c r="G63" s="3491">
        <v>231</v>
      </c>
      <c r="H63" s="3633">
        <v>1029</v>
      </c>
      <c r="I63" s="3633">
        <v>1210</v>
      </c>
      <c r="J63" s="3631">
        <v>1361</v>
      </c>
    </row>
    <row r="64" spans="1:10" ht="13.5">
      <c r="A64" s="3632">
        <v>3050</v>
      </c>
      <c r="B64" s="3631">
        <v>3100</v>
      </c>
      <c r="C64" s="3491">
        <v>235</v>
      </c>
      <c r="D64" s="3632">
        <v>1046</v>
      </c>
      <c r="E64" s="3633">
        <v>1230</v>
      </c>
      <c r="F64" s="3631">
        <v>1384</v>
      </c>
      <c r="G64" s="3491">
        <v>235</v>
      </c>
      <c r="H64" s="3633">
        <v>1046</v>
      </c>
      <c r="I64" s="3633">
        <v>1230</v>
      </c>
      <c r="J64" s="3631">
        <v>1384</v>
      </c>
    </row>
    <row r="65" spans="1:10" ht="13.5">
      <c r="A65" s="3632">
        <v>3100</v>
      </c>
      <c r="B65" s="3631">
        <v>3150</v>
      </c>
      <c r="C65" s="3491">
        <v>239</v>
      </c>
      <c r="D65" s="3632">
        <v>1063</v>
      </c>
      <c r="E65" s="3633">
        <v>1250</v>
      </c>
      <c r="F65" s="3631">
        <v>1406</v>
      </c>
      <c r="G65" s="3491">
        <v>239</v>
      </c>
      <c r="H65" s="3633">
        <v>1063</v>
      </c>
      <c r="I65" s="3633">
        <v>1250</v>
      </c>
      <c r="J65" s="3631">
        <v>1406</v>
      </c>
    </row>
    <row r="66" spans="1:10" ht="13.5">
      <c r="A66" s="3632">
        <v>3150</v>
      </c>
      <c r="B66" s="3631">
        <v>3200</v>
      </c>
      <c r="C66" s="3491">
        <v>243</v>
      </c>
      <c r="D66" s="3632">
        <v>1080</v>
      </c>
      <c r="E66" s="3633">
        <v>1270</v>
      </c>
      <c r="F66" s="3631">
        <v>1429</v>
      </c>
      <c r="G66" s="3491">
        <v>243</v>
      </c>
      <c r="H66" s="3633">
        <v>1080</v>
      </c>
      <c r="I66" s="3633">
        <v>1270</v>
      </c>
      <c r="J66" s="3631">
        <v>1429</v>
      </c>
    </row>
    <row r="67" spans="1:10" ht="13.5">
      <c r="A67" s="3632">
        <v>3200</v>
      </c>
      <c r="B67" s="3631">
        <v>3250</v>
      </c>
      <c r="C67" s="3491">
        <v>247</v>
      </c>
      <c r="D67" s="3632">
        <v>1097</v>
      </c>
      <c r="E67" s="3633">
        <v>1290</v>
      </c>
      <c r="F67" s="3631">
        <v>1451</v>
      </c>
      <c r="G67" s="3491">
        <v>247</v>
      </c>
      <c r="H67" s="3633">
        <v>1097</v>
      </c>
      <c r="I67" s="3633">
        <v>1290</v>
      </c>
      <c r="J67" s="3631">
        <v>1451</v>
      </c>
    </row>
    <row r="68" spans="1:10" ht="13.5">
      <c r="A68" s="3632">
        <v>3250</v>
      </c>
      <c r="B68" s="3631">
        <v>3300</v>
      </c>
      <c r="C68" s="3491">
        <v>251</v>
      </c>
      <c r="D68" s="3632">
        <v>1114</v>
      </c>
      <c r="E68" s="3633">
        <v>1310</v>
      </c>
      <c r="F68" s="3631">
        <v>1474</v>
      </c>
      <c r="G68" s="3491">
        <v>251</v>
      </c>
      <c r="H68" s="3633">
        <v>1114</v>
      </c>
      <c r="I68" s="3633">
        <v>1310</v>
      </c>
      <c r="J68" s="3631">
        <v>1474</v>
      </c>
    </row>
    <row r="69" spans="1:10" ht="13.5">
      <c r="A69" s="3632">
        <v>3300</v>
      </c>
      <c r="B69" s="3631">
        <v>3350</v>
      </c>
      <c r="C69" s="3491">
        <v>254</v>
      </c>
      <c r="D69" s="3632">
        <v>1131</v>
      </c>
      <c r="E69" s="3633">
        <v>1330</v>
      </c>
      <c r="F69" s="3631">
        <v>1496</v>
      </c>
      <c r="G69" s="3491">
        <v>254</v>
      </c>
      <c r="H69" s="3633">
        <v>1131</v>
      </c>
      <c r="I69" s="3633">
        <v>1330</v>
      </c>
      <c r="J69" s="3631">
        <v>1496</v>
      </c>
    </row>
    <row r="70" spans="1:10" ht="13.5">
      <c r="A70" s="3632">
        <v>3350</v>
      </c>
      <c r="B70" s="3631">
        <v>3400</v>
      </c>
      <c r="C70" s="3491">
        <v>258</v>
      </c>
      <c r="D70" s="3632">
        <v>1148</v>
      </c>
      <c r="E70" s="3633">
        <v>1350</v>
      </c>
      <c r="F70" s="3631">
        <v>1519</v>
      </c>
      <c r="G70" s="3491">
        <v>258</v>
      </c>
      <c r="H70" s="3633">
        <v>1148</v>
      </c>
      <c r="I70" s="3633">
        <v>1350</v>
      </c>
      <c r="J70" s="3631">
        <v>1519</v>
      </c>
    </row>
    <row r="71" spans="1:10" ht="13.5">
      <c r="A71" s="3632">
        <v>3400</v>
      </c>
      <c r="B71" s="3631">
        <v>3450</v>
      </c>
      <c r="C71" s="3491">
        <v>262</v>
      </c>
      <c r="D71" s="3632">
        <v>1165</v>
      </c>
      <c r="E71" s="3633">
        <v>1370</v>
      </c>
      <c r="F71" s="3631">
        <v>1541</v>
      </c>
      <c r="G71" s="3491">
        <v>262</v>
      </c>
      <c r="H71" s="3633">
        <v>1165</v>
      </c>
      <c r="I71" s="3633">
        <v>1370</v>
      </c>
      <c r="J71" s="3631">
        <v>1541</v>
      </c>
    </row>
    <row r="72" spans="1:10" ht="13.5">
      <c r="A72" s="3632">
        <v>3450</v>
      </c>
      <c r="B72" s="3631">
        <v>3500</v>
      </c>
      <c r="C72" s="3491">
        <v>266</v>
      </c>
      <c r="D72" s="3632">
        <v>1182</v>
      </c>
      <c r="E72" s="3633">
        <v>1390</v>
      </c>
      <c r="F72" s="3631">
        <v>1564</v>
      </c>
      <c r="G72" s="3491">
        <v>266</v>
      </c>
      <c r="H72" s="3633">
        <v>1182</v>
      </c>
      <c r="I72" s="3633">
        <v>1390</v>
      </c>
      <c r="J72" s="3631">
        <v>1564</v>
      </c>
    </row>
    <row r="73" spans="1:10" ht="13.5">
      <c r="A73" s="3632">
        <v>3500</v>
      </c>
      <c r="B73" s="3631">
        <v>3550</v>
      </c>
      <c r="C73" s="3491">
        <v>270</v>
      </c>
      <c r="D73" s="3632">
        <v>1199</v>
      </c>
      <c r="E73" s="3633">
        <v>1410</v>
      </c>
      <c r="F73" s="3631">
        <v>1586</v>
      </c>
      <c r="G73" s="3491">
        <v>270</v>
      </c>
      <c r="H73" s="3633">
        <v>1199</v>
      </c>
      <c r="I73" s="3633">
        <v>1410</v>
      </c>
      <c r="J73" s="3631">
        <v>1586</v>
      </c>
    </row>
    <row r="74" spans="1:10" ht="13.5">
      <c r="A74" s="3632">
        <v>3550</v>
      </c>
      <c r="B74" s="3631">
        <v>3600</v>
      </c>
      <c r="C74" s="3491">
        <v>273</v>
      </c>
      <c r="D74" s="3632">
        <v>1216</v>
      </c>
      <c r="E74" s="3633">
        <v>1430</v>
      </c>
      <c r="F74" s="3631">
        <v>1609</v>
      </c>
      <c r="G74" s="3491">
        <v>273</v>
      </c>
      <c r="H74" s="3633">
        <v>1216</v>
      </c>
      <c r="I74" s="3633">
        <v>1430</v>
      </c>
      <c r="J74" s="3631">
        <v>1609</v>
      </c>
    </row>
    <row r="75" spans="1:10" ht="13.5">
      <c r="A75" s="3632">
        <v>3600</v>
      </c>
      <c r="B75" s="3631">
        <v>3650</v>
      </c>
      <c r="C75" s="3491">
        <v>277</v>
      </c>
      <c r="D75" s="3632">
        <v>1233</v>
      </c>
      <c r="E75" s="3633">
        <v>1450</v>
      </c>
      <c r="F75" s="3631">
        <v>1631</v>
      </c>
      <c r="G75" s="3491">
        <v>277</v>
      </c>
      <c r="H75" s="3633">
        <v>1233</v>
      </c>
      <c r="I75" s="3633">
        <v>1450</v>
      </c>
      <c r="J75" s="3631">
        <v>1631</v>
      </c>
    </row>
    <row r="76" spans="1:10" ht="13.5">
      <c r="A76" s="3632">
        <v>3650</v>
      </c>
      <c r="B76" s="3631">
        <v>3700</v>
      </c>
      <c r="C76" s="3491">
        <v>281</v>
      </c>
      <c r="D76" s="3632">
        <v>1250</v>
      </c>
      <c r="E76" s="3633">
        <v>1470</v>
      </c>
      <c r="F76" s="3631">
        <v>1654</v>
      </c>
      <c r="G76" s="3491">
        <v>281</v>
      </c>
      <c r="H76" s="3633">
        <v>1250</v>
      </c>
      <c r="I76" s="3633">
        <v>1470</v>
      </c>
      <c r="J76" s="3631">
        <v>1654</v>
      </c>
    </row>
    <row r="77" spans="1:10" ht="13.5">
      <c r="A77" s="3632">
        <v>3700</v>
      </c>
      <c r="B77" s="3631">
        <v>3750</v>
      </c>
      <c r="C77" s="3491">
        <v>285</v>
      </c>
      <c r="D77" s="3632">
        <v>1267</v>
      </c>
      <c r="E77" s="3633">
        <v>1490</v>
      </c>
      <c r="F77" s="3631">
        <v>1676</v>
      </c>
      <c r="G77" s="3491">
        <v>285</v>
      </c>
      <c r="H77" s="3633">
        <v>1267</v>
      </c>
      <c r="I77" s="3633">
        <v>1490</v>
      </c>
      <c r="J77" s="3631">
        <v>1676</v>
      </c>
    </row>
    <row r="78" spans="1:10" ht="13.5">
      <c r="A78" s="3632">
        <v>3750</v>
      </c>
      <c r="B78" s="3631">
        <v>3800</v>
      </c>
      <c r="C78" s="3491">
        <v>289</v>
      </c>
      <c r="D78" s="3632">
        <v>1284</v>
      </c>
      <c r="E78" s="3633">
        <v>1510</v>
      </c>
      <c r="F78" s="3631">
        <v>1699</v>
      </c>
      <c r="G78" s="3491">
        <v>289</v>
      </c>
      <c r="H78" s="3633">
        <v>1284</v>
      </c>
      <c r="I78" s="3633">
        <v>1510</v>
      </c>
      <c r="J78" s="3631">
        <v>1699</v>
      </c>
    </row>
    <row r="79" spans="1:10" ht="13.5">
      <c r="A79" s="3632">
        <v>3800</v>
      </c>
      <c r="B79" s="3631">
        <v>3850</v>
      </c>
      <c r="C79" s="3491">
        <v>293</v>
      </c>
      <c r="D79" s="3632">
        <v>1301</v>
      </c>
      <c r="E79" s="3633">
        <v>1530</v>
      </c>
      <c r="F79" s="3631">
        <v>1721</v>
      </c>
      <c r="G79" s="3491">
        <v>293</v>
      </c>
      <c r="H79" s="3633">
        <v>1301</v>
      </c>
      <c r="I79" s="3633">
        <v>1530</v>
      </c>
      <c r="J79" s="3631">
        <v>1721</v>
      </c>
    </row>
    <row r="80" spans="1:10" ht="13.5">
      <c r="A80" s="3632">
        <v>3850</v>
      </c>
      <c r="B80" s="3631">
        <v>3900</v>
      </c>
      <c r="C80" s="3491">
        <v>296</v>
      </c>
      <c r="D80" s="3632">
        <v>1318</v>
      </c>
      <c r="E80" s="3633">
        <v>1550</v>
      </c>
      <c r="F80" s="3631">
        <v>1744</v>
      </c>
      <c r="G80" s="3491">
        <v>296</v>
      </c>
      <c r="H80" s="3633">
        <v>1318</v>
      </c>
      <c r="I80" s="3633">
        <v>1550</v>
      </c>
      <c r="J80" s="3631">
        <v>1744</v>
      </c>
    </row>
    <row r="81" spans="1:10" ht="13.5">
      <c r="A81" s="3632">
        <v>3900</v>
      </c>
      <c r="B81" s="3631">
        <v>3950</v>
      </c>
      <c r="C81" s="3491">
        <v>300</v>
      </c>
      <c r="D81" s="3632">
        <v>1335</v>
      </c>
      <c r="E81" s="3633">
        <v>1570</v>
      </c>
      <c r="F81" s="3631">
        <v>1766</v>
      </c>
      <c r="G81" s="3491">
        <v>300</v>
      </c>
      <c r="H81" s="3633">
        <v>1335</v>
      </c>
      <c r="I81" s="3633">
        <v>1570</v>
      </c>
      <c r="J81" s="3631">
        <v>1766</v>
      </c>
    </row>
    <row r="82" spans="1:10" ht="13.5">
      <c r="A82" s="3632">
        <v>3950</v>
      </c>
      <c r="B82" s="3631">
        <v>4000</v>
      </c>
      <c r="C82" s="3491">
        <v>304</v>
      </c>
      <c r="D82" s="3632">
        <v>1352</v>
      </c>
      <c r="E82" s="3633">
        <v>1590</v>
      </c>
      <c r="F82" s="3631">
        <v>1789</v>
      </c>
      <c r="G82" s="3491">
        <v>304</v>
      </c>
      <c r="H82" s="3633">
        <v>1352</v>
      </c>
      <c r="I82" s="3633">
        <v>1590</v>
      </c>
      <c r="J82" s="3631">
        <v>1789</v>
      </c>
    </row>
    <row r="83" spans="1:10" ht="13.5">
      <c r="A83" s="3632">
        <v>4000</v>
      </c>
      <c r="B83" s="3631">
        <v>4050</v>
      </c>
      <c r="C83" s="3491">
        <v>308</v>
      </c>
      <c r="D83" s="3632">
        <v>1369</v>
      </c>
      <c r="E83" s="3633">
        <v>1610</v>
      </c>
      <c r="F83" s="3631">
        <v>1811</v>
      </c>
      <c r="G83" s="3491">
        <v>308</v>
      </c>
      <c r="H83" s="3633">
        <v>1369</v>
      </c>
      <c r="I83" s="3633">
        <v>1610</v>
      </c>
      <c r="J83" s="3631">
        <v>1811</v>
      </c>
    </row>
    <row r="84" spans="1:10" ht="13.5">
      <c r="A84" s="3632">
        <v>4050</v>
      </c>
      <c r="B84" s="3631">
        <v>4100</v>
      </c>
      <c r="C84" s="3491">
        <v>312</v>
      </c>
      <c r="D84" s="3632">
        <v>1386</v>
      </c>
      <c r="E84" s="3633">
        <v>1630</v>
      </c>
      <c r="F84" s="3631">
        <v>1834</v>
      </c>
      <c r="G84" s="3491">
        <v>312</v>
      </c>
      <c r="H84" s="3633">
        <v>1386</v>
      </c>
      <c r="I84" s="3633">
        <v>1630</v>
      </c>
      <c r="J84" s="3631">
        <v>1834</v>
      </c>
    </row>
    <row r="85" spans="1:10" ht="13.5">
      <c r="A85" s="3632">
        <v>4100</v>
      </c>
      <c r="B85" s="3631">
        <v>4150</v>
      </c>
      <c r="C85" s="3491">
        <v>316</v>
      </c>
      <c r="D85" s="3632">
        <v>1403</v>
      </c>
      <c r="E85" s="3633">
        <v>1650</v>
      </c>
      <c r="F85" s="3631">
        <v>1856</v>
      </c>
      <c r="G85" s="3491">
        <v>316</v>
      </c>
      <c r="H85" s="3633">
        <v>1403</v>
      </c>
      <c r="I85" s="3633">
        <v>1650</v>
      </c>
      <c r="J85" s="3631">
        <v>1856</v>
      </c>
    </row>
    <row r="86" spans="1:10" ht="13.5">
      <c r="A86" s="3632">
        <v>4150</v>
      </c>
      <c r="B86" s="3631">
        <v>4200</v>
      </c>
      <c r="C86" s="3491">
        <v>319</v>
      </c>
      <c r="D86" s="3632">
        <v>1420</v>
      </c>
      <c r="E86" s="3633">
        <v>1670</v>
      </c>
      <c r="F86" s="3631">
        <v>1879</v>
      </c>
      <c r="G86" s="3491">
        <v>319</v>
      </c>
      <c r="H86" s="3633">
        <v>1420</v>
      </c>
      <c r="I86" s="3633">
        <v>1670</v>
      </c>
      <c r="J86" s="3631">
        <v>1879</v>
      </c>
    </row>
    <row r="87" spans="1:10" ht="13.5">
      <c r="A87" s="3632">
        <v>4200</v>
      </c>
      <c r="B87" s="3631">
        <v>4250</v>
      </c>
      <c r="C87" s="3491">
        <v>323</v>
      </c>
      <c r="D87" s="3632">
        <v>1437</v>
      </c>
      <c r="E87" s="3633">
        <v>1690</v>
      </c>
      <c r="F87" s="3631">
        <v>1901</v>
      </c>
      <c r="G87" s="3491">
        <v>323</v>
      </c>
      <c r="H87" s="3633">
        <v>1437</v>
      </c>
      <c r="I87" s="3633">
        <v>1690</v>
      </c>
      <c r="J87" s="3631">
        <v>1901</v>
      </c>
    </row>
    <row r="88" spans="1:10" ht="13.5">
      <c r="A88" s="3632">
        <v>4250</v>
      </c>
      <c r="B88" s="3631">
        <v>4300</v>
      </c>
      <c r="C88" s="3491">
        <v>327</v>
      </c>
      <c r="D88" s="3632">
        <v>1454</v>
      </c>
      <c r="E88" s="3633">
        <v>1710</v>
      </c>
      <c r="F88" s="3631">
        <v>1924</v>
      </c>
      <c r="G88" s="3491">
        <v>327</v>
      </c>
      <c r="H88" s="3633">
        <v>1454</v>
      </c>
      <c r="I88" s="3633">
        <v>1710</v>
      </c>
      <c r="J88" s="3631">
        <v>1924</v>
      </c>
    </row>
    <row r="89" spans="1:10" ht="13.5">
      <c r="A89" s="3632">
        <v>4300</v>
      </c>
      <c r="B89" s="3631">
        <v>4350</v>
      </c>
      <c r="C89" s="3491">
        <v>331</v>
      </c>
      <c r="D89" s="3632">
        <v>1471</v>
      </c>
      <c r="E89" s="3633">
        <v>1730</v>
      </c>
      <c r="F89" s="3631">
        <v>1946</v>
      </c>
      <c r="G89" s="3491">
        <v>331</v>
      </c>
      <c r="H89" s="3633">
        <v>1471</v>
      </c>
      <c r="I89" s="3633">
        <v>1730</v>
      </c>
      <c r="J89" s="3631">
        <v>1946</v>
      </c>
    </row>
    <row r="90" spans="1:10" ht="13.5">
      <c r="A90" s="3632">
        <v>4350</v>
      </c>
      <c r="B90" s="3631">
        <v>4400</v>
      </c>
      <c r="C90" s="3491">
        <v>335</v>
      </c>
      <c r="D90" s="3632">
        <v>1488</v>
      </c>
      <c r="E90" s="3633">
        <v>1750</v>
      </c>
      <c r="F90" s="3631">
        <v>1969</v>
      </c>
      <c r="G90" s="3491">
        <v>335</v>
      </c>
      <c r="H90" s="3633">
        <v>1488</v>
      </c>
      <c r="I90" s="3633">
        <v>1750</v>
      </c>
      <c r="J90" s="3631">
        <v>1969</v>
      </c>
    </row>
    <row r="91" spans="1:10" ht="13.5">
      <c r="A91" s="3632">
        <v>4400</v>
      </c>
      <c r="B91" s="3631">
        <v>4450</v>
      </c>
      <c r="C91" s="3491">
        <v>339</v>
      </c>
      <c r="D91" s="3632">
        <v>1505</v>
      </c>
      <c r="E91" s="3633">
        <v>1770</v>
      </c>
      <c r="F91" s="3631">
        <v>1991</v>
      </c>
      <c r="G91" s="3491">
        <v>339</v>
      </c>
      <c r="H91" s="3633">
        <v>1505</v>
      </c>
      <c r="I91" s="3633">
        <v>1770</v>
      </c>
      <c r="J91" s="3631">
        <v>1991</v>
      </c>
    </row>
    <row r="92" spans="1:10" ht="13.5">
      <c r="A92" s="3632">
        <v>4450</v>
      </c>
      <c r="B92" s="3631">
        <v>4500</v>
      </c>
      <c r="C92" s="3491">
        <v>342</v>
      </c>
      <c r="D92" s="3632">
        <v>1522</v>
      </c>
      <c r="E92" s="3633">
        <v>1790</v>
      </c>
      <c r="F92" s="3631">
        <v>2014</v>
      </c>
      <c r="G92" s="3491">
        <v>342</v>
      </c>
      <c r="H92" s="3633">
        <v>1522</v>
      </c>
      <c r="I92" s="3633">
        <v>1790</v>
      </c>
      <c r="J92" s="3631">
        <v>2014</v>
      </c>
    </row>
    <row r="93" spans="1:10" ht="13.5">
      <c r="A93" s="3632">
        <v>4500</v>
      </c>
      <c r="B93" s="3631">
        <v>4550</v>
      </c>
      <c r="C93" s="3491">
        <v>346</v>
      </c>
      <c r="D93" s="3632">
        <v>1539</v>
      </c>
      <c r="E93" s="3633">
        <v>1810</v>
      </c>
      <c r="F93" s="3631">
        <v>2036</v>
      </c>
      <c r="G93" s="3491">
        <v>346</v>
      </c>
      <c r="H93" s="3633">
        <v>1539</v>
      </c>
      <c r="I93" s="3633">
        <v>1810</v>
      </c>
      <c r="J93" s="3631">
        <v>2036</v>
      </c>
    </row>
    <row r="94" spans="1:10" ht="13.5">
      <c r="A94" s="3632">
        <v>4550</v>
      </c>
      <c r="B94" s="3631">
        <v>4600</v>
      </c>
      <c r="C94" s="3491">
        <v>350</v>
      </c>
      <c r="D94" s="3632">
        <v>1556</v>
      </c>
      <c r="E94" s="3633">
        <v>1830</v>
      </c>
      <c r="F94" s="3631">
        <v>2059</v>
      </c>
      <c r="G94" s="3491">
        <v>350</v>
      </c>
      <c r="H94" s="3633">
        <v>1556</v>
      </c>
      <c r="I94" s="3633">
        <v>1830</v>
      </c>
      <c r="J94" s="3631">
        <v>2059</v>
      </c>
    </row>
    <row r="95" spans="1:10" ht="13.5">
      <c r="A95" s="3632">
        <v>4600</v>
      </c>
      <c r="B95" s="3631">
        <v>4650</v>
      </c>
      <c r="C95" s="3491">
        <v>354</v>
      </c>
      <c r="D95" s="3632">
        <v>1573</v>
      </c>
      <c r="E95" s="3633">
        <v>1850</v>
      </c>
      <c r="F95" s="3631">
        <v>2081</v>
      </c>
      <c r="G95" s="3491">
        <v>354</v>
      </c>
      <c r="H95" s="3633">
        <v>1573</v>
      </c>
      <c r="I95" s="3633">
        <v>1850</v>
      </c>
      <c r="J95" s="3631">
        <v>2081</v>
      </c>
    </row>
    <row r="96" spans="1:10" ht="13.5">
      <c r="A96" s="3632">
        <v>4650</v>
      </c>
      <c r="B96" s="3631">
        <v>4700</v>
      </c>
      <c r="C96" s="3491">
        <v>358</v>
      </c>
      <c r="D96" s="3632">
        <v>1590</v>
      </c>
      <c r="E96" s="3633">
        <v>1870</v>
      </c>
      <c r="F96" s="3631">
        <v>2104</v>
      </c>
      <c r="G96" s="3491">
        <v>358</v>
      </c>
      <c r="H96" s="3633">
        <v>1590</v>
      </c>
      <c r="I96" s="3633">
        <v>1870</v>
      </c>
      <c r="J96" s="3631">
        <v>2104</v>
      </c>
    </row>
    <row r="97" spans="1:10" ht="13.5">
      <c r="A97" s="3632">
        <v>4700</v>
      </c>
      <c r="B97" s="3631">
        <v>4750</v>
      </c>
      <c r="C97" s="3491">
        <v>361</v>
      </c>
      <c r="D97" s="3632">
        <v>1607</v>
      </c>
      <c r="E97" s="3633">
        <v>1890</v>
      </c>
      <c r="F97" s="3631">
        <v>2126</v>
      </c>
      <c r="G97" s="3491">
        <v>361</v>
      </c>
      <c r="H97" s="3633">
        <v>1607</v>
      </c>
      <c r="I97" s="3633">
        <v>1890</v>
      </c>
      <c r="J97" s="3631">
        <v>2126</v>
      </c>
    </row>
    <row r="98" spans="1:10" ht="13.5">
      <c r="A98" s="3632">
        <v>4750</v>
      </c>
      <c r="B98" s="3631">
        <v>4800</v>
      </c>
      <c r="C98" s="3491">
        <v>365</v>
      </c>
      <c r="D98" s="3632">
        <v>1624</v>
      </c>
      <c r="E98" s="3633">
        <v>1910</v>
      </c>
      <c r="F98" s="3631">
        <v>2149</v>
      </c>
      <c r="G98" s="3491">
        <v>365</v>
      </c>
      <c r="H98" s="3633">
        <v>1624</v>
      </c>
      <c r="I98" s="3633">
        <v>1910</v>
      </c>
      <c r="J98" s="3631">
        <v>2149</v>
      </c>
    </row>
    <row r="99" spans="1:10" ht="13.5">
      <c r="A99" s="3632">
        <v>4800</v>
      </c>
      <c r="B99" s="3631">
        <v>4850</v>
      </c>
      <c r="C99" s="3491">
        <v>369</v>
      </c>
      <c r="D99" s="3632">
        <v>1641</v>
      </c>
      <c r="E99" s="3633">
        <v>1930</v>
      </c>
      <c r="F99" s="3631">
        <v>2171</v>
      </c>
      <c r="G99" s="3491">
        <v>369</v>
      </c>
      <c r="H99" s="3633">
        <v>1641</v>
      </c>
      <c r="I99" s="3633">
        <v>1930</v>
      </c>
      <c r="J99" s="3631">
        <v>2171</v>
      </c>
    </row>
    <row r="100" spans="1:10" ht="13.5">
      <c r="A100" s="3632">
        <v>4850</v>
      </c>
      <c r="B100" s="3631">
        <v>4900</v>
      </c>
      <c r="C100" s="3491">
        <v>373</v>
      </c>
      <c r="D100" s="3632">
        <v>1658</v>
      </c>
      <c r="E100" s="3633">
        <v>1950</v>
      </c>
      <c r="F100" s="3631">
        <v>2194</v>
      </c>
      <c r="G100" s="3491">
        <v>373</v>
      </c>
      <c r="H100" s="3633">
        <v>1658</v>
      </c>
      <c r="I100" s="3633">
        <v>1950</v>
      </c>
      <c r="J100" s="3631">
        <v>2194</v>
      </c>
    </row>
    <row r="101" spans="1:10" ht="13.5">
      <c r="A101" s="3632">
        <v>4900</v>
      </c>
      <c r="B101" s="3631">
        <v>4950</v>
      </c>
      <c r="C101" s="3491">
        <v>377</v>
      </c>
      <c r="D101" s="3632">
        <v>1675</v>
      </c>
      <c r="E101" s="3633">
        <v>1970</v>
      </c>
      <c r="F101" s="3631">
        <v>2216</v>
      </c>
      <c r="G101" s="3491">
        <v>377</v>
      </c>
      <c r="H101" s="3633">
        <v>1675</v>
      </c>
      <c r="I101" s="3633">
        <v>1970</v>
      </c>
      <c r="J101" s="3631">
        <v>2216</v>
      </c>
    </row>
    <row r="102" spans="1:10" ht="13.5">
      <c r="A102" s="3632">
        <v>4950</v>
      </c>
      <c r="B102" s="3631">
        <v>5000</v>
      </c>
      <c r="C102" s="3491">
        <v>381</v>
      </c>
      <c r="D102" s="3632">
        <v>1692</v>
      </c>
      <c r="E102" s="3633">
        <v>1990</v>
      </c>
      <c r="F102" s="3631">
        <v>2239</v>
      </c>
      <c r="G102" s="3491">
        <v>381</v>
      </c>
      <c r="H102" s="3633">
        <v>1692</v>
      </c>
      <c r="I102" s="3633">
        <v>1990</v>
      </c>
      <c r="J102" s="3631">
        <v>2239</v>
      </c>
    </row>
    <row r="103" spans="1:10" ht="13.5">
      <c r="A103" s="3632">
        <v>5000</v>
      </c>
      <c r="B103" s="3631">
        <v>5050</v>
      </c>
      <c r="C103" s="3491">
        <v>384</v>
      </c>
      <c r="D103" s="3632">
        <v>1709</v>
      </c>
      <c r="E103" s="3633">
        <v>2010</v>
      </c>
      <c r="F103" s="3631">
        <v>2261</v>
      </c>
      <c r="G103" s="3491">
        <v>384</v>
      </c>
      <c r="H103" s="3633">
        <v>1709</v>
      </c>
      <c r="I103" s="3633">
        <v>2010</v>
      </c>
      <c r="J103" s="3631">
        <v>2261</v>
      </c>
    </row>
    <row r="104" spans="1:10" ht="13.5">
      <c r="A104" s="3632">
        <v>5050</v>
      </c>
      <c r="B104" s="3631">
        <v>5100</v>
      </c>
      <c r="C104" s="3491">
        <v>388</v>
      </c>
      <c r="D104" s="3632">
        <v>1726</v>
      </c>
      <c r="E104" s="3633">
        <v>2030</v>
      </c>
      <c r="F104" s="3631">
        <v>2284</v>
      </c>
      <c r="G104" s="3491">
        <v>388</v>
      </c>
      <c r="H104" s="3633">
        <v>1726</v>
      </c>
      <c r="I104" s="3633">
        <v>2030</v>
      </c>
      <c r="J104" s="3631">
        <v>2284</v>
      </c>
    </row>
    <row r="105" spans="1:10" ht="13.5">
      <c r="A105" s="3632">
        <v>5100</v>
      </c>
      <c r="B105" s="3631">
        <v>5150</v>
      </c>
      <c r="C105" s="3491">
        <v>392</v>
      </c>
      <c r="D105" s="3632">
        <v>1743</v>
      </c>
      <c r="E105" s="3633">
        <v>2050</v>
      </c>
      <c r="F105" s="3631">
        <v>2306</v>
      </c>
      <c r="G105" s="3491">
        <v>392</v>
      </c>
      <c r="H105" s="3633">
        <v>1743</v>
      </c>
      <c r="I105" s="3633">
        <v>2050</v>
      </c>
      <c r="J105" s="3631">
        <v>2306</v>
      </c>
    </row>
    <row r="106" spans="1:10" ht="13.5">
      <c r="A106" s="3632">
        <v>5150</v>
      </c>
      <c r="B106" s="3631">
        <v>5200</v>
      </c>
      <c r="C106" s="3491">
        <v>396</v>
      </c>
      <c r="D106" s="3632">
        <v>1760</v>
      </c>
      <c r="E106" s="3633">
        <v>2070</v>
      </c>
      <c r="F106" s="3631">
        <v>2329</v>
      </c>
      <c r="G106" s="3491">
        <v>396</v>
      </c>
      <c r="H106" s="3633">
        <v>1760</v>
      </c>
      <c r="I106" s="3633">
        <v>2070</v>
      </c>
      <c r="J106" s="3631">
        <v>2329</v>
      </c>
    </row>
    <row r="107" spans="1:10" ht="13.5">
      <c r="A107" s="3632">
        <v>5200</v>
      </c>
      <c r="B107" s="3631">
        <v>5250</v>
      </c>
      <c r="C107" s="3491">
        <v>400</v>
      </c>
      <c r="D107" s="3632">
        <v>1777</v>
      </c>
      <c r="E107" s="3633">
        <v>2090</v>
      </c>
      <c r="F107" s="3631">
        <v>2351</v>
      </c>
      <c r="G107" s="3491">
        <v>400</v>
      </c>
      <c r="H107" s="3633">
        <v>1777</v>
      </c>
      <c r="I107" s="3633">
        <v>2090</v>
      </c>
      <c r="J107" s="3631">
        <v>2351</v>
      </c>
    </row>
    <row r="108" spans="1:10" ht="13.5">
      <c r="A108" s="3632">
        <v>5250</v>
      </c>
      <c r="B108" s="3631">
        <v>5300</v>
      </c>
      <c r="C108" s="3491">
        <v>404</v>
      </c>
      <c r="D108" s="3632">
        <v>1794</v>
      </c>
      <c r="E108" s="3633">
        <v>2110</v>
      </c>
      <c r="F108" s="3631">
        <v>2374</v>
      </c>
      <c r="G108" s="3491">
        <v>404</v>
      </c>
      <c r="H108" s="3633">
        <v>1794</v>
      </c>
      <c r="I108" s="3633">
        <v>2110</v>
      </c>
      <c r="J108" s="3631">
        <v>2374</v>
      </c>
    </row>
    <row r="109" spans="1:10" ht="13.5">
      <c r="A109" s="3632">
        <v>5300</v>
      </c>
      <c r="B109" s="3631">
        <v>5350</v>
      </c>
      <c r="C109" s="3491">
        <v>407</v>
      </c>
      <c r="D109" s="3632">
        <v>1811</v>
      </c>
      <c r="E109" s="3633">
        <v>2130</v>
      </c>
      <c r="F109" s="3631">
        <v>2396</v>
      </c>
      <c r="G109" s="3491">
        <v>407</v>
      </c>
      <c r="H109" s="3633">
        <v>1811</v>
      </c>
      <c r="I109" s="3633">
        <v>2130</v>
      </c>
      <c r="J109" s="3631">
        <v>2396</v>
      </c>
    </row>
    <row r="110" spans="1:10" ht="13.5">
      <c r="A110" s="3632">
        <v>5350</v>
      </c>
      <c r="B110" s="3631">
        <v>5400</v>
      </c>
      <c r="C110" s="3491">
        <v>411</v>
      </c>
      <c r="D110" s="3632">
        <v>1828</v>
      </c>
      <c r="E110" s="3633">
        <v>2150</v>
      </c>
      <c r="F110" s="3631">
        <v>2419</v>
      </c>
      <c r="G110" s="3491">
        <v>411</v>
      </c>
      <c r="H110" s="3633">
        <v>1828</v>
      </c>
      <c r="I110" s="3633">
        <v>2150</v>
      </c>
      <c r="J110" s="3631">
        <v>2419</v>
      </c>
    </row>
    <row r="111" spans="1:10" ht="13.5">
      <c r="A111" s="3632">
        <v>5400</v>
      </c>
      <c r="B111" s="3631">
        <v>5450</v>
      </c>
      <c r="C111" s="3491">
        <v>415</v>
      </c>
      <c r="D111" s="3632">
        <v>1845</v>
      </c>
      <c r="E111" s="3633">
        <v>2170</v>
      </c>
      <c r="F111" s="3631">
        <v>2441</v>
      </c>
      <c r="G111" s="3491">
        <v>415</v>
      </c>
      <c r="H111" s="3633">
        <v>1845</v>
      </c>
      <c r="I111" s="3633">
        <v>2170</v>
      </c>
      <c r="J111" s="3631">
        <v>2441</v>
      </c>
    </row>
    <row r="112" spans="1:10" ht="13.5">
      <c r="A112" s="3632">
        <v>5450</v>
      </c>
      <c r="B112" s="3631">
        <v>5500</v>
      </c>
      <c r="C112" s="3491">
        <v>419</v>
      </c>
      <c r="D112" s="3632">
        <v>1862</v>
      </c>
      <c r="E112" s="3633">
        <v>2190</v>
      </c>
      <c r="F112" s="3631">
        <v>2464</v>
      </c>
      <c r="G112" s="3491">
        <v>419</v>
      </c>
      <c r="H112" s="3633">
        <v>1862</v>
      </c>
      <c r="I112" s="3633">
        <v>2190</v>
      </c>
      <c r="J112" s="3631">
        <v>2464</v>
      </c>
    </row>
    <row r="113" spans="1:10" ht="13.5">
      <c r="A113" s="3632">
        <v>5500</v>
      </c>
      <c r="B113" s="3631">
        <v>5550</v>
      </c>
      <c r="C113" s="3491">
        <v>423</v>
      </c>
      <c r="D113" s="3632">
        <v>1879</v>
      </c>
      <c r="E113" s="3633">
        <v>2210</v>
      </c>
      <c r="F113" s="3631">
        <v>2486</v>
      </c>
      <c r="G113" s="3491">
        <v>423</v>
      </c>
      <c r="H113" s="3633">
        <v>1879</v>
      </c>
      <c r="I113" s="3633">
        <v>2210</v>
      </c>
      <c r="J113" s="3631">
        <v>2486</v>
      </c>
    </row>
    <row r="114" spans="1:10" ht="13.5">
      <c r="A114" s="3632">
        <v>5550</v>
      </c>
      <c r="B114" s="3631">
        <v>5600</v>
      </c>
      <c r="C114" s="3491">
        <v>426</v>
      </c>
      <c r="D114" s="3632">
        <v>1896</v>
      </c>
      <c r="E114" s="3633">
        <v>2230</v>
      </c>
      <c r="F114" s="3631">
        <v>2509</v>
      </c>
      <c r="G114" s="3491">
        <v>426</v>
      </c>
      <c r="H114" s="3633">
        <v>1896</v>
      </c>
      <c r="I114" s="3633">
        <v>2230</v>
      </c>
      <c r="J114" s="3631">
        <v>2509</v>
      </c>
    </row>
    <row r="115" spans="1:10" ht="13.5">
      <c r="A115" s="3632">
        <v>5600</v>
      </c>
      <c r="B115" s="3631">
        <v>5650</v>
      </c>
      <c r="C115" s="3491">
        <v>430</v>
      </c>
      <c r="D115" s="3632">
        <v>1913</v>
      </c>
      <c r="E115" s="3633">
        <v>2250</v>
      </c>
      <c r="F115" s="3631">
        <v>2531</v>
      </c>
      <c r="G115" s="3491">
        <v>430</v>
      </c>
      <c r="H115" s="3633">
        <v>1913</v>
      </c>
      <c r="I115" s="3633">
        <v>2250</v>
      </c>
      <c r="J115" s="3631">
        <v>2531</v>
      </c>
    </row>
    <row r="116" spans="1:10" ht="13.5">
      <c r="A116" s="3632">
        <v>5650</v>
      </c>
      <c r="B116" s="3631">
        <v>5700</v>
      </c>
      <c r="C116" s="3491">
        <v>434</v>
      </c>
      <c r="D116" s="3632">
        <v>1930</v>
      </c>
      <c r="E116" s="3633">
        <v>2270</v>
      </c>
      <c r="F116" s="3631">
        <v>2554</v>
      </c>
      <c r="G116" s="3491">
        <v>434</v>
      </c>
      <c r="H116" s="3633">
        <v>1930</v>
      </c>
      <c r="I116" s="3633">
        <v>2270</v>
      </c>
      <c r="J116" s="3631">
        <v>2554</v>
      </c>
    </row>
    <row r="117" spans="1:10" ht="13.5">
      <c r="A117" s="3632">
        <v>5700</v>
      </c>
      <c r="B117" s="3631">
        <v>5750</v>
      </c>
      <c r="C117" s="3491">
        <v>438</v>
      </c>
      <c r="D117" s="3632">
        <v>1947</v>
      </c>
      <c r="E117" s="3633">
        <v>2290</v>
      </c>
      <c r="F117" s="3631">
        <v>2576</v>
      </c>
      <c r="G117" s="3491">
        <v>438</v>
      </c>
      <c r="H117" s="3633">
        <v>1947</v>
      </c>
      <c r="I117" s="3633">
        <v>2290</v>
      </c>
      <c r="J117" s="3631">
        <v>2576</v>
      </c>
    </row>
    <row r="118" spans="1:10" ht="13.5">
      <c r="A118" s="3632">
        <v>5750</v>
      </c>
      <c r="B118" s="3631">
        <v>5800</v>
      </c>
      <c r="C118" s="3491">
        <v>442</v>
      </c>
      <c r="D118" s="3632">
        <v>1964</v>
      </c>
      <c r="E118" s="3633">
        <v>2310</v>
      </c>
      <c r="F118" s="3631">
        <v>2599</v>
      </c>
      <c r="G118" s="3491">
        <v>442</v>
      </c>
      <c r="H118" s="3633">
        <v>1964</v>
      </c>
      <c r="I118" s="3633">
        <v>2310</v>
      </c>
      <c r="J118" s="3631">
        <v>2599</v>
      </c>
    </row>
    <row r="119" spans="1:10" ht="13.5">
      <c r="A119" s="3632">
        <v>5800</v>
      </c>
      <c r="B119" s="3631">
        <v>5850</v>
      </c>
      <c r="C119" s="3491">
        <v>446</v>
      </c>
      <c r="D119" s="3632">
        <v>1981</v>
      </c>
      <c r="E119" s="3633">
        <v>2330</v>
      </c>
      <c r="F119" s="3631">
        <v>2621</v>
      </c>
      <c r="G119" s="3491">
        <v>446</v>
      </c>
      <c r="H119" s="3633">
        <v>1981</v>
      </c>
      <c r="I119" s="3633">
        <v>2330</v>
      </c>
      <c r="J119" s="3631">
        <v>2621</v>
      </c>
    </row>
    <row r="120" spans="1:10" ht="13.5">
      <c r="A120" s="3632">
        <v>5850</v>
      </c>
      <c r="B120" s="3631">
        <v>5900</v>
      </c>
      <c r="C120" s="3491">
        <v>449</v>
      </c>
      <c r="D120" s="3632">
        <v>1998</v>
      </c>
      <c r="E120" s="3633">
        <v>2350</v>
      </c>
      <c r="F120" s="3631">
        <v>2644</v>
      </c>
      <c r="G120" s="3491">
        <v>449</v>
      </c>
      <c r="H120" s="3633">
        <v>1998</v>
      </c>
      <c r="I120" s="3633">
        <v>2350</v>
      </c>
      <c r="J120" s="3631">
        <v>2644</v>
      </c>
    </row>
    <row r="121" spans="1:10" ht="13.5">
      <c r="A121" s="3632">
        <v>5900</v>
      </c>
      <c r="B121" s="3631">
        <v>5950</v>
      </c>
      <c r="C121" s="3491">
        <v>453</v>
      </c>
      <c r="D121" s="3632">
        <v>2015</v>
      </c>
      <c r="E121" s="3633">
        <v>2370</v>
      </c>
      <c r="F121" s="3631">
        <v>2666</v>
      </c>
      <c r="G121" s="3491">
        <v>453</v>
      </c>
      <c r="H121" s="3633">
        <v>2015</v>
      </c>
      <c r="I121" s="3633">
        <v>2370</v>
      </c>
      <c r="J121" s="3631">
        <v>2666</v>
      </c>
    </row>
    <row r="122" spans="1:10" ht="13.5">
      <c r="A122" s="3632">
        <v>5950</v>
      </c>
      <c r="B122" s="3631">
        <v>6000</v>
      </c>
      <c r="C122" s="3491">
        <v>457</v>
      </c>
      <c r="D122" s="3632">
        <v>2032</v>
      </c>
      <c r="E122" s="3633">
        <v>2390</v>
      </c>
      <c r="F122" s="3631">
        <v>2689</v>
      </c>
      <c r="G122" s="3491">
        <v>457</v>
      </c>
      <c r="H122" s="3633">
        <v>2032</v>
      </c>
      <c r="I122" s="3633">
        <v>2390</v>
      </c>
      <c r="J122" s="3631">
        <v>2689</v>
      </c>
    </row>
    <row r="123" spans="1:10" ht="13.5">
      <c r="A123" s="3632">
        <v>6000</v>
      </c>
      <c r="B123" s="3631">
        <v>6050</v>
      </c>
      <c r="C123" s="3491">
        <v>461</v>
      </c>
      <c r="D123" s="3632">
        <v>2049</v>
      </c>
      <c r="E123" s="3633">
        <v>2410</v>
      </c>
      <c r="F123" s="3631">
        <v>2711</v>
      </c>
      <c r="G123" s="3491">
        <v>461</v>
      </c>
      <c r="H123" s="3633">
        <v>2049</v>
      </c>
      <c r="I123" s="3633">
        <v>2410</v>
      </c>
      <c r="J123" s="3631">
        <v>2711</v>
      </c>
    </row>
    <row r="124" spans="1:10" ht="13.5">
      <c r="A124" s="3632">
        <v>6050</v>
      </c>
      <c r="B124" s="3631">
        <v>6100</v>
      </c>
      <c r="C124" s="3491">
        <v>465</v>
      </c>
      <c r="D124" s="3632">
        <v>2066</v>
      </c>
      <c r="E124" s="3633">
        <v>2430</v>
      </c>
      <c r="F124" s="3631">
        <v>2734</v>
      </c>
      <c r="G124" s="3491">
        <v>465</v>
      </c>
      <c r="H124" s="3633">
        <v>2066</v>
      </c>
      <c r="I124" s="3633">
        <v>2430</v>
      </c>
      <c r="J124" s="3631">
        <v>2734</v>
      </c>
    </row>
    <row r="125" spans="1:10" ht="13.5">
      <c r="A125" s="3632">
        <v>6100</v>
      </c>
      <c r="B125" s="3631">
        <v>6150</v>
      </c>
      <c r="C125" s="3491">
        <v>469</v>
      </c>
      <c r="D125" s="3632">
        <v>2083</v>
      </c>
      <c r="E125" s="3633">
        <v>2450</v>
      </c>
      <c r="F125" s="3631">
        <v>2756</v>
      </c>
      <c r="G125" s="3491">
        <v>469</v>
      </c>
      <c r="H125" s="3633">
        <v>2083</v>
      </c>
      <c r="I125" s="3633">
        <v>2450</v>
      </c>
      <c r="J125" s="3631">
        <v>2756</v>
      </c>
    </row>
    <row r="126" spans="1:10" ht="13.5">
      <c r="A126" s="3632">
        <v>6150</v>
      </c>
      <c r="B126" s="3631">
        <v>6200</v>
      </c>
      <c r="C126" s="3491">
        <v>472</v>
      </c>
      <c r="D126" s="3632">
        <v>2100</v>
      </c>
      <c r="E126" s="3633">
        <v>2470</v>
      </c>
      <c r="F126" s="3631">
        <v>2779</v>
      </c>
      <c r="G126" s="3491">
        <v>472</v>
      </c>
      <c r="H126" s="3633">
        <v>2100</v>
      </c>
      <c r="I126" s="3633">
        <v>2470</v>
      </c>
      <c r="J126" s="3631">
        <v>2779</v>
      </c>
    </row>
    <row r="127" spans="1:10" ht="13.5">
      <c r="A127" s="3632">
        <v>6200</v>
      </c>
      <c r="B127" s="3631">
        <v>6250</v>
      </c>
      <c r="C127" s="3491">
        <v>476</v>
      </c>
      <c r="D127" s="3632">
        <v>2117</v>
      </c>
      <c r="E127" s="3633">
        <v>2490</v>
      </c>
      <c r="F127" s="3631">
        <v>2801</v>
      </c>
      <c r="G127" s="3491">
        <v>476</v>
      </c>
      <c r="H127" s="3633">
        <v>2117</v>
      </c>
      <c r="I127" s="3633">
        <v>2490</v>
      </c>
      <c r="J127" s="3631">
        <v>2801</v>
      </c>
    </row>
    <row r="128" spans="1:10" ht="13.5">
      <c r="A128" s="3632">
        <v>6250</v>
      </c>
      <c r="B128" s="3631">
        <v>6300</v>
      </c>
      <c r="C128" s="3491">
        <v>480</v>
      </c>
      <c r="D128" s="3632">
        <v>2134</v>
      </c>
      <c r="E128" s="3633">
        <v>2510</v>
      </c>
      <c r="F128" s="3631">
        <v>2824</v>
      </c>
      <c r="G128" s="3491">
        <v>480</v>
      </c>
      <c r="H128" s="3633">
        <v>2134</v>
      </c>
      <c r="I128" s="3633">
        <v>2510</v>
      </c>
      <c r="J128" s="3631">
        <v>2824</v>
      </c>
    </row>
    <row r="129" spans="1:10" ht="13.5">
      <c r="A129" s="3632">
        <v>6300</v>
      </c>
      <c r="B129" s="3631">
        <v>6350</v>
      </c>
      <c r="C129" s="3491">
        <v>484</v>
      </c>
      <c r="D129" s="3632">
        <v>2151</v>
      </c>
      <c r="E129" s="3633">
        <v>2530</v>
      </c>
      <c r="F129" s="3631">
        <v>2846</v>
      </c>
      <c r="G129" s="3491">
        <v>484</v>
      </c>
      <c r="H129" s="3633">
        <v>2151</v>
      </c>
      <c r="I129" s="3633">
        <v>2530</v>
      </c>
      <c r="J129" s="3631">
        <v>2846</v>
      </c>
    </row>
    <row r="130" spans="1:10" ht="13.5">
      <c r="A130" s="3632">
        <v>6350</v>
      </c>
      <c r="B130" s="3631">
        <v>6400</v>
      </c>
      <c r="C130" s="3491">
        <v>488</v>
      </c>
      <c r="D130" s="3632">
        <v>2168</v>
      </c>
      <c r="E130" s="3633">
        <v>2550</v>
      </c>
      <c r="F130" s="3631">
        <v>2869</v>
      </c>
      <c r="G130" s="3491">
        <v>488</v>
      </c>
      <c r="H130" s="3633">
        <v>2168</v>
      </c>
      <c r="I130" s="3633">
        <v>2550</v>
      </c>
      <c r="J130" s="3631">
        <v>2869</v>
      </c>
    </row>
    <row r="131" spans="1:10" ht="13.5">
      <c r="A131" s="3632">
        <v>6400</v>
      </c>
      <c r="B131" s="3631">
        <v>6450</v>
      </c>
      <c r="C131" s="3491">
        <v>492</v>
      </c>
      <c r="D131" s="3632">
        <v>2185</v>
      </c>
      <c r="E131" s="3633">
        <v>2570</v>
      </c>
      <c r="F131" s="3631">
        <v>2891</v>
      </c>
      <c r="G131" s="3491">
        <v>492</v>
      </c>
      <c r="H131" s="3633">
        <v>2185</v>
      </c>
      <c r="I131" s="3633">
        <v>2570</v>
      </c>
      <c r="J131" s="3631">
        <v>2891</v>
      </c>
    </row>
    <row r="132" spans="1:10" ht="13.5">
      <c r="A132" s="3632">
        <v>6450</v>
      </c>
      <c r="B132" s="3631">
        <v>6500</v>
      </c>
      <c r="C132" s="3491">
        <v>495</v>
      </c>
      <c r="D132" s="3632">
        <v>2202</v>
      </c>
      <c r="E132" s="3633">
        <v>2590</v>
      </c>
      <c r="F132" s="3631">
        <v>2914</v>
      </c>
      <c r="G132" s="3491">
        <v>495</v>
      </c>
      <c r="H132" s="3633">
        <v>2202</v>
      </c>
      <c r="I132" s="3633">
        <v>2590</v>
      </c>
      <c r="J132" s="3631">
        <v>2914</v>
      </c>
    </row>
    <row r="133" spans="1:10" ht="13.5">
      <c r="A133" s="3632">
        <v>6500</v>
      </c>
      <c r="B133" s="3631">
        <v>6550</v>
      </c>
      <c r="C133" s="3491">
        <v>499</v>
      </c>
      <c r="D133" s="3632">
        <v>2219</v>
      </c>
      <c r="E133" s="3633">
        <v>2610</v>
      </c>
      <c r="F133" s="3631">
        <v>2936</v>
      </c>
      <c r="G133" s="3491">
        <v>499</v>
      </c>
      <c r="H133" s="3633">
        <v>2219</v>
      </c>
      <c r="I133" s="3633">
        <v>2610</v>
      </c>
      <c r="J133" s="3631">
        <v>2936</v>
      </c>
    </row>
    <row r="134" spans="1:10" ht="13.5">
      <c r="A134" s="3632">
        <v>6550</v>
      </c>
      <c r="B134" s="3631">
        <v>6600</v>
      </c>
      <c r="C134" s="3491">
        <v>503</v>
      </c>
      <c r="D134" s="3632">
        <v>2236</v>
      </c>
      <c r="E134" s="3633">
        <v>2630</v>
      </c>
      <c r="F134" s="3631">
        <v>2959</v>
      </c>
      <c r="G134" s="3491">
        <v>503</v>
      </c>
      <c r="H134" s="3633">
        <v>2236</v>
      </c>
      <c r="I134" s="3633">
        <v>2630</v>
      </c>
      <c r="J134" s="3631">
        <v>2959</v>
      </c>
    </row>
    <row r="135" spans="1:10" ht="13.5">
      <c r="A135" s="3632">
        <v>6600</v>
      </c>
      <c r="B135" s="3631">
        <v>6650</v>
      </c>
      <c r="C135" s="3491">
        <v>506</v>
      </c>
      <c r="D135" s="3632">
        <v>2253</v>
      </c>
      <c r="E135" s="3633">
        <v>2650</v>
      </c>
      <c r="F135" s="3631">
        <v>2981</v>
      </c>
      <c r="G135" s="3491">
        <v>506</v>
      </c>
      <c r="H135" s="3633">
        <v>2253</v>
      </c>
      <c r="I135" s="3633">
        <v>2650</v>
      </c>
      <c r="J135" s="3631">
        <v>2981</v>
      </c>
    </row>
    <row r="136" spans="1:10" ht="13.5">
      <c r="A136" s="3632">
        <v>6650</v>
      </c>
      <c r="B136" s="3631">
        <v>6700</v>
      </c>
      <c r="C136" s="3491">
        <v>506</v>
      </c>
      <c r="D136" s="3632">
        <v>2270</v>
      </c>
      <c r="E136" s="3633">
        <v>2670</v>
      </c>
      <c r="F136" s="3631">
        <v>3004</v>
      </c>
      <c r="G136" s="3491">
        <v>506</v>
      </c>
      <c r="H136" s="3633">
        <v>2270</v>
      </c>
      <c r="I136" s="3633">
        <v>2670</v>
      </c>
      <c r="J136" s="3631">
        <v>3004</v>
      </c>
    </row>
    <row r="137" spans="1:10" ht="13.5">
      <c r="A137" s="3632">
        <v>6700</v>
      </c>
      <c r="B137" s="3631">
        <v>6750</v>
      </c>
      <c r="C137" s="3491">
        <v>506</v>
      </c>
      <c r="D137" s="3632">
        <v>2287</v>
      </c>
      <c r="E137" s="3633">
        <v>2690</v>
      </c>
      <c r="F137" s="3631">
        <v>3026</v>
      </c>
      <c r="G137" s="3491">
        <v>506</v>
      </c>
      <c r="H137" s="3633">
        <v>2287</v>
      </c>
      <c r="I137" s="3633">
        <v>2690</v>
      </c>
      <c r="J137" s="3631">
        <v>3026</v>
      </c>
    </row>
    <row r="138" spans="1:10" ht="13.5">
      <c r="A138" s="3632">
        <v>6750</v>
      </c>
      <c r="B138" s="3631">
        <v>6800</v>
      </c>
      <c r="C138" s="3491">
        <v>506</v>
      </c>
      <c r="D138" s="3632">
        <v>2304</v>
      </c>
      <c r="E138" s="3633">
        <v>2710</v>
      </c>
      <c r="F138" s="3631">
        <v>3049</v>
      </c>
      <c r="G138" s="3491">
        <v>506</v>
      </c>
      <c r="H138" s="3633">
        <v>2304</v>
      </c>
      <c r="I138" s="3633">
        <v>2710</v>
      </c>
      <c r="J138" s="3631">
        <v>3049</v>
      </c>
    </row>
    <row r="139" spans="1:10" ht="13.5">
      <c r="A139" s="3632">
        <v>6800</v>
      </c>
      <c r="B139" s="3631">
        <v>6850</v>
      </c>
      <c r="C139" s="3491">
        <v>506</v>
      </c>
      <c r="D139" s="3632">
        <v>2321</v>
      </c>
      <c r="E139" s="3633">
        <v>2730</v>
      </c>
      <c r="F139" s="3631">
        <v>3071</v>
      </c>
      <c r="G139" s="3491">
        <v>506</v>
      </c>
      <c r="H139" s="3633">
        <v>2321</v>
      </c>
      <c r="I139" s="3633">
        <v>2730</v>
      </c>
      <c r="J139" s="3631">
        <v>3071</v>
      </c>
    </row>
    <row r="140" spans="1:10" ht="13.5">
      <c r="A140" s="3632">
        <v>6850</v>
      </c>
      <c r="B140" s="3631">
        <v>6900</v>
      </c>
      <c r="C140" s="3491">
        <v>506</v>
      </c>
      <c r="D140" s="3632">
        <v>2338</v>
      </c>
      <c r="E140" s="3633">
        <v>2750</v>
      </c>
      <c r="F140" s="3631">
        <v>3094</v>
      </c>
      <c r="G140" s="3491">
        <v>506</v>
      </c>
      <c r="H140" s="3633">
        <v>2338</v>
      </c>
      <c r="I140" s="3633">
        <v>2750</v>
      </c>
      <c r="J140" s="3631">
        <v>3094</v>
      </c>
    </row>
    <row r="141" spans="1:10" ht="13.5">
      <c r="A141" s="3632">
        <v>6900</v>
      </c>
      <c r="B141" s="3631">
        <v>6950</v>
      </c>
      <c r="C141" s="3491">
        <v>506</v>
      </c>
      <c r="D141" s="3632">
        <v>2355</v>
      </c>
      <c r="E141" s="3633">
        <v>2770</v>
      </c>
      <c r="F141" s="3631">
        <v>3116</v>
      </c>
      <c r="G141" s="3491">
        <v>506</v>
      </c>
      <c r="H141" s="3633">
        <v>2355</v>
      </c>
      <c r="I141" s="3633">
        <v>2770</v>
      </c>
      <c r="J141" s="3631">
        <v>3116</v>
      </c>
    </row>
    <row r="142" spans="1:10" ht="13.5">
      <c r="A142" s="3632">
        <v>6950</v>
      </c>
      <c r="B142" s="3631">
        <v>7000</v>
      </c>
      <c r="C142" s="3491">
        <v>506</v>
      </c>
      <c r="D142" s="3632">
        <v>2372</v>
      </c>
      <c r="E142" s="3633">
        <v>2790</v>
      </c>
      <c r="F142" s="3631">
        <v>3139</v>
      </c>
      <c r="G142" s="3491">
        <v>506</v>
      </c>
      <c r="H142" s="3633">
        <v>2372</v>
      </c>
      <c r="I142" s="3633">
        <v>2790</v>
      </c>
      <c r="J142" s="3631">
        <v>3139</v>
      </c>
    </row>
    <row r="143" spans="1:10" ht="13.5">
      <c r="A143" s="3632">
        <v>7000</v>
      </c>
      <c r="B143" s="3631">
        <v>7050</v>
      </c>
      <c r="C143" s="3491">
        <v>506</v>
      </c>
      <c r="D143" s="3632">
        <v>2389</v>
      </c>
      <c r="E143" s="3633">
        <v>2810</v>
      </c>
      <c r="F143" s="3631">
        <v>3161</v>
      </c>
      <c r="G143" s="3491">
        <v>506</v>
      </c>
      <c r="H143" s="3633">
        <v>2389</v>
      </c>
      <c r="I143" s="3633">
        <v>2810</v>
      </c>
      <c r="J143" s="3631">
        <v>3161</v>
      </c>
    </row>
    <row r="144" spans="1:10" ht="13.5">
      <c r="A144" s="3632">
        <v>7050</v>
      </c>
      <c r="B144" s="3631">
        <v>7100</v>
      </c>
      <c r="C144" s="3491">
        <v>506</v>
      </c>
      <c r="D144" s="3632">
        <v>2406</v>
      </c>
      <c r="E144" s="3633">
        <v>2830</v>
      </c>
      <c r="F144" s="3631">
        <v>3184</v>
      </c>
      <c r="G144" s="3491">
        <v>506</v>
      </c>
      <c r="H144" s="3633">
        <v>2406</v>
      </c>
      <c r="I144" s="3633">
        <v>2830</v>
      </c>
      <c r="J144" s="3631">
        <v>3184</v>
      </c>
    </row>
    <row r="145" spans="1:10" ht="13.5">
      <c r="A145" s="3632">
        <v>7100</v>
      </c>
      <c r="B145" s="3631">
        <v>7150</v>
      </c>
      <c r="C145" s="3491">
        <v>506</v>
      </c>
      <c r="D145" s="3632">
        <v>2423</v>
      </c>
      <c r="E145" s="3633">
        <v>2850</v>
      </c>
      <c r="F145" s="3631">
        <v>3206</v>
      </c>
      <c r="G145" s="3491">
        <v>506</v>
      </c>
      <c r="H145" s="3633">
        <v>2423</v>
      </c>
      <c r="I145" s="3633">
        <v>2850</v>
      </c>
      <c r="J145" s="3631">
        <v>3206</v>
      </c>
    </row>
    <row r="146" spans="1:10" ht="13.5">
      <c r="A146" s="3632">
        <v>7150</v>
      </c>
      <c r="B146" s="3631">
        <v>7200</v>
      </c>
      <c r="C146" s="3491">
        <v>506</v>
      </c>
      <c r="D146" s="3632">
        <v>2440</v>
      </c>
      <c r="E146" s="3633">
        <v>2870</v>
      </c>
      <c r="F146" s="3631">
        <v>3229</v>
      </c>
      <c r="G146" s="3491">
        <v>506</v>
      </c>
      <c r="H146" s="3633">
        <v>2440</v>
      </c>
      <c r="I146" s="3633">
        <v>2870</v>
      </c>
      <c r="J146" s="3631">
        <v>3229</v>
      </c>
    </row>
    <row r="147" spans="1:10" ht="13.5">
      <c r="A147" s="3632">
        <v>7200</v>
      </c>
      <c r="B147" s="3631">
        <v>7250</v>
      </c>
      <c r="C147" s="3491">
        <v>506</v>
      </c>
      <c r="D147" s="3632">
        <v>2457</v>
      </c>
      <c r="E147" s="3633">
        <v>2890</v>
      </c>
      <c r="F147" s="3631">
        <v>3251</v>
      </c>
      <c r="G147" s="3491">
        <v>506</v>
      </c>
      <c r="H147" s="3633">
        <v>2457</v>
      </c>
      <c r="I147" s="3633">
        <v>2890</v>
      </c>
      <c r="J147" s="3631">
        <v>3251</v>
      </c>
    </row>
    <row r="148" spans="1:10" ht="13.5">
      <c r="A148" s="3632">
        <v>7250</v>
      </c>
      <c r="B148" s="3631">
        <v>7300</v>
      </c>
      <c r="C148" s="3491">
        <v>506</v>
      </c>
      <c r="D148" s="3632">
        <v>2474</v>
      </c>
      <c r="E148" s="3633">
        <v>2910</v>
      </c>
      <c r="F148" s="3631">
        <v>3274</v>
      </c>
      <c r="G148" s="3491">
        <v>506</v>
      </c>
      <c r="H148" s="3633">
        <v>2474</v>
      </c>
      <c r="I148" s="3633">
        <v>2910</v>
      </c>
      <c r="J148" s="3631">
        <v>3274</v>
      </c>
    </row>
    <row r="149" spans="1:10" ht="13.5">
      <c r="A149" s="3632">
        <v>7300</v>
      </c>
      <c r="B149" s="3631">
        <v>7350</v>
      </c>
      <c r="C149" s="3491">
        <v>506</v>
      </c>
      <c r="D149" s="3632">
        <v>2491</v>
      </c>
      <c r="E149" s="3633">
        <v>2930</v>
      </c>
      <c r="F149" s="3631">
        <v>3296</v>
      </c>
      <c r="G149" s="3491">
        <v>506</v>
      </c>
      <c r="H149" s="3633">
        <v>2491</v>
      </c>
      <c r="I149" s="3633">
        <v>2930</v>
      </c>
      <c r="J149" s="3631">
        <v>3296</v>
      </c>
    </row>
    <row r="150" spans="1:10" ht="13.5">
      <c r="A150" s="3632">
        <v>7350</v>
      </c>
      <c r="B150" s="3631">
        <v>7400</v>
      </c>
      <c r="C150" s="3491">
        <v>506</v>
      </c>
      <c r="D150" s="3632">
        <v>2508</v>
      </c>
      <c r="E150" s="3633">
        <v>2950</v>
      </c>
      <c r="F150" s="3631">
        <v>3319</v>
      </c>
      <c r="G150" s="3491">
        <v>506</v>
      </c>
      <c r="H150" s="3633">
        <v>2508</v>
      </c>
      <c r="I150" s="3633">
        <v>2950</v>
      </c>
      <c r="J150" s="3631">
        <v>3319</v>
      </c>
    </row>
    <row r="151" spans="1:10" ht="13.5">
      <c r="A151" s="3632">
        <v>7400</v>
      </c>
      <c r="B151" s="3631">
        <v>7450</v>
      </c>
      <c r="C151" s="3491">
        <v>506</v>
      </c>
      <c r="D151" s="3632">
        <v>2525</v>
      </c>
      <c r="E151" s="3633">
        <v>2970</v>
      </c>
      <c r="F151" s="3631">
        <v>3341</v>
      </c>
      <c r="G151" s="3491">
        <v>506</v>
      </c>
      <c r="H151" s="3633">
        <v>2525</v>
      </c>
      <c r="I151" s="3633">
        <v>2970</v>
      </c>
      <c r="J151" s="3631">
        <v>3341</v>
      </c>
    </row>
    <row r="152" spans="1:10" ht="13.5">
      <c r="A152" s="3632">
        <v>7450</v>
      </c>
      <c r="B152" s="3631">
        <v>7500</v>
      </c>
      <c r="C152" s="3491">
        <v>506</v>
      </c>
      <c r="D152" s="3632">
        <v>2542</v>
      </c>
      <c r="E152" s="3633">
        <v>2990</v>
      </c>
      <c r="F152" s="3631">
        <v>3364</v>
      </c>
      <c r="G152" s="3491">
        <v>506</v>
      </c>
      <c r="H152" s="3633">
        <v>2542</v>
      </c>
      <c r="I152" s="3633">
        <v>2990</v>
      </c>
      <c r="J152" s="3631">
        <v>3364</v>
      </c>
    </row>
    <row r="153" spans="1:10" ht="13.5">
      <c r="A153" s="3632">
        <v>7500</v>
      </c>
      <c r="B153" s="3631">
        <v>7550</v>
      </c>
      <c r="C153" s="3491">
        <v>506</v>
      </c>
      <c r="D153" s="3632">
        <v>2559</v>
      </c>
      <c r="E153" s="3633">
        <v>3010</v>
      </c>
      <c r="F153" s="3631">
        <v>3386</v>
      </c>
      <c r="G153" s="3491">
        <v>506</v>
      </c>
      <c r="H153" s="3633">
        <v>2559</v>
      </c>
      <c r="I153" s="3633">
        <v>3010</v>
      </c>
      <c r="J153" s="3631">
        <v>3386</v>
      </c>
    </row>
    <row r="154" spans="1:10" ht="13.5">
      <c r="A154" s="3632">
        <v>7550</v>
      </c>
      <c r="B154" s="3631">
        <v>7600</v>
      </c>
      <c r="C154" s="3491">
        <v>506</v>
      </c>
      <c r="D154" s="3632">
        <v>2576</v>
      </c>
      <c r="E154" s="3633">
        <v>3030</v>
      </c>
      <c r="F154" s="3631">
        <v>3409</v>
      </c>
      <c r="G154" s="3491">
        <v>506</v>
      </c>
      <c r="H154" s="3633">
        <v>2576</v>
      </c>
      <c r="I154" s="3633">
        <v>3030</v>
      </c>
      <c r="J154" s="3631">
        <v>3409</v>
      </c>
    </row>
    <row r="155" spans="1:10" ht="13.5">
      <c r="A155" s="3632">
        <v>7600</v>
      </c>
      <c r="B155" s="3631">
        <v>7650</v>
      </c>
      <c r="C155" s="3491">
        <v>506</v>
      </c>
      <c r="D155" s="3632">
        <v>2593</v>
      </c>
      <c r="E155" s="3633">
        <v>3050</v>
      </c>
      <c r="F155" s="3631">
        <v>3431</v>
      </c>
      <c r="G155" s="3491">
        <v>506</v>
      </c>
      <c r="H155" s="3633">
        <v>2593</v>
      </c>
      <c r="I155" s="3633">
        <v>3050</v>
      </c>
      <c r="J155" s="3631">
        <v>3431</v>
      </c>
    </row>
    <row r="156" spans="1:10" ht="13.5">
      <c r="A156" s="3632">
        <v>7650</v>
      </c>
      <c r="B156" s="3631">
        <v>7700</v>
      </c>
      <c r="C156" s="3491">
        <v>506</v>
      </c>
      <c r="D156" s="3632">
        <v>2610</v>
      </c>
      <c r="E156" s="3633">
        <v>3070</v>
      </c>
      <c r="F156" s="3631">
        <v>3454</v>
      </c>
      <c r="G156" s="3491">
        <v>506</v>
      </c>
      <c r="H156" s="3633">
        <v>2610</v>
      </c>
      <c r="I156" s="3633">
        <v>3070</v>
      </c>
      <c r="J156" s="3631">
        <v>3454</v>
      </c>
    </row>
    <row r="157" spans="1:10" ht="13.5">
      <c r="A157" s="3632">
        <v>7700</v>
      </c>
      <c r="B157" s="3631">
        <v>7750</v>
      </c>
      <c r="C157" s="3491">
        <v>506</v>
      </c>
      <c r="D157" s="3632">
        <v>2627</v>
      </c>
      <c r="E157" s="3633">
        <v>3090</v>
      </c>
      <c r="F157" s="3631">
        <v>3476</v>
      </c>
      <c r="G157" s="3491">
        <v>506</v>
      </c>
      <c r="H157" s="3633">
        <v>2627</v>
      </c>
      <c r="I157" s="3633">
        <v>3090</v>
      </c>
      <c r="J157" s="3631">
        <v>3476</v>
      </c>
    </row>
    <row r="158" spans="1:10" ht="13.5">
      <c r="A158" s="3632">
        <v>7750</v>
      </c>
      <c r="B158" s="3631">
        <v>7800</v>
      </c>
      <c r="C158" s="3491">
        <v>506</v>
      </c>
      <c r="D158" s="3632">
        <v>2644</v>
      </c>
      <c r="E158" s="3633">
        <v>3110</v>
      </c>
      <c r="F158" s="3631">
        <v>3499</v>
      </c>
      <c r="G158" s="3491">
        <v>506</v>
      </c>
      <c r="H158" s="3633">
        <v>2644</v>
      </c>
      <c r="I158" s="3633">
        <v>3110</v>
      </c>
      <c r="J158" s="3631">
        <v>3499</v>
      </c>
    </row>
    <row r="159" spans="1:10" ht="13.5">
      <c r="A159" s="3632">
        <v>7800</v>
      </c>
      <c r="B159" s="3631">
        <v>7850</v>
      </c>
      <c r="C159" s="3491">
        <v>506</v>
      </c>
      <c r="D159" s="3632">
        <v>2661</v>
      </c>
      <c r="E159" s="3633">
        <v>3130</v>
      </c>
      <c r="F159" s="3631">
        <v>3521</v>
      </c>
      <c r="G159" s="3491">
        <v>506</v>
      </c>
      <c r="H159" s="3633">
        <v>2661</v>
      </c>
      <c r="I159" s="3633">
        <v>3130</v>
      </c>
      <c r="J159" s="3631">
        <v>3521</v>
      </c>
    </row>
    <row r="160" spans="1:10" ht="13.5">
      <c r="A160" s="3632">
        <v>7850</v>
      </c>
      <c r="B160" s="3631">
        <v>7900</v>
      </c>
      <c r="C160" s="3491">
        <v>506</v>
      </c>
      <c r="D160" s="3632">
        <v>2678</v>
      </c>
      <c r="E160" s="3633">
        <v>3150</v>
      </c>
      <c r="F160" s="3631">
        <v>3544</v>
      </c>
      <c r="G160" s="3491">
        <v>506</v>
      </c>
      <c r="H160" s="3633">
        <v>2678</v>
      </c>
      <c r="I160" s="3633">
        <v>3150</v>
      </c>
      <c r="J160" s="3631">
        <v>3544</v>
      </c>
    </row>
    <row r="161" spans="1:10" ht="13.5">
      <c r="A161" s="3632">
        <v>7900</v>
      </c>
      <c r="B161" s="3631">
        <v>7950</v>
      </c>
      <c r="C161" s="3491">
        <v>506</v>
      </c>
      <c r="D161" s="3632">
        <v>2695</v>
      </c>
      <c r="E161" s="3633">
        <v>3170</v>
      </c>
      <c r="F161" s="3631">
        <v>3566</v>
      </c>
      <c r="G161" s="3491">
        <v>506</v>
      </c>
      <c r="H161" s="3633">
        <v>2695</v>
      </c>
      <c r="I161" s="3633">
        <v>3170</v>
      </c>
      <c r="J161" s="3631">
        <v>3566</v>
      </c>
    </row>
    <row r="162" spans="1:10" ht="13.5">
      <c r="A162" s="3632">
        <v>7950</v>
      </c>
      <c r="B162" s="3631">
        <v>8000</v>
      </c>
      <c r="C162" s="3491">
        <v>506</v>
      </c>
      <c r="D162" s="3632">
        <v>2712</v>
      </c>
      <c r="E162" s="3633">
        <v>3190</v>
      </c>
      <c r="F162" s="3631">
        <v>3589</v>
      </c>
      <c r="G162" s="3491">
        <v>506</v>
      </c>
      <c r="H162" s="3633">
        <v>2712</v>
      </c>
      <c r="I162" s="3633">
        <v>3190</v>
      </c>
      <c r="J162" s="3631">
        <v>3589</v>
      </c>
    </row>
    <row r="163" spans="1:10" ht="13.5">
      <c r="A163" s="3632">
        <v>8000</v>
      </c>
      <c r="B163" s="3631">
        <v>8050</v>
      </c>
      <c r="C163" s="3491">
        <v>506</v>
      </c>
      <c r="D163" s="3632">
        <v>2729</v>
      </c>
      <c r="E163" s="3633">
        <v>3210</v>
      </c>
      <c r="F163" s="3631">
        <v>3611</v>
      </c>
      <c r="G163" s="3491">
        <v>506</v>
      </c>
      <c r="H163" s="3633">
        <v>2729</v>
      </c>
      <c r="I163" s="3633">
        <v>3210</v>
      </c>
      <c r="J163" s="3631">
        <v>3611</v>
      </c>
    </row>
    <row r="164" spans="1:10" ht="13.5">
      <c r="A164" s="3632">
        <v>8050</v>
      </c>
      <c r="B164" s="3631">
        <v>8100</v>
      </c>
      <c r="C164" s="3491">
        <v>506</v>
      </c>
      <c r="D164" s="3632">
        <v>2746</v>
      </c>
      <c r="E164" s="3633">
        <v>3230</v>
      </c>
      <c r="F164" s="3631">
        <v>3634</v>
      </c>
      <c r="G164" s="3491">
        <v>506</v>
      </c>
      <c r="H164" s="3633">
        <v>2746</v>
      </c>
      <c r="I164" s="3633">
        <v>3230</v>
      </c>
      <c r="J164" s="3631">
        <v>3634</v>
      </c>
    </row>
    <row r="165" spans="1:10" ht="13.5">
      <c r="A165" s="3632">
        <v>8100</v>
      </c>
      <c r="B165" s="3631">
        <v>8150</v>
      </c>
      <c r="C165" s="3491">
        <v>506</v>
      </c>
      <c r="D165" s="3632">
        <v>2763</v>
      </c>
      <c r="E165" s="3633">
        <v>3250</v>
      </c>
      <c r="F165" s="3631">
        <v>3656</v>
      </c>
      <c r="G165" s="3491">
        <v>506</v>
      </c>
      <c r="H165" s="3633">
        <v>2763</v>
      </c>
      <c r="I165" s="3633">
        <v>3250</v>
      </c>
      <c r="J165" s="3631">
        <v>3656</v>
      </c>
    </row>
    <row r="166" spans="1:10" ht="13.5">
      <c r="A166" s="3632">
        <v>8150</v>
      </c>
      <c r="B166" s="3631">
        <v>8200</v>
      </c>
      <c r="C166" s="3491">
        <v>506</v>
      </c>
      <c r="D166" s="3632">
        <v>2780</v>
      </c>
      <c r="E166" s="3633">
        <v>3270</v>
      </c>
      <c r="F166" s="3631">
        <v>3679</v>
      </c>
      <c r="G166" s="3491">
        <v>506</v>
      </c>
      <c r="H166" s="3633">
        <v>2780</v>
      </c>
      <c r="I166" s="3633">
        <v>3270</v>
      </c>
      <c r="J166" s="3631">
        <v>3679</v>
      </c>
    </row>
    <row r="167" spans="1:10" ht="13.5">
      <c r="A167" s="3632">
        <v>8200</v>
      </c>
      <c r="B167" s="3631">
        <v>8250</v>
      </c>
      <c r="C167" s="3491">
        <v>506</v>
      </c>
      <c r="D167" s="3632">
        <v>2797</v>
      </c>
      <c r="E167" s="3633">
        <v>3290</v>
      </c>
      <c r="F167" s="3631">
        <v>3701</v>
      </c>
      <c r="G167" s="3491">
        <v>506</v>
      </c>
      <c r="H167" s="3633">
        <v>2797</v>
      </c>
      <c r="I167" s="3633">
        <v>3290</v>
      </c>
      <c r="J167" s="3631">
        <v>3701</v>
      </c>
    </row>
    <row r="168" spans="1:10" ht="13.5">
      <c r="A168" s="3632">
        <v>8250</v>
      </c>
      <c r="B168" s="3631">
        <v>8300</v>
      </c>
      <c r="C168" s="3491">
        <v>506</v>
      </c>
      <c r="D168" s="3632">
        <v>2814</v>
      </c>
      <c r="E168" s="3633">
        <v>3310</v>
      </c>
      <c r="F168" s="3631">
        <v>3724</v>
      </c>
      <c r="G168" s="3491">
        <v>506</v>
      </c>
      <c r="H168" s="3633">
        <v>2814</v>
      </c>
      <c r="I168" s="3633">
        <v>3310</v>
      </c>
      <c r="J168" s="3631">
        <v>3724</v>
      </c>
    </row>
    <row r="169" spans="1:10" ht="13.5">
      <c r="A169" s="3632">
        <v>8300</v>
      </c>
      <c r="B169" s="3631">
        <v>8350</v>
      </c>
      <c r="C169" s="3491">
        <v>501</v>
      </c>
      <c r="D169" s="3632">
        <v>2831</v>
      </c>
      <c r="E169" s="3633">
        <v>3330</v>
      </c>
      <c r="F169" s="3631">
        <v>3746</v>
      </c>
      <c r="G169" s="3491">
        <v>506</v>
      </c>
      <c r="H169" s="3633">
        <v>2831</v>
      </c>
      <c r="I169" s="3633">
        <v>3330</v>
      </c>
      <c r="J169" s="3631">
        <v>3746</v>
      </c>
    </row>
    <row r="170" spans="1:10" ht="13.5">
      <c r="A170" s="3632">
        <v>8350</v>
      </c>
      <c r="B170" s="3631">
        <v>8400</v>
      </c>
      <c r="C170" s="3491">
        <v>498</v>
      </c>
      <c r="D170" s="3632">
        <v>2848</v>
      </c>
      <c r="E170" s="3633">
        <v>3350</v>
      </c>
      <c r="F170" s="3631">
        <v>3769</v>
      </c>
      <c r="G170" s="3491">
        <v>506</v>
      </c>
      <c r="H170" s="3633">
        <v>2848</v>
      </c>
      <c r="I170" s="3633">
        <v>3350</v>
      </c>
      <c r="J170" s="3631">
        <v>3769</v>
      </c>
    </row>
    <row r="171" spans="1:10" ht="13.5">
      <c r="A171" s="3632">
        <v>8400</v>
      </c>
      <c r="B171" s="3631">
        <v>8450</v>
      </c>
      <c r="C171" s="3491">
        <v>494</v>
      </c>
      <c r="D171" s="3632">
        <v>2865</v>
      </c>
      <c r="E171" s="3633">
        <v>3370</v>
      </c>
      <c r="F171" s="3631">
        <v>3791</v>
      </c>
      <c r="G171" s="3491">
        <v>506</v>
      </c>
      <c r="H171" s="3633">
        <v>2865</v>
      </c>
      <c r="I171" s="3633">
        <v>3370</v>
      </c>
      <c r="J171" s="3631">
        <v>3791</v>
      </c>
    </row>
    <row r="172" spans="1:10" ht="13.5">
      <c r="A172" s="3632">
        <v>8450</v>
      </c>
      <c r="B172" s="3631">
        <v>8500</v>
      </c>
      <c r="C172" s="3491">
        <v>490</v>
      </c>
      <c r="D172" s="3632">
        <v>2882</v>
      </c>
      <c r="E172" s="3633">
        <v>3390</v>
      </c>
      <c r="F172" s="3631">
        <v>3814</v>
      </c>
      <c r="G172" s="3491">
        <v>506</v>
      </c>
      <c r="H172" s="3633">
        <v>2882</v>
      </c>
      <c r="I172" s="3633">
        <v>3390</v>
      </c>
      <c r="J172" s="3631">
        <v>3814</v>
      </c>
    </row>
    <row r="173" spans="1:10" ht="13.5">
      <c r="A173" s="3632">
        <v>8500</v>
      </c>
      <c r="B173" s="3631">
        <v>8550</v>
      </c>
      <c r="C173" s="3491">
        <v>486</v>
      </c>
      <c r="D173" s="3632">
        <v>2899</v>
      </c>
      <c r="E173" s="3633">
        <v>3410</v>
      </c>
      <c r="F173" s="3631">
        <v>3836</v>
      </c>
      <c r="G173" s="3491">
        <v>506</v>
      </c>
      <c r="H173" s="3633">
        <v>2899</v>
      </c>
      <c r="I173" s="3633">
        <v>3410</v>
      </c>
      <c r="J173" s="3631">
        <v>3836</v>
      </c>
    </row>
    <row r="174" spans="1:10" ht="13.5">
      <c r="A174" s="3632">
        <v>8550</v>
      </c>
      <c r="B174" s="3631">
        <v>8600</v>
      </c>
      <c r="C174" s="3491">
        <v>482</v>
      </c>
      <c r="D174" s="3632">
        <v>2916</v>
      </c>
      <c r="E174" s="3633">
        <v>3430</v>
      </c>
      <c r="F174" s="3631">
        <v>3859</v>
      </c>
      <c r="G174" s="3491">
        <v>506</v>
      </c>
      <c r="H174" s="3633">
        <v>2916</v>
      </c>
      <c r="I174" s="3633">
        <v>3430</v>
      </c>
      <c r="J174" s="3631">
        <v>3859</v>
      </c>
    </row>
    <row r="175" spans="1:10" ht="13.5">
      <c r="A175" s="3632">
        <v>8600</v>
      </c>
      <c r="B175" s="3631">
        <v>8650</v>
      </c>
      <c r="C175" s="3491">
        <v>479</v>
      </c>
      <c r="D175" s="3632">
        <v>2933</v>
      </c>
      <c r="E175" s="3633">
        <v>3450</v>
      </c>
      <c r="F175" s="3631">
        <v>3881</v>
      </c>
      <c r="G175" s="3491">
        <v>506</v>
      </c>
      <c r="H175" s="3633">
        <v>2933</v>
      </c>
      <c r="I175" s="3633">
        <v>3450</v>
      </c>
      <c r="J175" s="3631">
        <v>3881</v>
      </c>
    </row>
    <row r="176" spans="1:10" ht="13.5">
      <c r="A176" s="3632">
        <v>8650</v>
      </c>
      <c r="B176" s="3631">
        <v>8700</v>
      </c>
      <c r="C176" s="3491">
        <v>475</v>
      </c>
      <c r="D176" s="3632">
        <v>2950</v>
      </c>
      <c r="E176" s="3633">
        <v>3470</v>
      </c>
      <c r="F176" s="3631">
        <v>3904</v>
      </c>
      <c r="G176" s="3491">
        <v>506</v>
      </c>
      <c r="H176" s="3633">
        <v>2950</v>
      </c>
      <c r="I176" s="3633">
        <v>3470</v>
      </c>
      <c r="J176" s="3631">
        <v>3904</v>
      </c>
    </row>
    <row r="177" spans="1:10" ht="13.5">
      <c r="A177" s="3632">
        <v>8700</v>
      </c>
      <c r="B177" s="3631">
        <v>8750</v>
      </c>
      <c r="C177" s="3491">
        <v>471</v>
      </c>
      <c r="D177" s="3632">
        <v>2967</v>
      </c>
      <c r="E177" s="3633">
        <v>3490</v>
      </c>
      <c r="F177" s="3631">
        <v>3926</v>
      </c>
      <c r="G177" s="3491">
        <v>506</v>
      </c>
      <c r="H177" s="3633">
        <v>2967</v>
      </c>
      <c r="I177" s="3633">
        <v>3490</v>
      </c>
      <c r="J177" s="3631">
        <v>3926</v>
      </c>
    </row>
    <row r="178" spans="1:10" ht="13.5">
      <c r="A178" s="3632">
        <v>8750</v>
      </c>
      <c r="B178" s="3631">
        <v>8800</v>
      </c>
      <c r="C178" s="3491">
        <v>467</v>
      </c>
      <c r="D178" s="3632">
        <v>2984</v>
      </c>
      <c r="E178" s="3633">
        <v>3510</v>
      </c>
      <c r="F178" s="3631">
        <v>3949</v>
      </c>
      <c r="G178" s="3491">
        <v>506</v>
      </c>
      <c r="H178" s="3633">
        <v>2984</v>
      </c>
      <c r="I178" s="3633">
        <v>3510</v>
      </c>
      <c r="J178" s="3631">
        <v>3949</v>
      </c>
    </row>
    <row r="179" spans="1:10" ht="13.5">
      <c r="A179" s="3632">
        <v>8800</v>
      </c>
      <c r="B179" s="3631">
        <v>8850</v>
      </c>
      <c r="C179" s="3491">
        <v>463</v>
      </c>
      <c r="D179" s="3632">
        <v>3001</v>
      </c>
      <c r="E179" s="3633">
        <v>3530</v>
      </c>
      <c r="F179" s="3631">
        <v>3971</v>
      </c>
      <c r="G179" s="3491">
        <v>506</v>
      </c>
      <c r="H179" s="3633">
        <v>3001</v>
      </c>
      <c r="I179" s="3633">
        <v>3530</v>
      </c>
      <c r="J179" s="3631">
        <v>3971</v>
      </c>
    </row>
    <row r="180" spans="1:10" ht="13.5">
      <c r="A180" s="3632">
        <v>8850</v>
      </c>
      <c r="B180" s="3631">
        <v>8900</v>
      </c>
      <c r="C180" s="3491">
        <v>459</v>
      </c>
      <c r="D180" s="3632">
        <v>3018</v>
      </c>
      <c r="E180" s="3633">
        <v>3550</v>
      </c>
      <c r="F180" s="3631">
        <v>3994</v>
      </c>
      <c r="G180" s="3491">
        <v>506</v>
      </c>
      <c r="H180" s="3633">
        <v>3018</v>
      </c>
      <c r="I180" s="3633">
        <v>3550</v>
      </c>
      <c r="J180" s="3631">
        <v>3994</v>
      </c>
    </row>
    <row r="181" spans="1:10" ht="13.5">
      <c r="A181" s="3632">
        <v>8900</v>
      </c>
      <c r="B181" s="3631">
        <v>8950</v>
      </c>
      <c r="C181" s="3491">
        <v>456</v>
      </c>
      <c r="D181" s="3632">
        <v>3035</v>
      </c>
      <c r="E181" s="3633">
        <v>3570</v>
      </c>
      <c r="F181" s="3631">
        <v>4016</v>
      </c>
      <c r="G181" s="3491">
        <v>506</v>
      </c>
      <c r="H181" s="3633">
        <v>3035</v>
      </c>
      <c r="I181" s="3633">
        <v>3570</v>
      </c>
      <c r="J181" s="3631">
        <v>4016</v>
      </c>
    </row>
    <row r="182" spans="1:10" ht="13.5">
      <c r="A182" s="3632">
        <v>8950</v>
      </c>
      <c r="B182" s="3631">
        <v>9000</v>
      </c>
      <c r="C182" s="3491">
        <v>452</v>
      </c>
      <c r="D182" s="3632">
        <v>3052</v>
      </c>
      <c r="E182" s="3633">
        <v>3590</v>
      </c>
      <c r="F182" s="3631">
        <v>4039</v>
      </c>
      <c r="G182" s="3491">
        <v>506</v>
      </c>
      <c r="H182" s="3633">
        <v>3052</v>
      </c>
      <c r="I182" s="3633">
        <v>3590</v>
      </c>
      <c r="J182" s="3631">
        <v>4039</v>
      </c>
    </row>
    <row r="183" spans="1:10" ht="13.5">
      <c r="A183" s="3632">
        <v>9000</v>
      </c>
      <c r="B183" s="3631">
        <v>9050</v>
      </c>
      <c r="C183" s="3491">
        <v>448</v>
      </c>
      <c r="D183" s="3632">
        <v>3069</v>
      </c>
      <c r="E183" s="3633">
        <v>3610</v>
      </c>
      <c r="F183" s="3631">
        <v>4061</v>
      </c>
      <c r="G183" s="3491">
        <v>506</v>
      </c>
      <c r="H183" s="3633">
        <v>3069</v>
      </c>
      <c r="I183" s="3633">
        <v>3610</v>
      </c>
      <c r="J183" s="3631">
        <v>4061</v>
      </c>
    </row>
    <row r="184" spans="1:10" ht="13.5">
      <c r="A184" s="3632">
        <v>9050</v>
      </c>
      <c r="B184" s="3631">
        <v>9100</v>
      </c>
      <c r="C184" s="3491">
        <v>444</v>
      </c>
      <c r="D184" s="3632">
        <v>3086</v>
      </c>
      <c r="E184" s="3633">
        <v>3630</v>
      </c>
      <c r="F184" s="3631">
        <v>4084</v>
      </c>
      <c r="G184" s="3491">
        <v>506</v>
      </c>
      <c r="H184" s="3633">
        <v>3086</v>
      </c>
      <c r="I184" s="3633">
        <v>3630</v>
      </c>
      <c r="J184" s="3631">
        <v>4084</v>
      </c>
    </row>
    <row r="185" spans="1:10" ht="13.5">
      <c r="A185" s="3632">
        <v>9100</v>
      </c>
      <c r="B185" s="3631">
        <v>9150</v>
      </c>
      <c r="C185" s="3491">
        <v>440</v>
      </c>
      <c r="D185" s="3632">
        <v>3103</v>
      </c>
      <c r="E185" s="3633">
        <v>3650</v>
      </c>
      <c r="F185" s="3631">
        <v>4106</v>
      </c>
      <c r="G185" s="3491">
        <v>506</v>
      </c>
      <c r="H185" s="3633">
        <v>3103</v>
      </c>
      <c r="I185" s="3633">
        <v>3650</v>
      </c>
      <c r="J185" s="3631">
        <v>4106</v>
      </c>
    </row>
    <row r="186" spans="1:10" ht="13.5">
      <c r="A186" s="3632">
        <v>9150</v>
      </c>
      <c r="B186" s="3631">
        <v>9200</v>
      </c>
      <c r="C186" s="3491">
        <v>436</v>
      </c>
      <c r="D186" s="3632">
        <v>3120</v>
      </c>
      <c r="E186" s="3633">
        <v>3670</v>
      </c>
      <c r="F186" s="3631">
        <v>4129</v>
      </c>
      <c r="G186" s="3491">
        <v>506</v>
      </c>
      <c r="H186" s="3633">
        <v>3120</v>
      </c>
      <c r="I186" s="3633">
        <v>3670</v>
      </c>
      <c r="J186" s="3631">
        <v>4129</v>
      </c>
    </row>
    <row r="187" spans="1:10" ht="13.5">
      <c r="A187" s="3632">
        <v>9200</v>
      </c>
      <c r="B187" s="3631">
        <v>9250</v>
      </c>
      <c r="C187" s="3491">
        <v>433</v>
      </c>
      <c r="D187" s="3632">
        <v>3137</v>
      </c>
      <c r="E187" s="3633">
        <v>3690</v>
      </c>
      <c r="F187" s="3631">
        <v>4151</v>
      </c>
      <c r="G187" s="3491">
        <v>506</v>
      </c>
      <c r="H187" s="3633">
        <v>3137</v>
      </c>
      <c r="I187" s="3633">
        <v>3690</v>
      </c>
      <c r="J187" s="3631">
        <v>4151</v>
      </c>
    </row>
    <row r="188" spans="1:10" ht="13.5">
      <c r="A188" s="3632">
        <v>9250</v>
      </c>
      <c r="B188" s="3631">
        <v>9300</v>
      </c>
      <c r="C188" s="3491">
        <v>429</v>
      </c>
      <c r="D188" s="3632">
        <v>3154</v>
      </c>
      <c r="E188" s="3633">
        <v>3710</v>
      </c>
      <c r="F188" s="3631">
        <v>4174</v>
      </c>
      <c r="G188" s="3491">
        <v>506</v>
      </c>
      <c r="H188" s="3633">
        <v>3154</v>
      </c>
      <c r="I188" s="3633">
        <v>3710</v>
      </c>
      <c r="J188" s="3631">
        <v>4174</v>
      </c>
    </row>
    <row r="189" spans="1:10" ht="13.5">
      <c r="A189" s="3632">
        <v>9300</v>
      </c>
      <c r="B189" s="3631">
        <v>9350</v>
      </c>
      <c r="C189" s="3491">
        <v>425</v>
      </c>
      <c r="D189" s="3632">
        <v>3171</v>
      </c>
      <c r="E189" s="3633">
        <v>3730</v>
      </c>
      <c r="F189" s="3631">
        <v>4196</v>
      </c>
      <c r="G189" s="3491">
        <v>506</v>
      </c>
      <c r="H189" s="3633">
        <v>3171</v>
      </c>
      <c r="I189" s="3633">
        <v>3730</v>
      </c>
      <c r="J189" s="3631">
        <v>4196</v>
      </c>
    </row>
    <row r="190" spans="1:10" ht="13.5">
      <c r="A190" s="3632">
        <v>9350</v>
      </c>
      <c r="B190" s="3631">
        <v>9400</v>
      </c>
      <c r="C190" s="3491">
        <v>421</v>
      </c>
      <c r="D190" s="3632">
        <v>3188</v>
      </c>
      <c r="E190" s="3633">
        <v>3750</v>
      </c>
      <c r="F190" s="3631">
        <v>4219</v>
      </c>
      <c r="G190" s="3491">
        <v>506</v>
      </c>
      <c r="H190" s="3633">
        <v>3188</v>
      </c>
      <c r="I190" s="3633">
        <v>3750</v>
      </c>
      <c r="J190" s="3631">
        <v>4219</v>
      </c>
    </row>
    <row r="191" spans="1:10" ht="13.5">
      <c r="A191" s="3632">
        <v>9400</v>
      </c>
      <c r="B191" s="3631">
        <v>9450</v>
      </c>
      <c r="C191" s="3491">
        <v>417</v>
      </c>
      <c r="D191" s="3632">
        <v>3205</v>
      </c>
      <c r="E191" s="3633">
        <v>3770</v>
      </c>
      <c r="F191" s="3631">
        <v>4241</v>
      </c>
      <c r="G191" s="3491">
        <v>506</v>
      </c>
      <c r="H191" s="3633">
        <v>3205</v>
      </c>
      <c r="I191" s="3633">
        <v>3770</v>
      </c>
      <c r="J191" s="3631">
        <v>4241</v>
      </c>
    </row>
    <row r="192" spans="1:10" ht="13.5">
      <c r="A192" s="3632">
        <v>9450</v>
      </c>
      <c r="B192" s="3631">
        <v>9500</v>
      </c>
      <c r="C192" s="3491">
        <v>413</v>
      </c>
      <c r="D192" s="3632">
        <v>3222</v>
      </c>
      <c r="E192" s="3633">
        <v>3790</v>
      </c>
      <c r="F192" s="3631">
        <v>4264</v>
      </c>
      <c r="G192" s="3491">
        <v>506</v>
      </c>
      <c r="H192" s="3633">
        <v>3222</v>
      </c>
      <c r="I192" s="3633">
        <v>3790</v>
      </c>
      <c r="J192" s="3631">
        <v>4264</v>
      </c>
    </row>
    <row r="193" spans="1:10" ht="13.5">
      <c r="A193" s="3632">
        <v>9500</v>
      </c>
      <c r="B193" s="3631">
        <v>9550</v>
      </c>
      <c r="C193" s="3491">
        <v>410</v>
      </c>
      <c r="D193" s="3632">
        <v>3239</v>
      </c>
      <c r="E193" s="3633">
        <v>3810</v>
      </c>
      <c r="F193" s="3631">
        <v>4286</v>
      </c>
      <c r="G193" s="3491">
        <v>506</v>
      </c>
      <c r="H193" s="3633">
        <v>3239</v>
      </c>
      <c r="I193" s="3633">
        <v>3810</v>
      </c>
      <c r="J193" s="3631">
        <v>4286</v>
      </c>
    </row>
    <row r="194" spans="1:10" ht="13.5">
      <c r="A194" s="3632">
        <v>9550</v>
      </c>
      <c r="B194" s="3631">
        <v>9600</v>
      </c>
      <c r="C194" s="3491">
        <v>406</v>
      </c>
      <c r="D194" s="3632">
        <v>3256</v>
      </c>
      <c r="E194" s="3633">
        <v>3830</v>
      </c>
      <c r="F194" s="3631">
        <v>4309</v>
      </c>
      <c r="G194" s="3491">
        <v>506</v>
      </c>
      <c r="H194" s="3633">
        <v>3256</v>
      </c>
      <c r="I194" s="3633">
        <v>3830</v>
      </c>
      <c r="J194" s="3631">
        <v>4309</v>
      </c>
    </row>
    <row r="195" spans="1:10" ht="13.5">
      <c r="A195" s="3632">
        <v>9600</v>
      </c>
      <c r="B195" s="3631">
        <v>9650</v>
      </c>
      <c r="C195" s="3491">
        <v>402</v>
      </c>
      <c r="D195" s="3632">
        <v>3273</v>
      </c>
      <c r="E195" s="3633">
        <v>3850</v>
      </c>
      <c r="F195" s="3631">
        <v>4331</v>
      </c>
      <c r="G195" s="3491">
        <v>506</v>
      </c>
      <c r="H195" s="3633">
        <v>3273</v>
      </c>
      <c r="I195" s="3633">
        <v>3850</v>
      </c>
      <c r="J195" s="3631">
        <v>4331</v>
      </c>
    </row>
    <row r="196" spans="1:10" ht="13.5">
      <c r="A196" s="3632">
        <v>9650</v>
      </c>
      <c r="B196" s="3631">
        <v>9700</v>
      </c>
      <c r="C196" s="3491">
        <v>398</v>
      </c>
      <c r="D196" s="3632">
        <v>3290</v>
      </c>
      <c r="E196" s="3633">
        <v>3870</v>
      </c>
      <c r="F196" s="3631">
        <v>4354</v>
      </c>
      <c r="G196" s="3491">
        <v>506</v>
      </c>
      <c r="H196" s="3633">
        <v>3290</v>
      </c>
      <c r="I196" s="3633">
        <v>3870</v>
      </c>
      <c r="J196" s="3631">
        <v>4354</v>
      </c>
    </row>
    <row r="197" spans="1:10" ht="13.5">
      <c r="A197" s="3632">
        <v>9700</v>
      </c>
      <c r="B197" s="3631">
        <v>9750</v>
      </c>
      <c r="C197" s="3491">
        <v>394</v>
      </c>
      <c r="D197" s="3632">
        <v>3307</v>
      </c>
      <c r="E197" s="3633">
        <v>3890</v>
      </c>
      <c r="F197" s="3631">
        <v>4376</v>
      </c>
      <c r="G197" s="3491">
        <v>506</v>
      </c>
      <c r="H197" s="3633">
        <v>3307</v>
      </c>
      <c r="I197" s="3633">
        <v>3890</v>
      </c>
      <c r="J197" s="3631">
        <v>4376</v>
      </c>
    </row>
    <row r="198" spans="1:10" ht="13.5">
      <c r="A198" s="3632">
        <v>9750</v>
      </c>
      <c r="B198" s="3631">
        <v>9800</v>
      </c>
      <c r="C198" s="3491">
        <v>391</v>
      </c>
      <c r="D198" s="3632">
        <v>3324</v>
      </c>
      <c r="E198" s="3633">
        <v>3910</v>
      </c>
      <c r="F198" s="3631">
        <v>4399</v>
      </c>
      <c r="G198" s="3491">
        <v>506</v>
      </c>
      <c r="H198" s="3633">
        <v>3324</v>
      </c>
      <c r="I198" s="3633">
        <v>3910</v>
      </c>
      <c r="J198" s="3631">
        <v>4399</v>
      </c>
    </row>
    <row r="199" spans="1:10" ht="13.5">
      <c r="A199" s="3632">
        <v>9800</v>
      </c>
      <c r="B199" s="3631">
        <v>9850</v>
      </c>
      <c r="C199" s="3491">
        <v>387</v>
      </c>
      <c r="D199" s="3632">
        <v>3341</v>
      </c>
      <c r="E199" s="3633">
        <v>3930</v>
      </c>
      <c r="F199" s="3631">
        <v>4421</v>
      </c>
      <c r="G199" s="3491">
        <v>506</v>
      </c>
      <c r="H199" s="3633">
        <v>3341</v>
      </c>
      <c r="I199" s="3633">
        <v>3930</v>
      </c>
      <c r="J199" s="3631">
        <v>4421</v>
      </c>
    </row>
    <row r="200" spans="1:10" ht="13.5">
      <c r="A200" s="3632">
        <v>9850</v>
      </c>
      <c r="B200" s="3631">
        <v>9900</v>
      </c>
      <c r="C200" s="3491">
        <v>383</v>
      </c>
      <c r="D200" s="3632">
        <v>3358</v>
      </c>
      <c r="E200" s="3633">
        <v>3950</v>
      </c>
      <c r="F200" s="3631">
        <v>4444</v>
      </c>
      <c r="G200" s="3491">
        <v>506</v>
      </c>
      <c r="H200" s="3633">
        <v>3358</v>
      </c>
      <c r="I200" s="3633">
        <v>3950</v>
      </c>
      <c r="J200" s="3631">
        <v>4444</v>
      </c>
    </row>
    <row r="201" spans="1:10" ht="13.5">
      <c r="A201" s="3632">
        <v>9900</v>
      </c>
      <c r="B201" s="3631">
        <v>9950</v>
      </c>
      <c r="C201" s="3491">
        <v>379</v>
      </c>
      <c r="D201" s="3632">
        <v>3373</v>
      </c>
      <c r="E201" s="3633">
        <v>3970</v>
      </c>
      <c r="F201" s="3631">
        <v>4466</v>
      </c>
      <c r="G201" s="3491">
        <v>506</v>
      </c>
      <c r="H201" s="3633">
        <v>3373</v>
      </c>
      <c r="I201" s="3633">
        <v>3970</v>
      </c>
      <c r="J201" s="3631">
        <v>4466</v>
      </c>
    </row>
    <row r="202" spans="1:10" ht="13.5">
      <c r="A202" s="3632">
        <v>9950</v>
      </c>
      <c r="B202" s="3631">
        <v>10000</v>
      </c>
      <c r="C202" s="3491">
        <v>375</v>
      </c>
      <c r="D202" s="3632">
        <v>3373</v>
      </c>
      <c r="E202" s="3633">
        <v>3990</v>
      </c>
      <c r="F202" s="3631">
        <v>4489</v>
      </c>
      <c r="G202" s="3491">
        <v>506</v>
      </c>
      <c r="H202" s="3633">
        <v>3373</v>
      </c>
      <c r="I202" s="3633">
        <v>3990</v>
      </c>
      <c r="J202" s="3631">
        <v>4489</v>
      </c>
    </row>
    <row r="203" spans="1:10" ht="13.5">
      <c r="A203" s="3632">
        <v>10000</v>
      </c>
      <c r="B203" s="3631">
        <v>10050</v>
      </c>
      <c r="C203" s="3491">
        <v>371</v>
      </c>
      <c r="D203" s="3632">
        <v>3373</v>
      </c>
      <c r="E203" s="3633">
        <v>4010</v>
      </c>
      <c r="F203" s="3631">
        <v>4511</v>
      </c>
      <c r="G203" s="3491">
        <v>506</v>
      </c>
      <c r="H203" s="3633">
        <v>3373</v>
      </c>
      <c r="I203" s="3633">
        <v>4010</v>
      </c>
      <c r="J203" s="3631">
        <v>4511</v>
      </c>
    </row>
    <row r="204" spans="1:10" ht="13.5">
      <c r="A204" s="3632">
        <v>10050</v>
      </c>
      <c r="B204" s="3631">
        <v>10100</v>
      </c>
      <c r="C204" s="3491">
        <v>368</v>
      </c>
      <c r="D204" s="3632">
        <v>3373</v>
      </c>
      <c r="E204" s="3633">
        <v>4030</v>
      </c>
      <c r="F204" s="3631">
        <v>4534</v>
      </c>
      <c r="G204" s="3491">
        <v>506</v>
      </c>
      <c r="H204" s="3633">
        <v>3373</v>
      </c>
      <c r="I204" s="3633">
        <v>4030</v>
      </c>
      <c r="J204" s="3631">
        <v>4534</v>
      </c>
    </row>
    <row r="205" spans="1:10" ht="13.5">
      <c r="A205" s="3632">
        <v>10100</v>
      </c>
      <c r="B205" s="3631">
        <v>10150</v>
      </c>
      <c r="C205" s="3491">
        <v>364</v>
      </c>
      <c r="D205" s="3632">
        <v>3373</v>
      </c>
      <c r="E205" s="3633">
        <v>4050</v>
      </c>
      <c r="F205" s="3631">
        <v>4556</v>
      </c>
      <c r="G205" s="3491">
        <v>506</v>
      </c>
      <c r="H205" s="3633">
        <v>3373</v>
      </c>
      <c r="I205" s="3633">
        <v>4050</v>
      </c>
      <c r="J205" s="3631">
        <v>4556</v>
      </c>
    </row>
    <row r="206" spans="1:10" ht="13.5">
      <c r="A206" s="3632">
        <v>10150</v>
      </c>
      <c r="B206" s="3631">
        <v>10200</v>
      </c>
      <c r="C206" s="3491">
        <v>360</v>
      </c>
      <c r="D206" s="3632">
        <v>3373</v>
      </c>
      <c r="E206" s="3633">
        <v>4070</v>
      </c>
      <c r="F206" s="3631">
        <v>4579</v>
      </c>
      <c r="G206" s="3491">
        <v>506</v>
      </c>
      <c r="H206" s="3633">
        <v>3373</v>
      </c>
      <c r="I206" s="3633">
        <v>4070</v>
      </c>
      <c r="J206" s="3631">
        <v>4579</v>
      </c>
    </row>
    <row r="207" spans="1:10" ht="13.5">
      <c r="A207" s="3632">
        <v>10200</v>
      </c>
      <c r="B207" s="3631">
        <v>10250</v>
      </c>
      <c r="C207" s="3491">
        <v>356</v>
      </c>
      <c r="D207" s="3632">
        <v>3373</v>
      </c>
      <c r="E207" s="3633">
        <v>4090</v>
      </c>
      <c r="F207" s="3631">
        <v>4601</v>
      </c>
      <c r="G207" s="3491">
        <v>506</v>
      </c>
      <c r="H207" s="3633">
        <v>3373</v>
      </c>
      <c r="I207" s="3633">
        <v>4090</v>
      </c>
      <c r="J207" s="3631">
        <v>4601</v>
      </c>
    </row>
    <row r="208" spans="1:10" ht="13.5">
      <c r="A208" s="3632">
        <v>10250</v>
      </c>
      <c r="B208" s="3631">
        <v>10300</v>
      </c>
      <c r="C208" s="3491">
        <v>352</v>
      </c>
      <c r="D208" s="3632">
        <v>3373</v>
      </c>
      <c r="E208" s="3633">
        <v>4110</v>
      </c>
      <c r="F208" s="3631">
        <v>4624</v>
      </c>
      <c r="G208" s="3491">
        <v>506</v>
      </c>
      <c r="H208" s="3633">
        <v>3373</v>
      </c>
      <c r="I208" s="3633">
        <v>4110</v>
      </c>
      <c r="J208" s="3631">
        <v>4624</v>
      </c>
    </row>
    <row r="209" spans="1:10" ht="13.5">
      <c r="A209" s="3632">
        <v>10300</v>
      </c>
      <c r="B209" s="3631">
        <v>10350</v>
      </c>
      <c r="C209" s="3491">
        <v>348</v>
      </c>
      <c r="D209" s="3632">
        <v>3373</v>
      </c>
      <c r="E209" s="3633">
        <v>4130</v>
      </c>
      <c r="F209" s="3631">
        <v>4646</v>
      </c>
      <c r="G209" s="3491">
        <v>506</v>
      </c>
      <c r="H209" s="3633">
        <v>3373</v>
      </c>
      <c r="I209" s="3633">
        <v>4130</v>
      </c>
      <c r="J209" s="3631">
        <v>4646</v>
      </c>
    </row>
    <row r="210" spans="1:10" ht="13.5">
      <c r="A210" s="3632">
        <v>10350</v>
      </c>
      <c r="B210" s="3631">
        <v>10400</v>
      </c>
      <c r="C210" s="3491">
        <v>345</v>
      </c>
      <c r="D210" s="3632">
        <v>3373</v>
      </c>
      <c r="E210" s="3633">
        <v>4150</v>
      </c>
      <c r="F210" s="3631">
        <v>4669</v>
      </c>
      <c r="G210" s="3491">
        <v>506</v>
      </c>
      <c r="H210" s="3633">
        <v>3373</v>
      </c>
      <c r="I210" s="3633">
        <v>4150</v>
      </c>
      <c r="J210" s="3631">
        <v>4669</v>
      </c>
    </row>
    <row r="211" spans="1:10" ht="13.5">
      <c r="A211" s="3632">
        <v>10400</v>
      </c>
      <c r="B211" s="3631">
        <v>10450</v>
      </c>
      <c r="C211" s="3491">
        <v>341</v>
      </c>
      <c r="D211" s="3632">
        <v>3373</v>
      </c>
      <c r="E211" s="3633">
        <v>4170</v>
      </c>
      <c r="F211" s="3631">
        <v>4691</v>
      </c>
      <c r="G211" s="3491">
        <v>506</v>
      </c>
      <c r="H211" s="3633">
        <v>3373</v>
      </c>
      <c r="I211" s="3633">
        <v>4170</v>
      </c>
      <c r="J211" s="3631">
        <v>4691</v>
      </c>
    </row>
    <row r="212" spans="1:10" ht="13.5">
      <c r="A212" s="3632">
        <v>10450</v>
      </c>
      <c r="B212" s="3631">
        <v>10500</v>
      </c>
      <c r="C212" s="3491">
        <v>337</v>
      </c>
      <c r="D212" s="3632">
        <v>3373</v>
      </c>
      <c r="E212" s="3633">
        <v>4190</v>
      </c>
      <c r="F212" s="3631">
        <v>4714</v>
      </c>
      <c r="G212" s="3491">
        <v>506</v>
      </c>
      <c r="H212" s="3633">
        <v>3373</v>
      </c>
      <c r="I212" s="3633">
        <v>4190</v>
      </c>
      <c r="J212" s="3631">
        <v>4714</v>
      </c>
    </row>
    <row r="213" spans="1:10" ht="13.5">
      <c r="A213" s="3632">
        <v>10500</v>
      </c>
      <c r="B213" s="3631">
        <v>10550</v>
      </c>
      <c r="C213" s="3491">
        <v>333</v>
      </c>
      <c r="D213" s="3632">
        <v>3373</v>
      </c>
      <c r="E213" s="3633">
        <v>4210</v>
      </c>
      <c r="F213" s="3631">
        <v>4736</v>
      </c>
      <c r="G213" s="3491">
        <v>506</v>
      </c>
      <c r="H213" s="3633">
        <v>3373</v>
      </c>
      <c r="I213" s="3633">
        <v>4210</v>
      </c>
      <c r="J213" s="3631">
        <v>4736</v>
      </c>
    </row>
    <row r="214" spans="1:10" ht="13.5">
      <c r="A214" s="3632">
        <v>10550</v>
      </c>
      <c r="B214" s="3631">
        <v>10600</v>
      </c>
      <c r="C214" s="3491">
        <v>329</v>
      </c>
      <c r="D214" s="3632">
        <v>3373</v>
      </c>
      <c r="E214" s="3633">
        <v>4230</v>
      </c>
      <c r="F214" s="3631">
        <v>4759</v>
      </c>
      <c r="G214" s="3491">
        <v>506</v>
      </c>
      <c r="H214" s="3633">
        <v>3373</v>
      </c>
      <c r="I214" s="3633">
        <v>4230</v>
      </c>
      <c r="J214" s="3631">
        <v>4759</v>
      </c>
    </row>
    <row r="215" spans="1:10" ht="13.5">
      <c r="A215" s="3632">
        <v>10600</v>
      </c>
      <c r="B215" s="3631">
        <v>10650</v>
      </c>
      <c r="C215" s="3491">
        <v>326</v>
      </c>
      <c r="D215" s="3632">
        <v>3373</v>
      </c>
      <c r="E215" s="3633">
        <v>4250</v>
      </c>
      <c r="F215" s="3631">
        <v>4781</v>
      </c>
      <c r="G215" s="3491">
        <v>506</v>
      </c>
      <c r="H215" s="3633">
        <v>3373</v>
      </c>
      <c r="I215" s="3633">
        <v>4250</v>
      </c>
      <c r="J215" s="3631">
        <v>4781</v>
      </c>
    </row>
    <row r="216" spans="1:10" ht="13.5">
      <c r="A216" s="3632">
        <v>10650</v>
      </c>
      <c r="B216" s="3631">
        <v>10700</v>
      </c>
      <c r="C216" s="3491">
        <v>322</v>
      </c>
      <c r="D216" s="3632">
        <v>3373</v>
      </c>
      <c r="E216" s="3633">
        <v>4270</v>
      </c>
      <c r="F216" s="3631">
        <v>4804</v>
      </c>
      <c r="G216" s="3491">
        <v>506</v>
      </c>
      <c r="H216" s="3633">
        <v>3373</v>
      </c>
      <c r="I216" s="3633">
        <v>4270</v>
      </c>
      <c r="J216" s="3631">
        <v>4804</v>
      </c>
    </row>
    <row r="217" spans="1:10" ht="13.5">
      <c r="A217" s="3632">
        <v>10700</v>
      </c>
      <c r="B217" s="3631">
        <v>10750</v>
      </c>
      <c r="C217" s="3491">
        <v>318</v>
      </c>
      <c r="D217" s="3632">
        <v>3373</v>
      </c>
      <c r="E217" s="3633">
        <v>4290</v>
      </c>
      <c r="F217" s="3631">
        <v>4826</v>
      </c>
      <c r="G217" s="3491">
        <v>506</v>
      </c>
      <c r="H217" s="3633">
        <v>3373</v>
      </c>
      <c r="I217" s="3633">
        <v>4290</v>
      </c>
      <c r="J217" s="3631">
        <v>4826</v>
      </c>
    </row>
    <row r="218" spans="1:10" ht="13.5">
      <c r="A218" s="3632">
        <v>10750</v>
      </c>
      <c r="B218" s="3631">
        <v>10800</v>
      </c>
      <c r="C218" s="3491">
        <v>314</v>
      </c>
      <c r="D218" s="3632">
        <v>3373</v>
      </c>
      <c r="E218" s="3633">
        <v>4310</v>
      </c>
      <c r="F218" s="3631">
        <v>4849</v>
      </c>
      <c r="G218" s="3491">
        <v>506</v>
      </c>
      <c r="H218" s="3633">
        <v>3373</v>
      </c>
      <c r="I218" s="3633">
        <v>4310</v>
      </c>
      <c r="J218" s="3631">
        <v>4849</v>
      </c>
    </row>
    <row r="219" spans="1:10" ht="13.5">
      <c r="A219" s="3632">
        <v>10800</v>
      </c>
      <c r="B219" s="3631">
        <v>10850</v>
      </c>
      <c r="C219" s="3491">
        <v>310</v>
      </c>
      <c r="D219" s="3632">
        <v>3373</v>
      </c>
      <c r="E219" s="3633">
        <v>4330</v>
      </c>
      <c r="F219" s="3631">
        <v>4871</v>
      </c>
      <c r="G219" s="3491">
        <v>506</v>
      </c>
      <c r="H219" s="3633">
        <v>3373</v>
      </c>
      <c r="I219" s="3633">
        <v>4330</v>
      </c>
      <c r="J219" s="3631">
        <v>4871</v>
      </c>
    </row>
    <row r="220" spans="1:10" ht="13.5">
      <c r="A220" s="3632">
        <v>10850</v>
      </c>
      <c r="B220" s="3631">
        <v>10900</v>
      </c>
      <c r="C220" s="3491">
        <v>306</v>
      </c>
      <c r="D220" s="3632">
        <v>3373</v>
      </c>
      <c r="E220" s="3633">
        <v>4350</v>
      </c>
      <c r="F220" s="3631">
        <v>4894</v>
      </c>
      <c r="G220" s="3491">
        <v>506</v>
      </c>
      <c r="H220" s="3633">
        <v>3373</v>
      </c>
      <c r="I220" s="3633">
        <v>4350</v>
      </c>
      <c r="J220" s="3631">
        <v>4894</v>
      </c>
    </row>
    <row r="221" spans="1:10" ht="13.5">
      <c r="A221" s="3632">
        <v>10900</v>
      </c>
      <c r="B221" s="3631">
        <v>10950</v>
      </c>
      <c r="C221" s="3491">
        <v>303</v>
      </c>
      <c r="D221" s="3632">
        <v>3373</v>
      </c>
      <c r="E221" s="3633">
        <v>4370</v>
      </c>
      <c r="F221" s="3631">
        <v>4916</v>
      </c>
      <c r="G221" s="3491">
        <v>506</v>
      </c>
      <c r="H221" s="3633">
        <v>3373</v>
      </c>
      <c r="I221" s="3633">
        <v>4370</v>
      </c>
      <c r="J221" s="3631">
        <v>4916</v>
      </c>
    </row>
    <row r="222" spans="1:10" ht="13.5">
      <c r="A222" s="3632">
        <v>10950</v>
      </c>
      <c r="B222" s="3631">
        <v>11000</v>
      </c>
      <c r="C222" s="3491">
        <v>299</v>
      </c>
      <c r="D222" s="3632">
        <v>3373</v>
      </c>
      <c r="E222" s="3633">
        <v>4390</v>
      </c>
      <c r="F222" s="3631">
        <v>4939</v>
      </c>
      <c r="G222" s="3491">
        <v>506</v>
      </c>
      <c r="H222" s="3633">
        <v>3373</v>
      </c>
      <c r="I222" s="3633">
        <v>4390</v>
      </c>
      <c r="J222" s="3631">
        <v>4939</v>
      </c>
    </row>
    <row r="223" spans="1:10" ht="13.5">
      <c r="A223" s="3632">
        <v>11000</v>
      </c>
      <c r="B223" s="3631">
        <v>11050</v>
      </c>
      <c r="C223" s="3491">
        <v>295</v>
      </c>
      <c r="D223" s="3632">
        <v>3373</v>
      </c>
      <c r="E223" s="3633">
        <v>4410</v>
      </c>
      <c r="F223" s="3631">
        <v>4961</v>
      </c>
      <c r="G223" s="3491">
        <v>506</v>
      </c>
      <c r="H223" s="3633">
        <v>3373</v>
      </c>
      <c r="I223" s="3633">
        <v>4410</v>
      </c>
      <c r="J223" s="3631">
        <v>4961</v>
      </c>
    </row>
    <row r="224" spans="1:10" ht="13.5">
      <c r="A224" s="3632">
        <v>11050</v>
      </c>
      <c r="B224" s="3631">
        <v>11100</v>
      </c>
      <c r="C224" s="3491">
        <v>291</v>
      </c>
      <c r="D224" s="3632">
        <v>3373</v>
      </c>
      <c r="E224" s="3633">
        <v>4430</v>
      </c>
      <c r="F224" s="3631">
        <v>4984</v>
      </c>
      <c r="G224" s="3491">
        <v>506</v>
      </c>
      <c r="H224" s="3633">
        <v>3373</v>
      </c>
      <c r="I224" s="3633">
        <v>4430</v>
      </c>
      <c r="J224" s="3631">
        <v>4984</v>
      </c>
    </row>
    <row r="225" spans="1:10" ht="13.5">
      <c r="A225" s="3632">
        <v>11100</v>
      </c>
      <c r="B225" s="3631">
        <v>11150</v>
      </c>
      <c r="C225" s="3491">
        <v>287</v>
      </c>
      <c r="D225" s="3632">
        <v>3373</v>
      </c>
      <c r="E225" s="3633">
        <v>4450</v>
      </c>
      <c r="F225" s="3631">
        <v>5006</v>
      </c>
      <c r="G225" s="3491">
        <v>506</v>
      </c>
      <c r="H225" s="3633">
        <v>3373</v>
      </c>
      <c r="I225" s="3633">
        <v>4450</v>
      </c>
      <c r="J225" s="3631">
        <v>5006</v>
      </c>
    </row>
    <row r="226" spans="1:10" ht="13.5">
      <c r="A226" s="3632">
        <v>11150</v>
      </c>
      <c r="B226" s="3631">
        <v>11200</v>
      </c>
      <c r="C226" s="3491">
        <v>283</v>
      </c>
      <c r="D226" s="3632">
        <v>3373</v>
      </c>
      <c r="E226" s="3633">
        <v>4470</v>
      </c>
      <c r="F226" s="3631">
        <v>5029</v>
      </c>
      <c r="G226" s="3491">
        <v>506</v>
      </c>
      <c r="H226" s="3633">
        <v>3373</v>
      </c>
      <c r="I226" s="3633">
        <v>4470</v>
      </c>
      <c r="J226" s="3631">
        <v>5029</v>
      </c>
    </row>
    <row r="227" spans="1:10" ht="13.5">
      <c r="A227" s="3632">
        <v>11200</v>
      </c>
      <c r="B227" s="3631">
        <v>11250</v>
      </c>
      <c r="C227" s="3491">
        <v>280</v>
      </c>
      <c r="D227" s="3632">
        <v>3373</v>
      </c>
      <c r="E227" s="3633">
        <v>4490</v>
      </c>
      <c r="F227" s="3631">
        <v>5051</v>
      </c>
      <c r="G227" s="3491">
        <v>506</v>
      </c>
      <c r="H227" s="3633">
        <v>3373</v>
      </c>
      <c r="I227" s="3633">
        <v>4490</v>
      </c>
      <c r="J227" s="3631">
        <v>5051</v>
      </c>
    </row>
    <row r="228" spans="1:10" ht="13.5">
      <c r="A228" s="3632">
        <v>11250</v>
      </c>
      <c r="B228" s="3631">
        <v>11300</v>
      </c>
      <c r="C228" s="3491">
        <v>276</v>
      </c>
      <c r="D228" s="3632">
        <v>3373</v>
      </c>
      <c r="E228" s="3633">
        <v>4510</v>
      </c>
      <c r="F228" s="3631">
        <v>5074</v>
      </c>
      <c r="G228" s="3491">
        <v>506</v>
      </c>
      <c r="H228" s="3633">
        <v>3373</v>
      </c>
      <c r="I228" s="3633">
        <v>4510</v>
      </c>
      <c r="J228" s="3631">
        <v>5074</v>
      </c>
    </row>
    <row r="229" spans="1:10" ht="13.5">
      <c r="A229" s="3632">
        <v>11300</v>
      </c>
      <c r="B229" s="3631">
        <v>11350</v>
      </c>
      <c r="C229" s="3491">
        <v>272</v>
      </c>
      <c r="D229" s="3632">
        <v>3373</v>
      </c>
      <c r="E229" s="3633">
        <v>4530</v>
      </c>
      <c r="F229" s="3631">
        <v>5096</v>
      </c>
      <c r="G229" s="3491">
        <v>506</v>
      </c>
      <c r="H229" s="3633">
        <v>3373</v>
      </c>
      <c r="I229" s="3633">
        <v>4530</v>
      </c>
      <c r="J229" s="3631">
        <v>5096</v>
      </c>
    </row>
    <row r="230" spans="1:10" ht="13.5">
      <c r="A230" s="3632">
        <v>11350</v>
      </c>
      <c r="B230" s="3631">
        <v>11400</v>
      </c>
      <c r="C230" s="3491">
        <v>268</v>
      </c>
      <c r="D230" s="3632">
        <v>3373</v>
      </c>
      <c r="E230" s="3633">
        <v>4550</v>
      </c>
      <c r="F230" s="3631">
        <v>5119</v>
      </c>
      <c r="G230" s="3491">
        <v>506</v>
      </c>
      <c r="H230" s="3633">
        <v>3373</v>
      </c>
      <c r="I230" s="3633">
        <v>4550</v>
      </c>
      <c r="J230" s="3631">
        <v>5119</v>
      </c>
    </row>
    <row r="231" spans="1:10" ht="13.5">
      <c r="A231" s="3632">
        <v>11400</v>
      </c>
      <c r="B231" s="3631">
        <v>11450</v>
      </c>
      <c r="C231" s="3491">
        <v>264</v>
      </c>
      <c r="D231" s="3632">
        <v>3373</v>
      </c>
      <c r="E231" s="3633">
        <v>4570</v>
      </c>
      <c r="F231" s="3631">
        <v>5141</v>
      </c>
      <c r="G231" s="3491">
        <v>506</v>
      </c>
      <c r="H231" s="3633">
        <v>3373</v>
      </c>
      <c r="I231" s="3633">
        <v>4570</v>
      </c>
      <c r="J231" s="3631">
        <v>5141</v>
      </c>
    </row>
    <row r="232" spans="1:10" ht="13.5">
      <c r="A232" s="3632">
        <v>11450</v>
      </c>
      <c r="B232" s="3631">
        <v>11500</v>
      </c>
      <c r="C232" s="3491">
        <v>260</v>
      </c>
      <c r="D232" s="3632">
        <v>3373</v>
      </c>
      <c r="E232" s="3633">
        <v>4590</v>
      </c>
      <c r="F232" s="3631">
        <v>5164</v>
      </c>
      <c r="G232" s="3491">
        <v>506</v>
      </c>
      <c r="H232" s="3633">
        <v>3373</v>
      </c>
      <c r="I232" s="3633">
        <v>4590</v>
      </c>
      <c r="J232" s="3631">
        <v>5164</v>
      </c>
    </row>
    <row r="233" spans="1:10" ht="13.5">
      <c r="A233" s="3632">
        <v>11500</v>
      </c>
      <c r="B233" s="3631">
        <v>11550</v>
      </c>
      <c r="C233" s="3491">
        <v>257</v>
      </c>
      <c r="D233" s="3632">
        <v>3373</v>
      </c>
      <c r="E233" s="3633">
        <v>4610</v>
      </c>
      <c r="F233" s="3631">
        <v>5186</v>
      </c>
      <c r="G233" s="3491">
        <v>506</v>
      </c>
      <c r="H233" s="3633">
        <v>3373</v>
      </c>
      <c r="I233" s="3633">
        <v>4610</v>
      </c>
      <c r="J233" s="3631">
        <v>5186</v>
      </c>
    </row>
    <row r="234" spans="1:10" ht="13.5">
      <c r="A234" s="3632">
        <v>11550</v>
      </c>
      <c r="B234" s="3631">
        <v>11600</v>
      </c>
      <c r="C234" s="3491">
        <v>253</v>
      </c>
      <c r="D234" s="3632">
        <v>3373</v>
      </c>
      <c r="E234" s="3633">
        <v>4630</v>
      </c>
      <c r="F234" s="3631">
        <v>5209</v>
      </c>
      <c r="G234" s="3491">
        <v>506</v>
      </c>
      <c r="H234" s="3633">
        <v>3373</v>
      </c>
      <c r="I234" s="3633">
        <v>4630</v>
      </c>
      <c r="J234" s="3631">
        <v>5209</v>
      </c>
    </row>
    <row r="235" spans="1:10" ht="13.5">
      <c r="A235" s="3632">
        <v>11600</v>
      </c>
      <c r="B235" s="3631">
        <v>11650</v>
      </c>
      <c r="C235" s="3491">
        <v>249</v>
      </c>
      <c r="D235" s="3632">
        <v>3373</v>
      </c>
      <c r="E235" s="3633">
        <v>4650</v>
      </c>
      <c r="F235" s="3631">
        <v>5231</v>
      </c>
      <c r="G235" s="3491">
        <v>506</v>
      </c>
      <c r="H235" s="3633">
        <v>3373</v>
      </c>
      <c r="I235" s="3633">
        <v>4650</v>
      </c>
      <c r="J235" s="3631">
        <v>5231</v>
      </c>
    </row>
    <row r="236" spans="1:10" ht="13.5">
      <c r="A236" s="3632">
        <v>11650</v>
      </c>
      <c r="B236" s="3631">
        <v>11700</v>
      </c>
      <c r="C236" s="3491">
        <v>245</v>
      </c>
      <c r="D236" s="3632">
        <v>3373</v>
      </c>
      <c r="E236" s="3633">
        <v>4670</v>
      </c>
      <c r="F236" s="3631">
        <v>5254</v>
      </c>
      <c r="G236" s="3491">
        <v>506</v>
      </c>
      <c r="H236" s="3633">
        <v>3373</v>
      </c>
      <c r="I236" s="3633">
        <v>4670</v>
      </c>
      <c r="J236" s="3631">
        <v>5254</v>
      </c>
    </row>
    <row r="237" spans="1:10" ht="13.5">
      <c r="A237" s="3632">
        <v>11700</v>
      </c>
      <c r="B237" s="3631">
        <v>11750</v>
      </c>
      <c r="C237" s="3491">
        <v>241</v>
      </c>
      <c r="D237" s="3632">
        <v>3373</v>
      </c>
      <c r="E237" s="3633">
        <v>4690</v>
      </c>
      <c r="F237" s="3631">
        <v>5276</v>
      </c>
      <c r="G237" s="3491">
        <v>506</v>
      </c>
      <c r="H237" s="3633">
        <v>3373</v>
      </c>
      <c r="I237" s="3633">
        <v>4690</v>
      </c>
      <c r="J237" s="3631">
        <v>5276</v>
      </c>
    </row>
    <row r="238" spans="1:10" ht="13.5">
      <c r="A238" s="3632">
        <v>11750</v>
      </c>
      <c r="B238" s="3631">
        <v>11800</v>
      </c>
      <c r="C238" s="3491">
        <v>238</v>
      </c>
      <c r="D238" s="3632">
        <v>3373</v>
      </c>
      <c r="E238" s="3633">
        <v>4710</v>
      </c>
      <c r="F238" s="3631">
        <v>5299</v>
      </c>
      <c r="G238" s="3491">
        <v>506</v>
      </c>
      <c r="H238" s="3633">
        <v>3373</v>
      </c>
      <c r="I238" s="3633">
        <v>4710</v>
      </c>
      <c r="J238" s="3631">
        <v>5299</v>
      </c>
    </row>
    <row r="239" spans="1:10" ht="13.5">
      <c r="A239" s="3632">
        <v>11800</v>
      </c>
      <c r="B239" s="3631">
        <v>11850</v>
      </c>
      <c r="C239" s="3491">
        <v>234</v>
      </c>
      <c r="D239" s="3632">
        <v>3373</v>
      </c>
      <c r="E239" s="3633">
        <v>4730</v>
      </c>
      <c r="F239" s="3631">
        <v>5321</v>
      </c>
      <c r="G239" s="3491">
        <v>506</v>
      </c>
      <c r="H239" s="3633">
        <v>3373</v>
      </c>
      <c r="I239" s="3633">
        <v>4730</v>
      </c>
      <c r="J239" s="3631">
        <v>5321</v>
      </c>
    </row>
    <row r="240" spans="1:10" ht="13.5">
      <c r="A240" s="3632">
        <v>11850</v>
      </c>
      <c r="B240" s="3631">
        <v>11900</v>
      </c>
      <c r="C240" s="3491">
        <v>230</v>
      </c>
      <c r="D240" s="3632">
        <v>3373</v>
      </c>
      <c r="E240" s="3633">
        <v>4750</v>
      </c>
      <c r="F240" s="3631">
        <v>5344</v>
      </c>
      <c r="G240" s="3491">
        <v>506</v>
      </c>
      <c r="H240" s="3633">
        <v>3373</v>
      </c>
      <c r="I240" s="3633">
        <v>4750</v>
      </c>
      <c r="J240" s="3631">
        <v>5344</v>
      </c>
    </row>
    <row r="241" spans="1:10" ht="13.5">
      <c r="A241" s="3632">
        <v>11900</v>
      </c>
      <c r="B241" s="3631">
        <v>11950</v>
      </c>
      <c r="C241" s="3491">
        <v>226</v>
      </c>
      <c r="D241" s="3632">
        <v>3373</v>
      </c>
      <c r="E241" s="3633">
        <v>4770</v>
      </c>
      <c r="F241" s="3631">
        <v>5366</v>
      </c>
      <c r="G241" s="3491">
        <v>506</v>
      </c>
      <c r="H241" s="3633">
        <v>3373</v>
      </c>
      <c r="I241" s="3633">
        <v>4770</v>
      </c>
      <c r="J241" s="3631">
        <v>5366</v>
      </c>
    </row>
    <row r="242" spans="1:10" ht="13.5">
      <c r="A242" s="3632">
        <v>11950</v>
      </c>
      <c r="B242" s="3631">
        <v>12000</v>
      </c>
      <c r="C242" s="3491">
        <v>222</v>
      </c>
      <c r="D242" s="3632">
        <v>3373</v>
      </c>
      <c r="E242" s="3633">
        <v>4790</v>
      </c>
      <c r="F242" s="3631">
        <v>5389</v>
      </c>
      <c r="G242" s="3491">
        <v>506</v>
      </c>
      <c r="H242" s="3633">
        <v>3373</v>
      </c>
      <c r="I242" s="3633">
        <v>4790</v>
      </c>
      <c r="J242" s="3631">
        <v>5389</v>
      </c>
    </row>
    <row r="243" spans="1:10" ht="13.5">
      <c r="A243" s="3632">
        <v>12000</v>
      </c>
      <c r="B243" s="3631">
        <v>12050</v>
      </c>
      <c r="C243" s="3491">
        <v>218</v>
      </c>
      <c r="D243" s="3632">
        <v>3373</v>
      </c>
      <c r="E243" s="3633">
        <v>4810</v>
      </c>
      <c r="F243" s="3631">
        <v>5411</v>
      </c>
      <c r="G243" s="3491">
        <v>506</v>
      </c>
      <c r="H243" s="3633">
        <v>3373</v>
      </c>
      <c r="I243" s="3633">
        <v>4810</v>
      </c>
      <c r="J243" s="3631">
        <v>5411</v>
      </c>
    </row>
    <row r="244" spans="1:10" ht="13.5">
      <c r="A244" s="3632">
        <v>12050</v>
      </c>
      <c r="B244" s="3631">
        <v>12100</v>
      </c>
      <c r="C244" s="3491">
        <v>215</v>
      </c>
      <c r="D244" s="3632">
        <v>3373</v>
      </c>
      <c r="E244" s="3633">
        <v>4830</v>
      </c>
      <c r="F244" s="3631">
        <v>5434</v>
      </c>
      <c r="G244" s="3491">
        <v>506</v>
      </c>
      <c r="H244" s="3633">
        <v>3373</v>
      </c>
      <c r="I244" s="3633">
        <v>4830</v>
      </c>
      <c r="J244" s="3631">
        <v>5434</v>
      </c>
    </row>
    <row r="245" spans="1:10" ht="13.5">
      <c r="A245" s="3632">
        <v>12100</v>
      </c>
      <c r="B245" s="3631">
        <v>12150</v>
      </c>
      <c r="C245" s="3491">
        <v>211</v>
      </c>
      <c r="D245" s="3632">
        <v>3373</v>
      </c>
      <c r="E245" s="3633">
        <v>4850</v>
      </c>
      <c r="F245" s="3631">
        <v>5456</v>
      </c>
      <c r="G245" s="3491">
        <v>506</v>
      </c>
      <c r="H245" s="3633">
        <v>3373</v>
      </c>
      <c r="I245" s="3633">
        <v>4850</v>
      </c>
      <c r="J245" s="3631">
        <v>5456</v>
      </c>
    </row>
    <row r="246" spans="1:10" ht="13.5">
      <c r="A246" s="3632">
        <v>12150</v>
      </c>
      <c r="B246" s="3631">
        <v>12200</v>
      </c>
      <c r="C246" s="3491">
        <v>207</v>
      </c>
      <c r="D246" s="3632">
        <v>3373</v>
      </c>
      <c r="E246" s="3633">
        <v>4870</v>
      </c>
      <c r="F246" s="3631">
        <v>5479</v>
      </c>
      <c r="G246" s="3491">
        <v>506</v>
      </c>
      <c r="H246" s="3633">
        <v>3373</v>
      </c>
      <c r="I246" s="3633">
        <v>4870</v>
      </c>
      <c r="J246" s="3631">
        <v>5479</v>
      </c>
    </row>
    <row r="247" spans="1:10" ht="13.5">
      <c r="A247" s="3632">
        <v>12200</v>
      </c>
      <c r="B247" s="3631">
        <v>12250</v>
      </c>
      <c r="C247" s="3491">
        <v>203</v>
      </c>
      <c r="D247" s="3632">
        <v>3373</v>
      </c>
      <c r="E247" s="3633">
        <v>4890</v>
      </c>
      <c r="F247" s="3631">
        <v>5501</v>
      </c>
      <c r="G247" s="3491">
        <v>506</v>
      </c>
      <c r="H247" s="3633">
        <v>3373</v>
      </c>
      <c r="I247" s="3633">
        <v>4890</v>
      </c>
      <c r="J247" s="3631">
        <v>5501</v>
      </c>
    </row>
    <row r="248" spans="1:10" ht="13.5">
      <c r="A248" s="3632">
        <v>12250</v>
      </c>
      <c r="B248" s="3631">
        <v>12300</v>
      </c>
      <c r="C248" s="3491">
        <v>199</v>
      </c>
      <c r="D248" s="3632">
        <v>3373</v>
      </c>
      <c r="E248" s="3633">
        <v>4910</v>
      </c>
      <c r="F248" s="3631">
        <v>5524</v>
      </c>
      <c r="G248" s="3491">
        <v>506</v>
      </c>
      <c r="H248" s="3633">
        <v>3373</v>
      </c>
      <c r="I248" s="3633">
        <v>4910</v>
      </c>
      <c r="J248" s="3631">
        <v>5524</v>
      </c>
    </row>
    <row r="249" spans="1:10" ht="13.5">
      <c r="A249" s="3632">
        <v>12300</v>
      </c>
      <c r="B249" s="3631">
        <v>12350</v>
      </c>
      <c r="C249" s="3491">
        <v>195</v>
      </c>
      <c r="D249" s="3632">
        <v>3373</v>
      </c>
      <c r="E249" s="3633">
        <v>4930</v>
      </c>
      <c r="F249" s="3631">
        <v>5546</v>
      </c>
      <c r="G249" s="3491">
        <v>506</v>
      </c>
      <c r="H249" s="3633">
        <v>3373</v>
      </c>
      <c r="I249" s="3633">
        <v>4930</v>
      </c>
      <c r="J249" s="3631">
        <v>5546</v>
      </c>
    </row>
    <row r="250" spans="1:10" ht="13.5">
      <c r="A250" s="3632">
        <v>12350</v>
      </c>
      <c r="B250" s="3631">
        <v>12400</v>
      </c>
      <c r="C250" s="3491">
        <v>192</v>
      </c>
      <c r="D250" s="3632">
        <v>3373</v>
      </c>
      <c r="E250" s="3633">
        <v>4950</v>
      </c>
      <c r="F250" s="3631">
        <v>5569</v>
      </c>
      <c r="G250" s="3491">
        <v>506</v>
      </c>
      <c r="H250" s="3633">
        <v>3373</v>
      </c>
      <c r="I250" s="3633">
        <v>4950</v>
      </c>
      <c r="J250" s="3631">
        <v>5569</v>
      </c>
    </row>
    <row r="251" spans="1:10" ht="13.5">
      <c r="A251" s="3632">
        <v>12400</v>
      </c>
      <c r="B251" s="3631">
        <v>12450</v>
      </c>
      <c r="C251" s="3491">
        <v>188</v>
      </c>
      <c r="D251" s="3632">
        <v>3373</v>
      </c>
      <c r="E251" s="3633">
        <v>4970</v>
      </c>
      <c r="F251" s="3631">
        <v>5591</v>
      </c>
      <c r="G251" s="3491">
        <v>506</v>
      </c>
      <c r="H251" s="3633">
        <v>3373</v>
      </c>
      <c r="I251" s="3633">
        <v>4970</v>
      </c>
      <c r="J251" s="3631">
        <v>5591</v>
      </c>
    </row>
    <row r="252" spans="1:10" ht="13.5">
      <c r="A252" s="3632">
        <v>12450</v>
      </c>
      <c r="B252" s="3631">
        <v>12500</v>
      </c>
      <c r="C252" s="3491">
        <v>184</v>
      </c>
      <c r="D252" s="3632">
        <v>3373</v>
      </c>
      <c r="E252" s="3633">
        <v>4990</v>
      </c>
      <c r="F252" s="3631">
        <v>5614</v>
      </c>
      <c r="G252" s="3491">
        <v>506</v>
      </c>
      <c r="H252" s="3633">
        <v>3373</v>
      </c>
      <c r="I252" s="3633">
        <v>4990</v>
      </c>
      <c r="J252" s="3631">
        <v>5614</v>
      </c>
    </row>
    <row r="253" spans="1:10" ht="13.5">
      <c r="A253" s="3632">
        <v>12500</v>
      </c>
      <c r="B253" s="3631">
        <v>12550</v>
      </c>
      <c r="C253" s="3491">
        <v>180</v>
      </c>
      <c r="D253" s="3632">
        <v>3373</v>
      </c>
      <c r="E253" s="3633">
        <v>5010</v>
      </c>
      <c r="F253" s="3631">
        <v>5636</v>
      </c>
      <c r="G253" s="3491">
        <v>506</v>
      </c>
      <c r="H253" s="3633">
        <v>3373</v>
      </c>
      <c r="I253" s="3633">
        <v>5010</v>
      </c>
      <c r="J253" s="3631">
        <v>5636</v>
      </c>
    </row>
    <row r="254" spans="1:10" ht="13.5">
      <c r="A254" s="3632">
        <v>12550</v>
      </c>
      <c r="B254" s="3631">
        <v>12600</v>
      </c>
      <c r="C254" s="3491">
        <v>176</v>
      </c>
      <c r="D254" s="3632">
        <v>3373</v>
      </c>
      <c r="E254" s="3633">
        <v>5030</v>
      </c>
      <c r="F254" s="3631">
        <v>5659</v>
      </c>
      <c r="G254" s="3491">
        <v>506</v>
      </c>
      <c r="H254" s="3633">
        <v>3373</v>
      </c>
      <c r="I254" s="3633">
        <v>5030</v>
      </c>
      <c r="J254" s="3631">
        <v>5659</v>
      </c>
    </row>
    <row r="255" spans="1:10" ht="13.5">
      <c r="A255" s="3632">
        <v>12600</v>
      </c>
      <c r="B255" s="3631">
        <v>12650</v>
      </c>
      <c r="C255" s="3491">
        <v>173</v>
      </c>
      <c r="D255" s="3632">
        <v>3373</v>
      </c>
      <c r="E255" s="3633">
        <v>5050</v>
      </c>
      <c r="F255" s="3631">
        <v>5681</v>
      </c>
      <c r="G255" s="3491">
        <v>506</v>
      </c>
      <c r="H255" s="3633">
        <v>3373</v>
      </c>
      <c r="I255" s="3633">
        <v>5050</v>
      </c>
      <c r="J255" s="3631">
        <v>5681</v>
      </c>
    </row>
    <row r="256" spans="1:10" ht="13.5">
      <c r="A256" s="3632">
        <v>12650</v>
      </c>
      <c r="B256" s="3631">
        <v>12700</v>
      </c>
      <c r="C256" s="3491">
        <v>169</v>
      </c>
      <c r="D256" s="3632">
        <v>3373</v>
      </c>
      <c r="E256" s="3633">
        <v>5070</v>
      </c>
      <c r="F256" s="3631">
        <v>5704</v>
      </c>
      <c r="G256" s="3491">
        <v>506</v>
      </c>
      <c r="H256" s="3633">
        <v>3373</v>
      </c>
      <c r="I256" s="3633">
        <v>5070</v>
      </c>
      <c r="J256" s="3631">
        <v>5704</v>
      </c>
    </row>
    <row r="257" spans="1:10" ht="13.5">
      <c r="A257" s="3632">
        <v>12700</v>
      </c>
      <c r="B257" s="3631">
        <v>12750</v>
      </c>
      <c r="C257" s="3491">
        <v>165</v>
      </c>
      <c r="D257" s="3632">
        <v>3373</v>
      </c>
      <c r="E257" s="3633">
        <v>5090</v>
      </c>
      <c r="F257" s="3631">
        <v>5726</v>
      </c>
      <c r="G257" s="3491">
        <v>506</v>
      </c>
      <c r="H257" s="3633">
        <v>3373</v>
      </c>
      <c r="I257" s="3633">
        <v>5090</v>
      </c>
      <c r="J257" s="3631">
        <v>5726</v>
      </c>
    </row>
    <row r="258" spans="1:10" ht="13.5">
      <c r="A258" s="3632">
        <v>12750</v>
      </c>
      <c r="B258" s="3631">
        <v>12800</v>
      </c>
      <c r="C258" s="3491">
        <v>161</v>
      </c>
      <c r="D258" s="3632">
        <v>3373</v>
      </c>
      <c r="E258" s="3633">
        <v>5110</v>
      </c>
      <c r="F258" s="3631">
        <v>5749</v>
      </c>
      <c r="G258" s="3491">
        <v>506</v>
      </c>
      <c r="H258" s="3633">
        <v>3373</v>
      </c>
      <c r="I258" s="3633">
        <v>5110</v>
      </c>
      <c r="J258" s="3631">
        <v>5749</v>
      </c>
    </row>
    <row r="259" spans="1:10" ht="13.5">
      <c r="A259" s="3632">
        <v>12800</v>
      </c>
      <c r="B259" s="3631">
        <v>12850</v>
      </c>
      <c r="C259" s="3491">
        <v>157</v>
      </c>
      <c r="D259" s="3632">
        <v>3373</v>
      </c>
      <c r="E259" s="3633">
        <v>5130</v>
      </c>
      <c r="F259" s="3631">
        <v>5771</v>
      </c>
      <c r="G259" s="3491">
        <v>506</v>
      </c>
      <c r="H259" s="3633">
        <v>3373</v>
      </c>
      <c r="I259" s="3633">
        <v>5130</v>
      </c>
      <c r="J259" s="3631">
        <v>5771</v>
      </c>
    </row>
    <row r="260" spans="1:10" ht="13.5">
      <c r="A260" s="3632">
        <v>12850</v>
      </c>
      <c r="B260" s="3631">
        <v>12900</v>
      </c>
      <c r="C260" s="3491">
        <v>153</v>
      </c>
      <c r="D260" s="3632">
        <v>3373</v>
      </c>
      <c r="E260" s="3633">
        <v>5150</v>
      </c>
      <c r="F260" s="3631">
        <v>5794</v>
      </c>
      <c r="G260" s="3491">
        <v>506</v>
      </c>
      <c r="H260" s="3633">
        <v>3373</v>
      </c>
      <c r="I260" s="3633">
        <v>5150</v>
      </c>
      <c r="J260" s="3631">
        <v>5794</v>
      </c>
    </row>
    <row r="261" spans="1:10" ht="13.5">
      <c r="A261" s="3632">
        <v>12900</v>
      </c>
      <c r="B261" s="3631">
        <v>12950</v>
      </c>
      <c r="C261" s="3491">
        <v>150</v>
      </c>
      <c r="D261" s="3632">
        <v>3373</v>
      </c>
      <c r="E261" s="3633">
        <v>5170</v>
      </c>
      <c r="F261" s="3631">
        <v>5816</v>
      </c>
      <c r="G261" s="3491">
        <v>506</v>
      </c>
      <c r="H261" s="3633">
        <v>3373</v>
      </c>
      <c r="I261" s="3633">
        <v>5170</v>
      </c>
      <c r="J261" s="3631">
        <v>5816</v>
      </c>
    </row>
    <row r="262" spans="1:10" ht="13.5">
      <c r="A262" s="3632">
        <v>12950</v>
      </c>
      <c r="B262" s="3631">
        <v>13000</v>
      </c>
      <c r="C262" s="3491">
        <v>146</v>
      </c>
      <c r="D262" s="3632">
        <v>3373</v>
      </c>
      <c r="E262" s="3633">
        <v>5190</v>
      </c>
      <c r="F262" s="3631">
        <v>5839</v>
      </c>
      <c r="G262" s="3491">
        <v>506</v>
      </c>
      <c r="H262" s="3633">
        <v>3373</v>
      </c>
      <c r="I262" s="3633">
        <v>5190</v>
      </c>
      <c r="J262" s="3631">
        <v>5839</v>
      </c>
    </row>
    <row r="263" spans="1:10" ht="13.5">
      <c r="A263" s="3632">
        <v>13000</v>
      </c>
      <c r="B263" s="3631">
        <v>13050</v>
      </c>
      <c r="C263" s="3491">
        <v>142</v>
      </c>
      <c r="D263" s="3632">
        <v>3373</v>
      </c>
      <c r="E263" s="3633">
        <v>5210</v>
      </c>
      <c r="F263" s="3631">
        <v>5861</v>
      </c>
      <c r="G263" s="3491">
        <v>506</v>
      </c>
      <c r="H263" s="3633">
        <v>3373</v>
      </c>
      <c r="I263" s="3633">
        <v>5210</v>
      </c>
      <c r="J263" s="3631">
        <v>5861</v>
      </c>
    </row>
    <row r="264" spans="1:10" ht="13.5">
      <c r="A264" s="3632">
        <v>13050</v>
      </c>
      <c r="B264" s="3631">
        <v>13100</v>
      </c>
      <c r="C264" s="3491">
        <v>138</v>
      </c>
      <c r="D264" s="3632">
        <v>3373</v>
      </c>
      <c r="E264" s="3633">
        <v>5230</v>
      </c>
      <c r="F264" s="3631">
        <v>5884</v>
      </c>
      <c r="G264" s="3491">
        <v>506</v>
      </c>
      <c r="H264" s="3633">
        <v>3373</v>
      </c>
      <c r="I264" s="3633">
        <v>5230</v>
      </c>
      <c r="J264" s="3631">
        <v>5884</v>
      </c>
    </row>
    <row r="265" spans="1:10" ht="13.5">
      <c r="A265" s="3632">
        <v>13100</v>
      </c>
      <c r="B265" s="3631">
        <v>13150</v>
      </c>
      <c r="C265" s="3491">
        <v>134</v>
      </c>
      <c r="D265" s="3632">
        <v>3373</v>
      </c>
      <c r="E265" s="3633">
        <v>5250</v>
      </c>
      <c r="F265" s="3631">
        <v>5906</v>
      </c>
      <c r="G265" s="3491">
        <v>506</v>
      </c>
      <c r="H265" s="3633">
        <v>3373</v>
      </c>
      <c r="I265" s="3633">
        <v>5250</v>
      </c>
      <c r="J265" s="3631">
        <v>5906</v>
      </c>
    </row>
    <row r="266" spans="1:10" ht="13.5">
      <c r="A266" s="3632">
        <v>13150</v>
      </c>
      <c r="B266" s="3631">
        <v>13200</v>
      </c>
      <c r="C266" s="3491">
        <v>130</v>
      </c>
      <c r="D266" s="3632">
        <v>3373</v>
      </c>
      <c r="E266" s="3633">
        <v>5270</v>
      </c>
      <c r="F266" s="3631">
        <v>5929</v>
      </c>
      <c r="G266" s="3491">
        <v>506</v>
      </c>
      <c r="H266" s="3633">
        <v>3373</v>
      </c>
      <c r="I266" s="3633">
        <v>5270</v>
      </c>
      <c r="J266" s="3631">
        <v>5929</v>
      </c>
    </row>
    <row r="267" spans="1:10" ht="13.5">
      <c r="A267" s="3632">
        <v>13200</v>
      </c>
      <c r="B267" s="3631">
        <v>13250</v>
      </c>
      <c r="C267" s="3491">
        <v>127</v>
      </c>
      <c r="D267" s="3632">
        <v>3373</v>
      </c>
      <c r="E267" s="3633">
        <v>5290</v>
      </c>
      <c r="F267" s="3631">
        <v>5951</v>
      </c>
      <c r="G267" s="3491">
        <v>506</v>
      </c>
      <c r="H267" s="3633">
        <v>3373</v>
      </c>
      <c r="I267" s="3633">
        <v>5290</v>
      </c>
      <c r="J267" s="3631">
        <v>5951</v>
      </c>
    </row>
    <row r="268" spans="1:10" ht="13.5">
      <c r="A268" s="3632">
        <v>13250</v>
      </c>
      <c r="B268" s="3631">
        <v>13300</v>
      </c>
      <c r="C268" s="3491">
        <v>123</v>
      </c>
      <c r="D268" s="3632">
        <v>3373</v>
      </c>
      <c r="E268" s="3633">
        <v>5310</v>
      </c>
      <c r="F268" s="3631">
        <v>5974</v>
      </c>
      <c r="G268" s="3491">
        <v>506</v>
      </c>
      <c r="H268" s="3633">
        <v>3373</v>
      </c>
      <c r="I268" s="3633">
        <v>5310</v>
      </c>
      <c r="J268" s="3631">
        <v>5974</v>
      </c>
    </row>
    <row r="269" spans="1:10" ht="13.5">
      <c r="A269" s="3632">
        <v>13300</v>
      </c>
      <c r="B269" s="3631">
        <v>13350</v>
      </c>
      <c r="C269" s="3491">
        <v>119</v>
      </c>
      <c r="D269" s="3632">
        <v>3373</v>
      </c>
      <c r="E269" s="3633">
        <v>5330</v>
      </c>
      <c r="F269" s="3631">
        <v>5996</v>
      </c>
      <c r="G269" s="3491">
        <v>506</v>
      </c>
      <c r="H269" s="3633">
        <v>3373</v>
      </c>
      <c r="I269" s="3633">
        <v>5330</v>
      </c>
      <c r="J269" s="3631">
        <v>5996</v>
      </c>
    </row>
    <row r="270" spans="1:10" ht="13.5">
      <c r="A270" s="3632">
        <v>13350</v>
      </c>
      <c r="B270" s="3631">
        <v>13400</v>
      </c>
      <c r="C270" s="3491">
        <v>115</v>
      </c>
      <c r="D270" s="3632">
        <v>3373</v>
      </c>
      <c r="E270" s="3633">
        <v>5350</v>
      </c>
      <c r="F270" s="3631">
        <v>6019</v>
      </c>
      <c r="G270" s="3491">
        <v>506</v>
      </c>
      <c r="H270" s="3633">
        <v>3373</v>
      </c>
      <c r="I270" s="3633">
        <v>5350</v>
      </c>
      <c r="J270" s="3631">
        <v>6019</v>
      </c>
    </row>
    <row r="271" spans="1:10" ht="13.5">
      <c r="A271" s="3632">
        <v>13400</v>
      </c>
      <c r="B271" s="3631">
        <v>13450</v>
      </c>
      <c r="C271" s="3491">
        <v>111</v>
      </c>
      <c r="D271" s="3632">
        <v>3373</v>
      </c>
      <c r="E271" s="3633">
        <v>5370</v>
      </c>
      <c r="F271" s="3631">
        <v>6041</v>
      </c>
      <c r="G271" s="3491">
        <v>506</v>
      </c>
      <c r="H271" s="3633">
        <v>3373</v>
      </c>
      <c r="I271" s="3633">
        <v>5370</v>
      </c>
      <c r="J271" s="3631">
        <v>6041</v>
      </c>
    </row>
    <row r="272" spans="1:10" ht="13.5">
      <c r="A272" s="3632">
        <v>13450</v>
      </c>
      <c r="B272" s="3631">
        <v>13500</v>
      </c>
      <c r="C272" s="3491">
        <v>107</v>
      </c>
      <c r="D272" s="3632">
        <v>3373</v>
      </c>
      <c r="E272" s="3633">
        <v>5390</v>
      </c>
      <c r="F272" s="3631">
        <v>6064</v>
      </c>
      <c r="G272" s="3491">
        <v>506</v>
      </c>
      <c r="H272" s="3633">
        <v>3373</v>
      </c>
      <c r="I272" s="3633">
        <v>5390</v>
      </c>
      <c r="J272" s="3631">
        <v>6064</v>
      </c>
    </row>
    <row r="273" spans="1:10" ht="13.5">
      <c r="A273" s="3632">
        <v>13500</v>
      </c>
      <c r="B273" s="3631">
        <v>13550</v>
      </c>
      <c r="C273" s="3491">
        <v>104</v>
      </c>
      <c r="D273" s="3632">
        <v>3373</v>
      </c>
      <c r="E273" s="3633">
        <v>5410</v>
      </c>
      <c r="F273" s="3631">
        <v>6086</v>
      </c>
      <c r="G273" s="3491">
        <v>506</v>
      </c>
      <c r="H273" s="3633">
        <v>3373</v>
      </c>
      <c r="I273" s="3633">
        <v>5410</v>
      </c>
      <c r="J273" s="3631">
        <v>6086</v>
      </c>
    </row>
    <row r="274" spans="1:10" ht="13.5">
      <c r="A274" s="3632">
        <v>13550</v>
      </c>
      <c r="B274" s="3631">
        <v>13600</v>
      </c>
      <c r="C274" s="3491">
        <v>100</v>
      </c>
      <c r="D274" s="3632">
        <v>3373</v>
      </c>
      <c r="E274" s="3633">
        <v>5430</v>
      </c>
      <c r="F274" s="3631">
        <v>6109</v>
      </c>
      <c r="G274" s="3491">
        <v>506</v>
      </c>
      <c r="H274" s="3633">
        <v>3373</v>
      </c>
      <c r="I274" s="3633">
        <v>5430</v>
      </c>
      <c r="J274" s="3631">
        <v>6109</v>
      </c>
    </row>
    <row r="275" spans="1:10" ht="13.5">
      <c r="A275" s="3632">
        <v>13600</v>
      </c>
      <c r="B275" s="3631">
        <v>13650</v>
      </c>
      <c r="C275" s="3491">
        <v>96</v>
      </c>
      <c r="D275" s="3632">
        <v>3373</v>
      </c>
      <c r="E275" s="3633">
        <v>5450</v>
      </c>
      <c r="F275" s="3631">
        <v>6131</v>
      </c>
      <c r="G275" s="3491">
        <v>506</v>
      </c>
      <c r="H275" s="3633">
        <v>3373</v>
      </c>
      <c r="I275" s="3633">
        <v>5450</v>
      </c>
      <c r="J275" s="3631">
        <v>6131</v>
      </c>
    </row>
    <row r="276" spans="1:10" ht="13.5">
      <c r="A276" s="3632">
        <v>13650</v>
      </c>
      <c r="B276" s="3631">
        <v>13700</v>
      </c>
      <c r="C276" s="3491">
        <v>92</v>
      </c>
      <c r="D276" s="3632">
        <v>3373</v>
      </c>
      <c r="E276" s="3633">
        <v>5470</v>
      </c>
      <c r="F276" s="3631">
        <v>6154</v>
      </c>
      <c r="G276" s="3491">
        <v>506</v>
      </c>
      <c r="H276" s="3633">
        <v>3373</v>
      </c>
      <c r="I276" s="3633">
        <v>5470</v>
      </c>
      <c r="J276" s="3631">
        <v>6154</v>
      </c>
    </row>
    <row r="277" spans="1:10" ht="13.5">
      <c r="A277" s="3632">
        <v>13700</v>
      </c>
      <c r="B277" s="3631">
        <v>13750</v>
      </c>
      <c r="C277" s="3491">
        <v>88</v>
      </c>
      <c r="D277" s="3632">
        <v>3373</v>
      </c>
      <c r="E277" s="3633">
        <v>5490</v>
      </c>
      <c r="F277" s="3631">
        <v>6176</v>
      </c>
      <c r="G277" s="3491">
        <v>506</v>
      </c>
      <c r="H277" s="3633">
        <v>3373</v>
      </c>
      <c r="I277" s="3633">
        <v>5490</v>
      </c>
      <c r="J277" s="3631">
        <v>6176</v>
      </c>
    </row>
    <row r="278" spans="1:10" ht="13.5">
      <c r="A278" s="3632">
        <v>13750</v>
      </c>
      <c r="B278" s="3631">
        <v>13800</v>
      </c>
      <c r="C278" s="3491">
        <v>85</v>
      </c>
      <c r="D278" s="3632">
        <v>3373</v>
      </c>
      <c r="E278" s="3633">
        <v>5510</v>
      </c>
      <c r="F278" s="3631">
        <v>6199</v>
      </c>
      <c r="G278" s="3491">
        <v>506</v>
      </c>
      <c r="H278" s="3633">
        <v>3373</v>
      </c>
      <c r="I278" s="3633">
        <v>5510</v>
      </c>
      <c r="J278" s="3631">
        <v>6199</v>
      </c>
    </row>
    <row r="279" spans="1:10" ht="13.5">
      <c r="A279" s="3632">
        <v>13800</v>
      </c>
      <c r="B279" s="3631">
        <v>13850</v>
      </c>
      <c r="C279" s="3491">
        <v>81</v>
      </c>
      <c r="D279" s="3632">
        <v>3373</v>
      </c>
      <c r="E279" s="3633">
        <v>5530</v>
      </c>
      <c r="F279" s="3631">
        <v>6221</v>
      </c>
      <c r="G279" s="3491">
        <v>506</v>
      </c>
      <c r="H279" s="3633">
        <v>3373</v>
      </c>
      <c r="I279" s="3633">
        <v>5530</v>
      </c>
      <c r="J279" s="3631">
        <v>6221</v>
      </c>
    </row>
    <row r="280" spans="1:10" ht="13.5">
      <c r="A280" s="3632">
        <v>13850</v>
      </c>
      <c r="B280" s="3631">
        <v>13900</v>
      </c>
      <c r="C280" s="3491">
        <v>77</v>
      </c>
      <c r="D280" s="3632">
        <v>3373</v>
      </c>
      <c r="E280" s="3633">
        <v>5550</v>
      </c>
      <c r="F280" s="3631">
        <v>6244</v>
      </c>
      <c r="G280" s="3491">
        <v>501</v>
      </c>
      <c r="H280" s="3633">
        <v>3373</v>
      </c>
      <c r="I280" s="3633">
        <v>5550</v>
      </c>
      <c r="J280" s="3631">
        <v>6244</v>
      </c>
    </row>
    <row r="281" spans="1:10" ht="13.5">
      <c r="A281" s="3632">
        <v>13900</v>
      </c>
      <c r="B281" s="3631">
        <v>13950</v>
      </c>
      <c r="C281" s="3491">
        <v>73</v>
      </c>
      <c r="D281" s="3632">
        <v>3373</v>
      </c>
      <c r="E281" s="3633">
        <v>5572</v>
      </c>
      <c r="F281" s="3631">
        <v>6269</v>
      </c>
      <c r="G281" s="3491">
        <v>498</v>
      </c>
      <c r="H281" s="3633">
        <v>3373</v>
      </c>
      <c r="I281" s="3633">
        <v>5572</v>
      </c>
      <c r="J281" s="3631">
        <v>6269</v>
      </c>
    </row>
    <row r="282" spans="1:10" ht="13.5">
      <c r="A282" s="3632">
        <v>13950</v>
      </c>
      <c r="B282" s="3631">
        <v>14000</v>
      </c>
      <c r="C282" s="3491">
        <v>69</v>
      </c>
      <c r="D282" s="3632">
        <v>3373</v>
      </c>
      <c r="E282" s="3633">
        <v>5572</v>
      </c>
      <c r="F282" s="3631">
        <v>6269</v>
      </c>
      <c r="G282" s="3491">
        <v>494</v>
      </c>
      <c r="H282" s="3633">
        <v>3373</v>
      </c>
      <c r="I282" s="3633">
        <v>5572</v>
      </c>
      <c r="J282" s="3631">
        <v>6269</v>
      </c>
    </row>
    <row r="283" spans="1:10" ht="13.5">
      <c r="A283" s="3632">
        <v>14000</v>
      </c>
      <c r="B283" s="3631">
        <v>14050</v>
      </c>
      <c r="C283" s="3491">
        <v>65</v>
      </c>
      <c r="D283" s="3632">
        <v>3373</v>
      </c>
      <c r="E283" s="3633">
        <v>5572</v>
      </c>
      <c r="F283" s="3631">
        <v>6269</v>
      </c>
      <c r="G283" s="3491">
        <v>490</v>
      </c>
      <c r="H283" s="3633">
        <v>3373</v>
      </c>
      <c r="I283" s="3633">
        <v>5572</v>
      </c>
      <c r="J283" s="3631">
        <v>6269</v>
      </c>
    </row>
    <row r="284" spans="1:10" ht="13.5">
      <c r="A284" s="3632">
        <v>14050</v>
      </c>
      <c r="B284" s="3631">
        <v>14100</v>
      </c>
      <c r="C284" s="3491">
        <v>62</v>
      </c>
      <c r="D284" s="3632">
        <v>3373</v>
      </c>
      <c r="E284" s="3633">
        <v>5572</v>
      </c>
      <c r="F284" s="3631">
        <v>6269</v>
      </c>
      <c r="G284" s="3491">
        <v>486</v>
      </c>
      <c r="H284" s="3633">
        <v>3373</v>
      </c>
      <c r="I284" s="3633">
        <v>5572</v>
      </c>
      <c r="J284" s="3631">
        <v>6269</v>
      </c>
    </row>
    <row r="285" spans="1:10" ht="13.5">
      <c r="A285" s="3632">
        <v>14100</v>
      </c>
      <c r="B285" s="3631">
        <v>14150</v>
      </c>
      <c r="C285" s="3491">
        <v>58</v>
      </c>
      <c r="D285" s="3632">
        <v>3373</v>
      </c>
      <c r="E285" s="3633">
        <v>5572</v>
      </c>
      <c r="F285" s="3631">
        <v>6269</v>
      </c>
      <c r="G285" s="3491">
        <v>482</v>
      </c>
      <c r="H285" s="3633">
        <v>3373</v>
      </c>
      <c r="I285" s="3633">
        <v>5572</v>
      </c>
      <c r="J285" s="3631">
        <v>6269</v>
      </c>
    </row>
    <row r="286" spans="1:10" ht="13.5">
      <c r="A286" s="3632">
        <v>14150</v>
      </c>
      <c r="B286" s="3631">
        <v>14200</v>
      </c>
      <c r="C286" s="3491">
        <v>54</v>
      </c>
      <c r="D286" s="3632">
        <v>3373</v>
      </c>
      <c r="E286" s="3633">
        <v>5572</v>
      </c>
      <c r="F286" s="3631">
        <v>6269</v>
      </c>
      <c r="G286" s="3491">
        <v>479</v>
      </c>
      <c r="H286" s="3633">
        <v>3373</v>
      </c>
      <c r="I286" s="3633">
        <v>5572</v>
      </c>
      <c r="J286" s="3631">
        <v>6269</v>
      </c>
    </row>
    <row r="287" spans="1:10" ht="13.5">
      <c r="A287" s="3632">
        <v>14200</v>
      </c>
      <c r="B287" s="3631">
        <v>14250</v>
      </c>
      <c r="C287" s="3491">
        <v>50</v>
      </c>
      <c r="D287" s="3632">
        <v>3373</v>
      </c>
      <c r="E287" s="3633">
        <v>5572</v>
      </c>
      <c r="F287" s="3631">
        <v>6269</v>
      </c>
      <c r="G287" s="3491">
        <v>475</v>
      </c>
      <c r="H287" s="3633">
        <v>3373</v>
      </c>
      <c r="I287" s="3633">
        <v>5572</v>
      </c>
      <c r="J287" s="3631">
        <v>6269</v>
      </c>
    </row>
    <row r="288" spans="1:10" ht="13.5">
      <c r="A288" s="3632">
        <v>14250</v>
      </c>
      <c r="B288" s="3631">
        <v>14300</v>
      </c>
      <c r="C288" s="3491">
        <v>46</v>
      </c>
      <c r="D288" s="3632">
        <v>3373</v>
      </c>
      <c r="E288" s="3633">
        <v>5572</v>
      </c>
      <c r="F288" s="3631">
        <v>6269</v>
      </c>
      <c r="G288" s="3491">
        <v>471</v>
      </c>
      <c r="H288" s="3633">
        <v>3373</v>
      </c>
      <c r="I288" s="3633">
        <v>5572</v>
      </c>
      <c r="J288" s="3631">
        <v>6269</v>
      </c>
    </row>
    <row r="289" spans="1:11" ht="13.5">
      <c r="A289" s="3632">
        <v>14300</v>
      </c>
      <c r="B289" s="3631">
        <v>14350</v>
      </c>
      <c r="C289" s="3491">
        <v>42</v>
      </c>
      <c r="D289" s="3632">
        <v>3373</v>
      </c>
      <c r="E289" s="3633">
        <v>5572</v>
      </c>
      <c r="F289" s="3631">
        <v>6269</v>
      </c>
      <c r="G289" s="3491">
        <v>467</v>
      </c>
      <c r="H289" s="3633">
        <v>3373</v>
      </c>
      <c r="I289" s="3633">
        <v>5572</v>
      </c>
      <c r="J289" s="3631">
        <v>6269</v>
      </c>
    </row>
    <row r="290" spans="1:11" ht="13.5">
      <c r="A290" s="3632">
        <v>14350</v>
      </c>
      <c r="B290" s="3631">
        <v>14400</v>
      </c>
      <c r="C290" s="3491">
        <v>39</v>
      </c>
      <c r="D290" s="3632">
        <v>3373</v>
      </c>
      <c r="E290" s="3633">
        <v>5572</v>
      </c>
      <c r="F290" s="3631">
        <v>6269</v>
      </c>
      <c r="G290" s="3491">
        <v>463</v>
      </c>
      <c r="H290" s="3633">
        <v>3373</v>
      </c>
      <c r="I290" s="3633">
        <v>5572</v>
      </c>
      <c r="J290" s="3631">
        <v>6269</v>
      </c>
    </row>
    <row r="291" spans="1:11" ht="13.5">
      <c r="A291" s="3632">
        <v>14400</v>
      </c>
      <c r="B291" s="3631">
        <v>14450</v>
      </c>
      <c r="C291" s="3491">
        <v>35</v>
      </c>
      <c r="D291" s="3632">
        <v>3373</v>
      </c>
      <c r="E291" s="3633">
        <v>5572</v>
      </c>
      <c r="F291" s="3631">
        <v>6269</v>
      </c>
      <c r="G291" s="3491">
        <v>459</v>
      </c>
      <c r="H291" s="3633">
        <v>3373</v>
      </c>
      <c r="I291" s="3633">
        <v>5572</v>
      </c>
      <c r="J291" s="3631">
        <v>6269</v>
      </c>
    </row>
    <row r="292" spans="1:11" ht="13.5">
      <c r="A292" s="3632">
        <v>14450</v>
      </c>
      <c r="B292" s="3631">
        <v>14500</v>
      </c>
      <c r="C292" s="3491">
        <v>31</v>
      </c>
      <c r="D292" s="3632">
        <v>3373</v>
      </c>
      <c r="E292" s="3633">
        <v>5572</v>
      </c>
      <c r="F292" s="3631">
        <v>6269</v>
      </c>
      <c r="G292" s="3491">
        <v>456</v>
      </c>
      <c r="H292" s="3633">
        <v>3373</v>
      </c>
      <c r="I292" s="3633">
        <v>5572</v>
      </c>
      <c r="J292" s="3631">
        <v>6269</v>
      </c>
    </row>
    <row r="293" spans="1:11" ht="13.5">
      <c r="A293" s="3632">
        <v>14500</v>
      </c>
      <c r="B293" s="3631">
        <v>14550</v>
      </c>
      <c r="C293" s="3491">
        <v>27</v>
      </c>
      <c r="D293" s="3632">
        <v>3373</v>
      </c>
      <c r="E293" s="3633">
        <v>5572</v>
      </c>
      <c r="F293" s="3631">
        <v>6269</v>
      </c>
      <c r="G293" s="3491">
        <v>452</v>
      </c>
      <c r="H293" s="3633">
        <v>3373</v>
      </c>
      <c r="I293" s="3633">
        <v>5572</v>
      </c>
      <c r="J293" s="3631">
        <v>6269</v>
      </c>
    </row>
    <row r="294" spans="1:11" ht="13.5">
      <c r="A294" s="3632">
        <v>14550</v>
      </c>
      <c r="B294" s="3631">
        <v>14600</v>
      </c>
      <c r="C294" s="3491">
        <v>23</v>
      </c>
      <c r="D294" s="3632">
        <v>3373</v>
      </c>
      <c r="E294" s="3633">
        <v>5572</v>
      </c>
      <c r="F294" s="3631">
        <v>6269</v>
      </c>
      <c r="G294" s="3491">
        <v>448</v>
      </c>
      <c r="H294" s="3633">
        <v>3373</v>
      </c>
      <c r="I294" s="3633">
        <v>5572</v>
      </c>
      <c r="J294" s="3631">
        <v>6269</v>
      </c>
    </row>
    <row r="295" spans="1:11" ht="13.5">
      <c r="A295" s="3632">
        <v>14600</v>
      </c>
      <c r="B295" s="3631">
        <v>14650</v>
      </c>
      <c r="C295" s="3491">
        <v>20</v>
      </c>
      <c r="D295" s="3632">
        <v>3373</v>
      </c>
      <c r="E295" s="3633">
        <v>5572</v>
      </c>
      <c r="F295" s="3631">
        <v>6269</v>
      </c>
      <c r="G295" s="3491">
        <v>444</v>
      </c>
      <c r="H295" s="3633">
        <v>3373</v>
      </c>
      <c r="I295" s="3633">
        <v>5572</v>
      </c>
      <c r="J295" s="3631">
        <v>6269</v>
      </c>
    </row>
    <row r="296" spans="1:11" ht="13.5">
      <c r="A296" s="3632">
        <v>14650</v>
      </c>
      <c r="B296" s="3631">
        <v>14700</v>
      </c>
      <c r="C296" s="3491">
        <v>16</v>
      </c>
      <c r="D296" s="3632">
        <v>3373</v>
      </c>
      <c r="E296" s="3633">
        <v>5572</v>
      </c>
      <c r="F296" s="3631">
        <v>6269</v>
      </c>
      <c r="G296" s="3491">
        <v>440</v>
      </c>
      <c r="H296" s="3633">
        <v>3373</v>
      </c>
      <c r="I296" s="3633">
        <v>5572</v>
      </c>
      <c r="J296" s="3631">
        <v>6269</v>
      </c>
    </row>
    <row r="297" spans="1:11" ht="13.5">
      <c r="A297" s="3632">
        <v>14700</v>
      </c>
      <c r="B297" s="3631">
        <v>14750</v>
      </c>
      <c r="C297" s="3491">
        <v>12</v>
      </c>
      <c r="D297" s="3632">
        <v>3373</v>
      </c>
      <c r="E297" s="3633">
        <v>5572</v>
      </c>
      <c r="F297" s="3631">
        <v>6269</v>
      </c>
      <c r="G297" s="3491">
        <v>436</v>
      </c>
      <c r="H297" s="3633">
        <v>3373</v>
      </c>
      <c r="I297" s="3633">
        <v>5572</v>
      </c>
      <c r="J297" s="3631">
        <v>6269</v>
      </c>
    </row>
    <row r="298" spans="1:11" ht="13.5">
      <c r="A298" s="3632">
        <v>14750</v>
      </c>
      <c r="B298" s="3631">
        <v>14800</v>
      </c>
      <c r="C298" s="3491">
        <v>8</v>
      </c>
      <c r="D298" s="3632">
        <v>3373</v>
      </c>
      <c r="E298" s="3633">
        <v>5572</v>
      </c>
      <c r="F298" s="3631">
        <v>6269</v>
      </c>
      <c r="G298" s="3491">
        <v>433</v>
      </c>
      <c r="H298" s="3633">
        <v>3373</v>
      </c>
      <c r="I298" s="3633">
        <v>5572</v>
      </c>
      <c r="J298" s="3631">
        <v>6269</v>
      </c>
    </row>
    <row r="299" spans="1:11" ht="13.5">
      <c r="A299" s="3632">
        <v>14800</v>
      </c>
      <c r="B299" s="3631">
        <v>14850</v>
      </c>
      <c r="C299" s="3491">
        <v>4</v>
      </c>
      <c r="D299" s="3632">
        <v>3373</v>
      </c>
      <c r="E299" s="3633">
        <v>5572</v>
      </c>
      <c r="F299" s="3631">
        <v>6269</v>
      </c>
      <c r="G299" s="3491">
        <v>429</v>
      </c>
      <c r="H299" s="3633">
        <v>3373</v>
      </c>
      <c r="I299" s="3633">
        <v>5572</v>
      </c>
      <c r="J299" s="3631">
        <v>6269</v>
      </c>
      <c r="K299" s="3624"/>
    </row>
    <row r="300" spans="1:11" ht="13.5">
      <c r="A300" s="3632">
        <v>14850</v>
      </c>
      <c r="B300" s="3631">
        <v>14880</v>
      </c>
      <c r="C300" s="3491">
        <v>1</v>
      </c>
      <c r="D300" s="3632">
        <v>3373</v>
      </c>
      <c r="E300" s="3633">
        <v>5572</v>
      </c>
      <c r="F300" s="3631">
        <v>6269</v>
      </c>
      <c r="G300" s="3491">
        <v>425</v>
      </c>
      <c r="H300" s="3633">
        <v>3373</v>
      </c>
      <c r="I300" s="3633">
        <v>5572</v>
      </c>
      <c r="J300" s="3631">
        <v>6269</v>
      </c>
      <c r="K300" s="3634"/>
    </row>
    <row r="301" spans="1:11" ht="13.5">
      <c r="A301" s="3632">
        <v>14880</v>
      </c>
      <c r="B301" s="3631">
        <v>14900</v>
      </c>
      <c r="C301" s="3491">
        <v>0</v>
      </c>
      <c r="D301" s="3632">
        <v>3373</v>
      </c>
      <c r="E301" s="3633">
        <v>5572</v>
      </c>
      <c r="F301" s="3631">
        <v>6269</v>
      </c>
      <c r="G301" s="3491">
        <v>425</v>
      </c>
      <c r="H301" s="3633">
        <v>3373</v>
      </c>
      <c r="I301" s="3633">
        <v>5572</v>
      </c>
      <c r="J301" s="3631">
        <v>6269</v>
      </c>
    </row>
    <row r="302" spans="1:11" ht="13.5">
      <c r="A302" s="3632">
        <v>14900</v>
      </c>
      <c r="B302" s="3631">
        <v>14950</v>
      </c>
      <c r="C302" s="3491">
        <v>0</v>
      </c>
      <c r="D302" s="3632">
        <v>3373</v>
      </c>
      <c r="E302" s="3633">
        <v>5572</v>
      </c>
      <c r="F302" s="3631">
        <v>6269</v>
      </c>
      <c r="G302" s="3491">
        <v>421</v>
      </c>
      <c r="H302" s="3633">
        <v>3373</v>
      </c>
      <c r="I302" s="3633">
        <v>5572</v>
      </c>
      <c r="J302" s="3631">
        <v>6269</v>
      </c>
    </row>
    <row r="303" spans="1:11" ht="13.5">
      <c r="A303" s="3632">
        <v>14950</v>
      </c>
      <c r="B303" s="3631">
        <v>15000</v>
      </c>
      <c r="C303" s="3491">
        <v>0</v>
      </c>
      <c r="D303" s="3632">
        <v>3373</v>
      </c>
      <c r="E303" s="3633">
        <v>5572</v>
      </c>
      <c r="F303" s="3631">
        <v>6269</v>
      </c>
      <c r="G303" s="3491">
        <v>417</v>
      </c>
      <c r="H303" s="3633">
        <v>3373</v>
      </c>
      <c r="I303" s="3633">
        <v>5572</v>
      </c>
      <c r="J303" s="3631">
        <v>6269</v>
      </c>
    </row>
    <row r="304" spans="1:11" ht="13.5">
      <c r="A304" s="3632">
        <v>15000</v>
      </c>
      <c r="B304" s="3631">
        <v>15050</v>
      </c>
      <c r="C304" s="3491">
        <v>0</v>
      </c>
      <c r="D304" s="3632">
        <v>3373</v>
      </c>
      <c r="E304" s="3633">
        <v>5572</v>
      </c>
      <c r="F304" s="3631">
        <v>6269</v>
      </c>
      <c r="G304" s="3491">
        <v>413</v>
      </c>
      <c r="H304" s="3633">
        <v>3373</v>
      </c>
      <c r="I304" s="3633">
        <v>5572</v>
      </c>
      <c r="J304" s="3631">
        <v>6269</v>
      </c>
    </row>
    <row r="305" spans="1:10" ht="13.5">
      <c r="A305" s="3632">
        <v>15050</v>
      </c>
      <c r="B305" s="3631">
        <v>15100</v>
      </c>
      <c r="C305" s="3491">
        <v>0</v>
      </c>
      <c r="D305" s="3632">
        <v>3373</v>
      </c>
      <c r="E305" s="3633">
        <v>5572</v>
      </c>
      <c r="F305" s="3631">
        <v>6269</v>
      </c>
      <c r="G305" s="3491">
        <v>410</v>
      </c>
      <c r="H305" s="3633">
        <v>3373</v>
      </c>
      <c r="I305" s="3633">
        <v>5572</v>
      </c>
      <c r="J305" s="3631">
        <v>6269</v>
      </c>
    </row>
    <row r="306" spans="1:10" ht="13.5">
      <c r="A306" s="3632">
        <v>15100</v>
      </c>
      <c r="B306" s="3631">
        <v>15150</v>
      </c>
      <c r="C306" s="3491">
        <v>0</v>
      </c>
      <c r="D306" s="3632">
        <v>3373</v>
      </c>
      <c r="E306" s="3633">
        <v>5572</v>
      </c>
      <c r="F306" s="3631">
        <v>6269</v>
      </c>
      <c r="G306" s="3491">
        <v>406</v>
      </c>
      <c r="H306" s="3633">
        <v>3373</v>
      </c>
      <c r="I306" s="3633">
        <v>5572</v>
      </c>
      <c r="J306" s="3631">
        <v>6269</v>
      </c>
    </row>
    <row r="307" spans="1:10" ht="13.5">
      <c r="A307" s="3632">
        <v>15150</v>
      </c>
      <c r="B307" s="3631">
        <v>15200</v>
      </c>
      <c r="C307" s="3491">
        <v>0</v>
      </c>
      <c r="D307" s="3632">
        <v>3373</v>
      </c>
      <c r="E307" s="3633">
        <v>5572</v>
      </c>
      <c r="F307" s="3631">
        <v>6269</v>
      </c>
      <c r="G307" s="3491">
        <v>402</v>
      </c>
      <c r="H307" s="3633">
        <v>3373</v>
      </c>
      <c r="I307" s="3633">
        <v>5572</v>
      </c>
      <c r="J307" s="3631">
        <v>6269</v>
      </c>
    </row>
    <row r="308" spans="1:10" ht="13.5">
      <c r="A308" s="3632">
        <v>15200</v>
      </c>
      <c r="B308" s="3631">
        <v>15250</v>
      </c>
      <c r="C308" s="3491">
        <v>0</v>
      </c>
      <c r="D308" s="3632">
        <v>3373</v>
      </c>
      <c r="E308" s="3633">
        <v>5572</v>
      </c>
      <c r="F308" s="3631">
        <v>6269</v>
      </c>
      <c r="G308" s="3491">
        <v>398</v>
      </c>
      <c r="H308" s="3633">
        <v>3373</v>
      </c>
      <c r="I308" s="3633">
        <v>5572</v>
      </c>
      <c r="J308" s="3631">
        <v>6269</v>
      </c>
    </row>
    <row r="309" spans="1:10" ht="13.5">
      <c r="A309" s="3632">
        <v>15250</v>
      </c>
      <c r="B309" s="3631">
        <v>15300</v>
      </c>
      <c r="C309" s="3491">
        <v>0</v>
      </c>
      <c r="D309" s="3632">
        <v>3373</v>
      </c>
      <c r="E309" s="3633">
        <v>5572</v>
      </c>
      <c r="F309" s="3631">
        <v>6269</v>
      </c>
      <c r="G309" s="3491">
        <v>394</v>
      </c>
      <c r="H309" s="3633">
        <v>3373</v>
      </c>
      <c r="I309" s="3633">
        <v>5572</v>
      </c>
      <c r="J309" s="3631">
        <v>6269</v>
      </c>
    </row>
    <row r="310" spans="1:10" ht="13.5">
      <c r="A310" s="3632">
        <v>15300</v>
      </c>
      <c r="B310" s="3631">
        <v>15350</v>
      </c>
      <c r="C310" s="3491">
        <v>0</v>
      </c>
      <c r="D310" s="3632">
        <v>3373</v>
      </c>
      <c r="E310" s="3633">
        <v>5572</v>
      </c>
      <c r="F310" s="3631">
        <v>6269</v>
      </c>
      <c r="G310" s="3491">
        <v>391</v>
      </c>
      <c r="H310" s="3633">
        <v>3373</v>
      </c>
      <c r="I310" s="3633">
        <v>5572</v>
      </c>
      <c r="J310" s="3631">
        <v>6269</v>
      </c>
    </row>
    <row r="311" spans="1:10" ht="13.5">
      <c r="A311" s="3632">
        <v>15350</v>
      </c>
      <c r="B311" s="3631">
        <v>15400</v>
      </c>
      <c r="C311" s="3491">
        <v>0</v>
      </c>
      <c r="D311" s="3632">
        <v>3373</v>
      </c>
      <c r="E311" s="3633">
        <v>5572</v>
      </c>
      <c r="F311" s="3631">
        <v>6269</v>
      </c>
      <c r="G311" s="3491">
        <v>387</v>
      </c>
      <c r="H311" s="3633">
        <v>3373</v>
      </c>
      <c r="I311" s="3633">
        <v>5572</v>
      </c>
      <c r="J311" s="3631">
        <v>6269</v>
      </c>
    </row>
    <row r="312" spans="1:10" ht="13.5">
      <c r="A312" s="3632">
        <v>15400</v>
      </c>
      <c r="B312" s="3631">
        <v>15450</v>
      </c>
      <c r="C312" s="3491">
        <v>0</v>
      </c>
      <c r="D312" s="3632">
        <v>3373</v>
      </c>
      <c r="E312" s="3633">
        <v>5572</v>
      </c>
      <c r="F312" s="3631">
        <v>6269</v>
      </c>
      <c r="G312" s="3491">
        <v>383</v>
      </c>
      <c r="H312" s="3633">
        <v>3373</v>
      </c>
      <c r="I312" s="3633">
        <v>5572</v>
      </c>
      <c r="J312" s="3631">
        <v>6269</v>
      </c>
    </row>
    <row r="313" spans="1:10" ht="13.5">
      <c r="A313" s="3632">
        <v>15450</v>
      </c>
      <c r="B313" s="3631">
        <v>15500</v>
      </c>
      <c r="C313" s="3491">
        <v>0</v>
      </c>
      <c r="D313" s="3632">
        <v>3373</v>
      </c>
      <c r="E313" s="3633">
        <v>5572</v>
      </c>
      <c r="F313" s="3631">
        <v>6269</v>
      </c>
      <c r="G313" s="3491">
        <v>379</v>
      </c>
      <c r="H313" s="3633">
        <v>3373</v>
      </c>
      <c r="I313" s="3633">
        <v>5572</v>
      </c>
      <c r="J313" s="3631">
        <v>6269</v>
      </c>
    </row>
    <row r="314" spans="1:10" ht="13.5">
      <c r="A314" s="3632">
        <v>15500</v>
      </c>
      <c r="B314" s="3631">
        <v>15550</v>
      </c>
      <c r="C314" s="3491">
        <v>0</v>
      </c>
      <c r="D314" s="3632">
        <v>3373</v>
      </c>
      <c r="E314" s="3633">
        <v>5572</v>
      </c>
      <c r="F314" s="3631">
        <v>6269</v>
      </c>
      <c r="G314" s="3491">
        <v>375</v>
      </c>
      <c r="H314" s="3633">
        <v>3373</v>
      </c>
      <c r="I314" s="3633">
        <v>5572</v>
      </c>
      <c r="J314" s="3631">
        <v>6269</v>
      </c>
    </row>
    <row r="315" spans="1:10" ht="13.5">
      <c r="A315" s="3632">
        <v>15550</v>
      </c>
      <c r="B315" s="3631">
        <v>15600</v>
      </c>
      <c r="C315" s="3491">
        <v>0</v>
      </c>
      <c r="D315" s="3632">
        <v>3373</v>
      </c>
      <c r="E315" s="3633">
        <v>5572</v>
      </c>
      <c r="F315" s="3631">
        <v>6269</v>
      </c>
      <c r="G315" s="3491">
        <v>371</v>
      </c>
      <c r="H315" s="3633">
        <v>3373</v>
      </c>
      <c r="I315" s="3633">
        <v>5572</v>
      </c>
      <c r="J315" s="3631">
        <v>6269</v>
      </c>
    </row>
    <row r="316" spans="1:10" ht="13.5">
      <c r="A316" s="3632">
        <v>15600</v>
      </c>
      <c r="B316" s="3631">
        <v>15650</v>
      </c>
      <c r="C316" s="3491">
        <v>0</v>
      </c>
      <c r="D316" s="3632">
        <v>3373</v>
      </c>
      <c r="E316" s="3633">
        <v>5572</v>
      </c>
      <c r="F316" s="3631">
        <v>6269</v>
      </c>
      <c r="G316" s="3491">
        <v>368</v>
      </c>
      <c r="H316" s="3633">
        <v>3373</v>
      </c>
      <c r="I316" s="3633">
        <v>5572</v>
      </c>
      <c r="J316" s="3631">
        <v>6269</v>
      </c>
    </row>
    <row r="317" spans="1:10" ht="13.5">
      <c r="A317" s="3632">
        <v>15650</v>
      </c>
      <c r="B317" s="3631">
        <v>15700</v>
      </c>
      <c r="C317" s="3491">
        <v>0</v>
      </c>
      <c r="D317" s="3632">
        <v>3373</v>
      </c>
      <c r="E317" s="3633">
        <v>5572</v>
      </c>
      <c r="F317" s="3631">
        <v>6269</v>
      </c>
      <c r="G317" s="3491">
        <v>364</v>
      </c>
      <c r="H317" s="3633">
        <v>3373</v>
      </c>
      <c r="I317" s="3633">
        <v>5572</v>
      </c>
      <c r="J317" s="3631">
        <v>6269</v>
      </c>
    </row>
    <row r="318" spans="1:10" ht="13.5">
      <c r="A318" s="3632">
        <v>15700</v>
      </c>
      <c r="B318" s="3631">
        <v>15750</v>
      </c>
      <c r="C318" s="3491">
        <v>0</v>
      </c>
      <c r="D318" s="3632">
        <v>3373</v>
      </c>
      <c r="E318" s="3633">
        <v>5572</v>
      </c>
      <c r="F318" s="3631">
        <v>6269</v>
      </c>
      <c r="G318" s="3491">
        <v>360</v>
      </c>
      <c r="H318" s="3633">
        <v>3373</v>
      </c>
      <c r="I318" s="3633">
        <v>5572</v>
      </c>
      <c r="J318" s="3631">
        <v>6269</v>
      </c>
    </row>
    <row r="319" spans="1:10" ht="13.5">
      <c r="A319" s="3632">
        <v>15750</v>
      </c>
      <c r="B319" s="3631">
        <v>15800</v>
      </c>
      <c r="C319" s="3491">
        <v>0</v>
      </c>
      <c r="D319" s="3632">
        <v>3373</v>
      </c>
      <c r="E319" s="3633">
        <v>5572</v>
      </c>
      <c r="F319" s="3631">
        <v>6269</v>
      </c>
      <c r="G319" s="3491">
        <v>356</v>
      </c>
      <c r="H319" s="3633">
        <v>3373</v>
      </c>
      <c r="I319" s="3633">
        <v>5572</v>
      </c>
      <c r="J319" s="3631">
        <v>6269</v>
      </c>
    </row>
    <row r="320" spans="1:10" ht="13.5">
      <c r="A320" s="3632">
        <v>15800</v>
      </c>
      <c r="B320" s="3631">
        <v>15850</v>
      </c>
      <c r="C320" s="3491">
        <v>0</v>
      </c>
      <c r="D320" s="3632">
        <v>3373</v>
      </c>
      <c r="E320" s="3633">
        <v>5572</v>
      </c>
      <c r="F320" s="3631">
        <v>6269</v>
      </c>
      <c r="G320" s="3491">
        <v>352</v>
      </c>
      <c r="H320" s="3633">
        <v>3373</v>
      </c>
      <c r="I320" s="3633">
        <v>5572</v>
      </c>
      <c r="J320" s="3631">
        <v>6269</v>
      </c>
    </row>
    <row r="321" spans="1:10" ht="13.5">
      <c r="A321" s="3632">
        <v>15850</v>
      </c>
      <c r="B321" s="3631">
        <v>15900</v>
      </c>
      <c r="C321" s="3491">
        <v>0</v>
      </c>
      <c r="D321" s="3632">
        <v>3373</v>
      </c>
      <c r="E321" s="3633">
        <v>5572</v>
      </c>
      <c r="F321" s="3631">
        <v>6269</v>
      </c>
      <c r="G321" s="3491">
        <v>348</v>
      </c>
      <c r="H321" s="3633">
        <v>3373</v>
      </c>
      <c r="I321" s="3633">
        <v>5572</v>
      </c>
      <c r="J321" s="3631">
        <v>6269</v>
      </c>
    </row>
    <row r="322" spans="1:10" ht="13.5">
      <c r="A322" s="3632">
        <v>15900</v>
      </c>
      <c r="B322" s="3631">
        <v>15950</v>
      </c>
      <c r="C322" s="3491">
        <v>0</v>
      </c>
      <c r="D322" s="3632">
        <v>3373</v>
      </c>
      <c r="E322" s="3633">
        <v>5572</v>
      </c>
      <c r="F322" s="3631">
        <v>6269</v>
      </c>
      <c r="G322" s="3491">
        <v>345</v>
      </c>
      <c r="H322" s="3633">
        <v>3373</v>
      </c>
      <c r="I322" s="3633">
        <v>5572</v>
      </c>
      <c r="J322" s="3631">
        <v>6269</v>
      </c>
    </row>
    <row r="323" spans="1:10" ht="13.5">
      <c r="A323" s="3632">
        <v>15950</v>
      </c>
      <c r="B323" s="3631">
        <v>16000</v>
      </c>
      <c r="C323" s="3491">
        <v>0</v>
      </c>
      <c r="D323" s="3632">
        <v>3373</v>
      </c>
      <c r="E323" s="3633">
        <v>5572</v>
      </c>
      <c r="F323" s="3631">
        <v>6269</v>
      </c>
      <c r="G323" s="3491">
        <v>341</v>
      </c>
      <c r="H323" s="3633">
        <v>3373</v>
      </c>
      <c r="I323" s="3633">
        <v>5572</v>
      </c>
      <c r="J323" s="3631">
        <v>6269</v>
      </c>
    </row>
    <row r="324" spans="1:10" ht="13.5">
      <c r="A324" s="3632">
        <v>16000</v>
      </c>
      <c r="B324" s="3631">
        <v>16050</v>
      </c>
      <c r="C324" s="3491">
        <v>0</v>
      </c>
      <c r="D324" s="3632">
        <v>3373</v>
      </c>
      <c r="E324" s="3633">
        <v>5572</v>
      </c>
      <c r="F324" s="3631">
        <v>6269</v>
      </c>
      <c r="G324" s="3491">
        <v>337</v>
      </c>
      <c r="H324" s="3633">
        <v>3373</v>
      </c>
      <c r="I324" s="3633">
        <v>5572</v>
      </c>
      <c r="J324" s="3631">
        <v>6269</v>
      </c>
    </row>
    <row r="325" spans="1:10" ht="13.5">
      <c r="A325" s="3632">
        <v>16050</v>
      </c>
      <c r="B325" s="3631">
        <v>16100</v>
      </c>
      <c r="C325" s="3491">
        <v>0</v>
      </c>
      <c r="D325" s="3632">
        <v>3373</v>
      </c>
      <c r="E325" s="3633">
        <v>5572</v>
      </c>
      <c r="F325" s="3631">
        <v>6269</v>
      </c>
      <c r="G325" s="3491">
        <v>333</v>
      </c>
      <c r="H325" s="3633">
        <v>3373</v>
      </c>
      <c r="I325" s="3633">
        <v>5572</v>
      </c>
      <c r="J325" s="3631">
        <v>6269</v>
      </c>
    </row>
    <row r="326" spans="1:10" ht="13.5">
      <c r="A326" s="3632">
        <v>16100</v>
      </c>
      <c r="B326" s="3631">
        <v>16150</v>
      </c>
      <c r="C326" s="3491">
        <v>0</v>
      </c>
      <c r="D326" s="3632">
        <v>3373</v>
      </c>
      <c r="E326" s="3633">
        <v>5572</v>
      </c>
      <c r="F326" s="3631">
        <v>6269</v>
      </c>
      <c r="G326" s="3491">
        <v>329</v>
      </c>
      <c r="H326" s="3633">
        <v>3373</v>
      </c>
      <c r="I326" s="3633">
        <v>5572</v>
      </c>
      <c r="J326" s="3631">
        <v>6269</v>
      </c>
    </row>
    <row r="327" spans="1:10" ht="13.5">
      <c r="A327" s="3632">
        <v>16150</v>
      </c>
      <c r="B327" s="3631">
        <v>16200</v>
      </c>
      <c r="C327" s="3491">
        <v>0</v>
      </c>
      <c r="D327" s="3632">
        <v>3373</v>
      </c>
      <c r="E327" s="3633">
        <v>5572</v>
      </c>
      <c r="F327" s="3631">
        <v>6269</v>
      </c>
      <c r="G327" s="3491">
        <v>326</v>
      </c>
      <c r="H327" s="3633">
        <v>3373</v>
      </c>
      <c r="I327" s="3633">
        <v>5572</v>
      </c>
      <c r="J327" s="3631">
        <v>6269</v>
      </c>
    </row>
    <row r="328" spans="1:10" ht="13.5">
      <c r="A328" s="3632">
        <v>16200</v>
      </c>
      <c r="B328" s="3631">
        <v>16250</v>
      </c>
      <c r="C328" s="3491">
        <v>0</v>
      </c>
      <c r="D328" s="3632">
        <v>3373</v>
      </c>
      <c r="E328" s="3633">
        <v>5572</v>
      </c>
      <c r="F328" s="3631">
        <v>6269</v>
      </c>
      <c r="G328" s="3491">
        <v>322</v>
      </c>
      <c r="H328" s="3633">
        <v>3373</v>
      </c>
      <c r="I328" s="3633">
        <v>5572</v>
      </c>
      <c r="J328" s="3631">
        <v>6269</v>
      </c>
    </row>
    <row r="329" spans="1:10" ht="13.5">
      <c r="A329" s="3632">
        <v>16250</v>
      </c>
      <c r="B329" s="3631">
        <v>16300</v>
      </c>
      <c r="C329" s="3491">
        <v>0</v>
      </c>
      <c r="D329" s="3632">
        <v>3373</v>
      </c>
      <c r="E329" s="3633">
        <v>5572</v>
      </c>
      <c r="F329" s="3631">
        <v>6269</v>
      </c>
      <c r="G329" s="3491">
        <v>318</v>
      </c>
      <c r="H329" s="3633">
        <v>3373</v>
      </c>
      <c r="I329" s="3633">
        <v>5572</v>
      </c>
      <c r="J329" s="3631">
        <v>6269</v>
      </c>
    </row>
    <row r="330" spans="1:10" ht="13.5">
      <c r="A330" s="3632">
        <v>16300</v>
      </c>
      <c r="B330" s="3631">
        <v>16350</v>
      </c>
      <c r="C330" s="3491">
        <v>0</v>
      </c>
      <c r="D330" s="3632">
        <v>3373</v>
      </c>
      <c r="E330" s="3633">
        <v>5572</v>
      </c>
      <c r="F330" s="3631">
        <v>6269</v>
      </c>
      <c r="G330" s="3491">
        <v>314</v>
      </c>
      <c r="H330" s="3633">
        <v>3373</v>
      </c>
      <c r="I330" s="3633">
        <v>5572</v>
      </c>
      <c r="J330" s="3631">
        <v>6269</v>
      </c>
    </row>
    <row r="331" spans="1:10" ht="13.5">
      <c r="A331" s="3632">
        <v>16350</v>
      </c>
      <c r="B331" s="3631">
        <v>16400</v>
      </c>
      <c r="C331" s="3491">
        <v>0</v>
      </c>
      <c r="D331" s="3632">
        <v>3373</v>
      </c>
      <c r="E331" s="3633">
        <v>5572</v>
      </c>
      <c r="F331" s="3631">
        <v>6269</v>
      </c>
      <c r="G331" s="3491">
        <v>310</v>
      </c>
      <c r="H331" s="3633">
        <v>3373</v>
      </c>
      <c r="I331" s="3633">
        <v>5572</v>
      </c>
      <c r="J331" s="3631">
        <v>6269</v>
      </c>
    </row>
    <row r="332" spans="1:10" ht="13.5">
      <c r="A332" s="3632">
        <v>16400</v>
      </c>
      <c r="B332" s="3631">
        <v>16450</v>
      </c>
      <c r="C332" s="3491">
        <v>0</v>
      </c>
      <c r="D332" s="3632">
        <v>3373</v>
      </c>
      <c r="E332" s="3633">
        <v>5572</v>
      </c>
      <c r="F332" s="3631">
        <v>6269</v>
      </c>
      <c r="G332" s="3491">
        <v>306</v>
      </c>
      <c r="H332" s="3633">
        <v>3373</v>
      </c>
      <c r="I332" s="3633">
        <v>5572</v>
      </c>
      <c r="J332" s="3631">
        <v>6269</v>
      </c>
    </row>
    <row r="333" spans="1:10" ht="13.5">
      <c r="A333" s="3632">
        <v>16450</v>
      </c>
      <c r="B333" s="3631">
        <v>16500</v>
      </c>
      <c r="C333" s="3491">
        <v>0</v>
      </c>
      <c r="D333" s="3632">
        <v>3373</v>
      </c>
      <c r="E333" s="3633">
        <v>5572</v>
      </c>
      <c r="F333" s="3631">
        <v>6269</v>
      </c>
      <c r="G333" s="3491">
        <v>303</v>
      </c>
      <c r="H333" s="3633">
        <v>3373</v>
      </c>
      <c r="I333" s="3633">
        <v>5572</v>
      </c>
      <c r="J333" s="3631">
        <v>6269</v>
      </c>
    </row>
    <row r="334" spans="1:10" ht="13.5">
      <c r="A334" s="3632">
        <v>16500</v>
      </c>
      <c r="B334" s="3631">
        <v>16550</v>
      </c>
      <c r="C334" s="3491">
        <v>0</v>
      </c>
      <c r="D334" s="3632">
        <v>3373</v>
      </c>
      <c r="E334" s="3633">
        <v>5572</v>
      </c>
      <c r="F334" s="3631">
        <v>6269</v>
      </c>
      <c r="G334" s="3491">
        <v>299</v>
      </c>
      <c r="H334" s="3633">
        <v>3373</v>
      </c>
      <c r="I334" s="3633">
        <v>5572</v>
      </c>
      <c r="J334" s="3631">
        <v>6269</v>
      </c>
    </row>
    <row r="335" spans="1:10" ht="13.5">
      <c r="A335" s="3632">
        <v>16550</v>
      </c>
      <c r="B335" s="3631">
        <v>16600</v>
      </c>
      <c r="C335" s="3491">
        <v>0</v>
      </c>
      <c r="D335" s="3632">
        <v>3373</v>
      </c>
      <c r="E335" s="3633">
        <v>5572</v>
      </c>
      <c r="F335" s="3631">
        <v>6269</v>
      </c>
      <c r="G335" s="3491">
        <v>295</v>
      </c>
      <c r="H335" s="3633">
        <v>3373</v>
      </c>
      <c r="I335" s="3633">
        <v>5572</v>
      </c>
      <c r="J335" s="3631">
        <v>6269</v>
      </c>
    </row>
    <row r="336" spans="1:10" ht="13.5">
      <c r="A336" s="3632">
        <v>16600</v>
      </c>
      <c r="B336" s="3631">
        <v>16650</v>
      </c>
      <c r="C336" s="3491">
        <v>0</v>
      </c>
      <c r="D336" s="3632">
        <v>3373</v>
      </c>
      <c r="E336" s="3633">
        <v>5572</v>
      </c>
      <c r="F336" s="3631">
        <v>6269</v>
      </c>
      <c r="G336" s="3491">
        <v>291</v>
      </c>
      <c r="H336" s="3633">
        <v>3373</v>
      </c>
      <c r="I336" s="3633">
        <v>5572</v>
      </c>
      <c r="J336" s="3631">
        <v>6269</v>
      </c>
    </row>
    <row r="337" spans="1:10" ht="13.5">
      <c r="A337" s="3632">
        <v>16650</v>
      </c>
      <c r="B337" s="3631">
        <v>16700</v>
      </c>
      <c r="C337" s="3491">
        <v>0</v>
      </c>
      <c r="D337" s="3632">
        <v>3373</v>
      </c>
      <c r="E337" s="3633">
        <v>5572</v>
      </c>
      <c r="F337" s="3631">
        <v>6269</v>
      </c>
      <c r="G337" s="3491">
        <v>287</v>
      </c>
      <c r="H337" s="3633">
        <v>3373</v>
      </c>
      <c r="I337" s="3633">
        <v>5572</v>
      </c>
      <c r="J337" s="3631">
        <v>6269</v>
      </c>
    </row>
    <row r="338" spans="1:10" ht="13.5">
      <c r="A338" s="3632">
        <v>16700</v>
      </c>
      <c r="B338" s="3631">
        <v>16750</v>
      </c>
      <c r="C338" s="3491">
        <v>0</v>
      </c>
      <c r="D338" s="3632">
        <v>3373</v>
      </c>
      <c r="E338" s="3633">
        <v>5572</v>
      </c>
      <c r="F338" s="3631">
        <v>6269</v>
      </c>
      <c r="G338" s="3491">
        <v>283</v>
      </c>
      <c r="H338" s="3633">
        <v>3373</v>
      </c>
      <c r="I338" s="3633">
        <v>5572</v>
      </c>
      <c r="J338" s="3631">
        <v>6269</v>
      </c>
    </row>
    <row r="339" spans="1:10" ht="13.5">
      <c r="A339" s="3632">
        <v>16750</v>
      </c>
      <c r="B339" s="3631">
        <v>16800</v>
      </c>
      <c r="C339" s="3491">
        <v>0</v>
      </c>
      <c r="D339" s="3632">
        <v>3373</v>
      </c>
      <c r="E339" s="3633">
        <v>5572</v>
      </c>
      <c r="F339" s="3631">
        <v>6269</v>
      </c>
      <c r="G339" s="3491">
        <v>280</v>
      </c>
      <c r="H339" s="3633">
        <v>3373</v>
      </c>
      <c r="I339" s="3633">
        <v>5572</v>
      </c>
      <c r="J339" s="3631">
        <v>6269</v>
      </c>
    </row>
    <row r="340" spans="1:10" ht="13.5">
      <c r="A340" s="3632">
        <v>16800</v>
      </c>
      <c r="B340" s="3631">
        <v>16850</v>
      </c>
      <c r="C340" s="3491">
        <v>0</v>
      </c>
      <c r="D340" s="3632">
        <v>3373</v>
      </c>
      <c r="E340" s="3633">
        <v>5572</v>
      </c>
      <c r="F340" s="3631">
        <v>6269</v>
      </c>
      <c r="G340" s="3491">
        <v>276</v>
      </c>
      <c r="H340" s="3633">
        <v>3373</v>
      </c>
      <c r="I340" s="3633">
        <v>5572</v>
      </c>
      <c r="J340" s="3631">
        <v>6269</v>
      </c>
    </row>
    <row r="341" spans="1:10" ht="13.5">
      <c r="A341" s="3632">
        <v>16850</v>
      </c>
      <c r="B341" s="3631">
        <v>16900</v>
      </c>
      <c r="C341" s="3491">
        <v>0</v>
      </c>
      <c r="D341" s="3632">
        <v>3373</v>
      </c>
      <c r="E341" s="3633">
        <v>5572</v>
      </c>
      <c r="F341" s="3631">
        <v>6269</v>
      </c>
      <c r="G341" s="3491">
        <v>272</v>
      </c>
      <c r="H341" s="3633">
        <v>3373</v>
      </c>
      <c r="I341" s="3633">
        <v>5572</v>
      </c>
      <c r="J341" s="3631">
        <v>6269</v>
      </c>
    </row>
    <row r="342" spans="1:10" ht="13.5">
      <c r="A342" s="3632">
        <v>16900</v>
      </c>
      <c r="B342" s="3631">
        <v>16950</v>
      </c>
      <c r="C342" s="3491">
        <v>0</v>
      </c>
      <c r="D342" s="3632">
        <v>3373</v>
      </c>
      <c r="E342" s="3633">
        <v>5572</v>
      </c>
      <c r="F342" s="3631">
        <v>6269</v>
      </c>
      <c r="G342" s="3491">
        <v>268</v>
      </c>
      <c r="H342" s="3633">
        <v>3373</v>
      </c>
      <c r="I342" s="3633">
        <v>5572</v>
      </c>
      <c r="J342" s="3631">
        <v>6269</v>
      </c>
    </row>
    <row r="343" spans="1:10" ht="13.5">
      <c r="A343" s="3632">
        <v>16950</v>
      </c>
      <c r="B343" s="3631">
        <v>17000</v>
      </c>
      <c r="C343" s="3491">
        <v>0</v>
      </c>
      <c r="D343" s="3632">
        <v>3373</v>
      </c>
      <c r="E343" s="3633">
        <v>5572</v>
      </c>
      <c r="F343" s="3631">
        <v>6269</v>
      </c>
      <c r="G343" s="3491">
        <v>264</v>
      </c>
      <c r="H343" s="3633">
        <v>3373</v>
      </c>
      <c r="I343" s="3633">
        <v>5572</v>
      </c>
      <c r="J343" s="3631">
        <v>6269</v>
      </c>
    </row>
    <row r="344" spans="1:10" ht="13.5">
      <c r="A344" s="3632">
        <v>17000</v>
      </c>
      <c r="B344" s="3631">
        <v>17050</v>
      </c>
      <c r="C344" s="3491">
        <v>0</v>
      </c>
      <c r="D344" s="3632">
        <v>3373</v>
      </c>
      <c r="E344" s="3633">
        <v>5572</v>
      </c>
      <c r="F344" s="3631">
        <v>6269</v>
      </c>
      <c r="G344" s="3491">
        <v>260</v>
      </c>
      <c r="H344" s="3633">
        <v>3373</v>
      </c>
      <c r="I344" s="3633">
        <v>5572</v>
      </c>
      <c r="J344" s="3631">
        <v>6269</v>
      </c>
    </row>
    <row r="345" spans="1:10" ht="13.5">
      <c r="A345" s="3632">
        <v>17050</v>
      </c>
      <c r="B345" s="3631">
        <v>17100</v>
      </c>
      <c r="C345" s="3491">
        <v>0</v>
      </c>
      <c r="D345" s="3632">
        <v>3373</v>
      </c>
      <c r="E345" s="3633">
        <v>5572</v>
      </c>
      <c r="F345" s="3631">
        <v>6269</v>
      </c>
      <c r="G345" s="3491">
        <v>257</v>
      </c>
      <c r="H345" s="3633">
        <v>3373</v>
      </c>
      <c r="I345" s="3633">
        <v>5572</v>
      </c>
      <c r="J345" s="3631">
        <v>6269</v>
      </c>
    </row>
    <row r="346" spans="1:10" ht="13.5">
      <c r="A346" s="3632">
        <v>17100</v>
      </c>
      <c r="B346" s="3631">
        <v>17150</v>
      </c>
      <c r="C346" s="3491">
        <v>0</v>
      </c>
      <c r="D346" s="3632">
        <v>3373</v>
      </c>
      <c r="E346" s="3633">
        <v>5572</v>
      </c>
      <c r="F346" s="3631">
        <v>6269</v>
      </c>
      <c r="G346" s="3491">
        <v>253</v>
      </c>
      <c r="H346" s="3633">
        <v>3373</v>
      </c>
      <c r="I346" s="3633">
        <v>5572</v>
      </c>
      <c r="J346" s="3631">
        <v>6269</v>
      </c>
    </row>
    <row r="347" spans="1:10" ht="13.5">
      <c r="A347" s="3632">
        <v>17150</v>
      </c>
      <c r="B347" s="3631">
        <v>17200</v>
      </c>
      <c r="C347" s="3491">
        <v>0</v>
      </c>
      <c r="D347" s="3632">
        <v>3373</v>
      </c>
      <c r="E347" s="3633">
        <v>5572</v>
      </c>
      <c r="F347" s="3631">
        <v>6269</v>
      </c>
      <c r="G347" s="3491">
        <v>249</v>
      </c>
      <c r="H347" s="3633">
        <v>3373</v>
      </c>
      <c r="I347" s="3633">
        <v>5572</v>
      </c>
      <c r="J347" s="3631">
        <v>6269</v>
      </c>
    </row>
    <row r="348" spans="1:10" ht="13.5">
      <c r="A348" s="3632">
        <v>17200</v>
      </c>
      <c r="B348" s="3631">
        <v>17250</v>
      </c>
      <c r="C348" s="3491">
        <v>0</v>
      </c>
      <c r="D348" s="3632">
        <v>3373</v>
      </c>
      <c r="E348" s="3633">
        <v>5572</v>
      </c>
      <c r="F348" s="3631">
        <v>6269</v>
      </c>
      <c r="G348" s="3491">
        <v>245</v>
      </c>
      <c r="H348" s="3633">
        <v>3373</v>
      </c>
      <c r="I348" s="3633">
        <v>5572</v>
      </c>
      <c r="J348" s="3631">
        <v>6269</v>
      </c>
    </row>
    <row r="349" spans="1:10" ht="13.5">
      <c r="A349" s="3632">
        <v>17250</v>
      </c>
      <c r="B349" s="3631">
        <v>17300</v>
      </c>
      <c r="C349" s="3491">
        <v>0</v>
      </c>
      <c r="D349" s="3632">
        <v>3373</v>
      </c>
      <c r="E349" s="3633">
        <v>5572</v>
      </c>
      <c r="F349" s="3631">
        <v>6269</v>
      </c>
      <c r="G349" s="3491">
        <v>241</v>
      </c>
      <c r="H349" s="3633">
        <v>3373</v>
      </c>
      <c r="I349" s="3633">
        <v>5572</v>
      </c>
      <c r="J349" s="3631">
        <v>6269</v>
      </c>
    </row>
    <row r="350" spans="1:10" ht="13.5">
      <c r="A350" s="3632">
        <v>17300</v>
      </c>
      <c r="B350" s="3631">
        <v>17350</v>
      </c>
      <c r="C350" s="3491">
        <v>0</v>
      </c>
      <c r="D350" s="3632">
        <v>3373</v>
      </c>
      <c r="E350" s="3633">
        <v>5572</v>
      </c>
      <c r="F350" s="3631">
        <v>6269</v>
      </c>
      <c r="G350" s="3491">
        <v>238</v>
      </c>
      <c r="H350" s="3633">
        <v>3373</v>
      </c>
      <c r="I350" s="3633">
        <v>5572</v>
      </c>
      <c r="J350" s="3631">
        <v>6269</v>
      </c>
    </row>
    <row r="351" spans="1:10" ht="13.5">
      <c r="A351" s="3632">
        <v>17350</v>
      </c>
      <c r="B351" s="3631">
        <v>17400</v>
      </c>
      <c r="C351" s="3491">
        <v>0</v>
      </c>
      <c r="D351" s="3632">
        <v>3373</v>
      </c>
      <c r="E351" s="3633">
        <v>5572</v>
      </c>
      <c r="F351" s="3631">
        <v>6269</v>
      </c>
      <c r="G351" s="3491">
        <v>234</v>
      </c>
      <c r="H351" s="3633">
        <v>3373</v>
      </c>
      <c r="I351" s="3633">
        <v>5572</v>
      </c>
      <c r="J351" s="3631">
        <v>6269</v>
      </c>
    </row>
    <row r="352" spans="1:10" ht="13.5">
      <c r="A352" s="3632">
        <v>17400</v>
      </c>
      <c r="B352" s="3631">
        <v>17450</v>
      </c>
      <c r="C352" s="3491">
        <v>0</v>
      </c>
      <c r="D352" s="3632">
        <v>3373</v>
      </c>
      <c r="E352" s="3633">
        <v>5572</v>
      </c>
      <c r="F352" s="3631">
        <v>6269</v>
      </c>
      <c r="G352" s="3491">
        <v>230</v>
      </c>
      <c r="H352" s="3633">
        <v>3373</v>
      </c>
      <c r="I352" s="3633">
        <v>5572</v>
      </c>
      <c r="J352" s="3631">
        <v>6269</v>
      </c>
    </row>
    <row r="353" spans="1:10" ht="13.5">
      <c r="A353" s="3632">
        <v>17450</v>
      </c>
      <c r="B353" s="3631">
        <v>17500</v>
      </c>
      <c r="C353" s="3491">
        <v>0</v>
      </c>
      <c r="D353" s="3632">
        <v>3373</v>
      </c>
      <c r="E353" s="3633">
        <v>5572</v>
      </c>
      <c r="F353" s="3631">
        <v>6269</v>
      </c>
      <c r="G353" s="3491">
        <v>226</v>
      </c>
      <c r="H353" s="3633">
        <v>3373</v>
      </c>
      <c r="I353" s="3633">
        <v>5572</v>
      </c>
      <c r="J353" s="3631">
        <v>6269</v>
      </c>
    </row>
    <row r="354" spans="1:10" ht="13.5">
      <c r="A354" s="3632">
        <v>17500</v>
      </c>
      <c r="B354" s="3631">
        <v>17550</v>
      </c>
      <c r="C354" s="3491">
        <v>0</v>
      </c>
      <c r="D354" s="3632">
        <v>3373</v>
      </c>
      <c r="E354" s="3633">
        <v>5572</v>
      </c>
      <c r="F354" s="3631">
        <v>6269</v>
      </c>
      <c r="G354" s="3491">
        <v>222</v>
      </c>
      <c r="H354" s="3633">
        <v>3373</v>
      </c>
      <c r="I354" s="3633">
        <v>5572</v>
      </c>
      <c r="J354" s="3631">
        <v>6269</v>
      </c>
    </row>
    <row r="355" spans="1:10" ht="13.5">
      <c r="A355" s="3632">
        <v>17550</v>
      </c>
      <c r="B355" s="3631">
        <v>17600</v>
      </c>
      <c r="C355" s="3491">
        <v>0</v>
      </c>
      <c r="D355" s="3632">
        <v>3373</v>
      </c>
      <c r="E355" s="3633">
        <v>5572</v>
      </c>
      <c r="F355" s="3631">
        <v>6269</v>
      </c>
      <c r="G355" s="3491">
        <v>218</v>
      </c>
      <c r="H355" s="3633">
        <v>3373</v>
      </c>
      <c r="I355" s="3633">
        <v>5572</v>
      </c>
      <c r="J355" s="3631">
        <v>6269</v>
      </c>
    </row>
    <row r="356" spans="1:10" ht="13.5">
      <c r="A356" s="3632">
        <v>17600</v>
      </c>
      <c r="B356" s="3631">
        <v>17650</v>
      </c>
      <c r="C356" s="3491">
        <v>0</v>
      </c>
      <c r="D356" s="3632">
        <v>3373</v>
      </c>
      <c r="E356" s="3633">
        <v>5572</v>
      </c>
      <c r="F356" s="3631">
        <v>6269</v>
      </c>
      <c r="G356" s="3491">
        <v>215</v>
      </c>
      <c r="H356" s="3633">
        <v>3373</v>
      </c>
      <c r="I356" s="3633">
        <v>5572</v>
      </c>
      <c r="J356" s="3631">
        <v>6269</v>
      </c>
    </row>
    <row r="357" spans="1:10" ht="13.5">
      <c r="A357" s="3632">
        <v>17650</v>
      </c>
      <c r="B357" s="3631">
        <v>17700</v>
      </c>
      <c r="C357" s="3491">
        <v>0</v>
      </c>
      <c r="D357" s="3632">
        <v>3373</v>
      </c>
      <c r="E357" s="3633">
        <v>5572</v>
      </c>
      <c r="F357" s="3631">
        <v>6269</v>
      </c>
      <c r="G357" s="3491">
        <v>211</v>
      </c>
      <c r="H357" s="3633">
        <v>3373</v>
      </c>
      <c r="I357" s="3633">
        <v>5572</v>
      </c>
      <c r="J357" s="3631">
        <v>6269</v>
      </c>
    </row>
    <row r="358" spans="1:10" ht="13.5">
      <c r="A358" s="3632">
        <v>17700</v>
      </c>
      <c r="B358" s="3631">
        <v>17750</v>
      </c>
      <c r="C358" s="3491">
        <v>0</v>
      </c>
      <c r="D358" s="3632">
        <v>3373</v>
      </c>
      <c r="E358" s="3633">
        <v>5572</v>
      </c>
      <c r="F358" s="3631">
        <v>6269</v>
      </c>
      <c r="G358" s="3491">
        <v>207</v>
      </c>
      <c r="H358" s="3633">
        <v>3373</v>
      </c>
      <c r="I358" s="3633">
        <v>5572</v>
      </c>
      <c r="J358" s="3631">
        <v>6269</v>
      </c>
    </row>
    <row r="359" spans="1:10" ht="13.5">
      <c r="A359" s="3632">
        <v>17750</v>
      </c>
      <c r="B359" s="3631">
        <v>17800</v>
      </c>
      <c r="C359" s="3491">
        <v>0</v>
      </c>
      <c r="D359" s="3632">
        <v>3373</v>
      </c>
      <c r="E359" s="3633">
        <v>5572</v>
      </c>
      <c r="F359" s="3631">
        <v>6269</v>
      </c>
      <c r="G359" s="3491">
        <v>203</v>
      </c>
      <c r="H359" s="3633">
        <v>3373</v>
      </c>
      <c r="I359" s="3633">
        <v>5572</v>
      </c>
      <c r="J359" s="3631">
        <v>6269</v>
      </c>
    </row>
    <row r="360" spans="1:10" ht="13.5">
      <c r="A360" s="3632">
        <v>17800</v>
      </c>
      <c r="B360" s="3631">
        <v>17850</v>
      </c>
      <c r="C360" s="3491">
        <v>0</v>
      </c>
      <c r="D360" s="3632">
        <v>3373</v>
      </c>
      <c r="E360" s="3633">
        <v>5572</v>
      </c>
      <c r="F360" s="3631">
        <v>6269</v>
      </c>
      <c r="G360" s="3491">
        <v>199</v>
      </c>
      <c r="H360" s="3633">
        <v>3373</v>
      </c>
      <c r="I360" s="3633">
        <v>5572</v>
      </c>
      <c r="J360" s="3631">
        <v>6269</v>
      </c>
    </row>
    <row r="361" spans="1:10" ht="13.5">
      <c r="A361" s="3632">
        <v>17850</v>
      </c>
      <c r="B361" s="3631">
        <v>17900</v>
      </c>
      <c r="C361" s="3491">
        <v>0</v>
      </c>
      <c r="D361" s="3632">
        <v>3373</v>
      </c>
      <c r="E361" s="3633">
        <v>5572</v>
      </c>
      <c r="F361" s="3631">
        <v>6269</v>
      </c>
      <c r="G361" s="3491">
        <v>195</v>
      </c>
      <c r="H361" s="3633">
        <v>3373</v>
      </c>
      <c r="I361" s="3633">
        <v>5572</v>
      </c>
      <c r="J361" s="3631">
        <v>6269</v>
      </c>
    </row>
    <row r="362" spans="1:10" ht="13.5">
      <c r="A362" s="3632">
        <v>17900</v>
      </c>
      <c r="B362" s="3631">
        <v>17950</v>
      </c>
      <c r="C362" s="3491">
        <v>0</v>
      </c>
      <c r="D362" s="3632">
        <v>3373</v>
      </c>
      <c r="E362" s="3633">
        <v>5572</v>
      </c>
      <c r="F362" s="3631">
        <v>6269</v>
      </c>
      <c r="G362" s="3491">
        <v>192</v>
      </c>
      <c r="H362" s="3633">
        <v>3373</v>
      </c>
      <c r="I362" s="3633">
        <v>5572</v>
      </c>
      <c r="J362" s="3631">
        <v>6269</v>
      </c>
    </row>
    <row r="363" spans="1:10" ht="13.5">
      <c r="A363" s="3632">
        <v>17950</v>
      </c>
      <c r="B363" s="3631">
        <v>18000</v>
      </c>
      <c r="C363" s="3491">
        <v>0</v>
      </c>
      <c r="D363" s="3632">
        <v>3373</v>
      </c>
      <c r="E363" s="3633">
        <v>5572</v>
      </c>
      <c r="F363" s="3631">
        <v>6269</v>
      </c>
      <c r="G363" s="3491">
        <v>188</v>
      </c>
      <c r="H363" s="3633">
        <v>3373</v>
      </c>
      <c r="I363" s="3633">
        <v>5572</v>
      </c>
      <c r="J363" s="3631">
        <v>6269</v>
      </c>
    </row>
    <row r="364" spans="1:10" ht="13.5">
      <c r="A364" s="3632">
        <v>18000</v>
      </c>
      <c r="B364" s="3631">
        <v>18050</v>
      </c>
      <c r="C364" s="3491">
        <v>0</v>
      </c>
      <c r="D364" s="3632">
        <v>3373</v>
      </c>
      <c r="E364" s="3633">
        <v>5572</v>
      </c>
      <c r="F364" s="3631">
        <v>6269</v>
      </c>
      <c r="G364" s="3491">
        <v>184</v>
      </c>
      <c r="H364" s="3633">
        <v>3373</v>
      </c>
      <c r="I364" s="3633">
        <v>5572</v>
      </c>
      <c r="J364" s="3631">
        <v>6269</v>
      </c>
    </row>
    <row r="365" spans="1:10" ht="13.5">
      <c r="A365" s="3632">
        <v>18050</v>
      </c>
      <c r="B365" s="3631">
        <v>18100</v>
      </c>
      <c r="C365" s="3491">
        <v>0</v>
      </c>
      <c r="D365" s="3632">
        <v>3373</v>
      </c>
      <c r="E365" s="3633">
        <v>5572</v>
      </c>
      <c r="F365" s="3631">
        <v>6269</v>
      </c>
      <c r="G365" s="3491">
        <v>180</v>
      </c>
      <c r="H365" s="3633">
        <v>3373</v>
      </c>
      <c r="I365" s="3633">
        <v>5572</v>
      </c>
      <c r="J365" s="3631">
        <v>6269</v>
      </c>
    </row>
    <row r="366" spans="1:10" ht="13.5">
      <c r="A366" s="3632">
        <v>18100</v>
      </c>
      <c r="B366" s="3631">
        <v>18150</v>
      </c>
      <c r="C366" s="3491">
        <v>0</v>
      </c>
      <c r="D366" s="3632">
        <v>3373</v>
      </c>
      <c r="E366" s="3633">
        <v>5572</v>
      </c>
      <c r="F366" s="3631">
        <v>6269</v>
      </c>
      <c r="G366" s="3491">
        <v>176</v>
      </c>
      <c r="H366" s="3633">
        <v>3373</v>
      </c>
      <c r="I366" s="3633">
        <v>5572</v>
      </c>
      <c r="J366" s="3631">
        <v>6269</v>
      </c>
    </row>
    <row r="367" spans="1:10" ht="13.5">
      <c r="A367" s="3632">
        <v>18150</v>
      </c>
      <c r="B367" s="3631">
        <v>18200</v>
      </c>
      <c r="C367" s="3491">
        <v>0</v>
      </c>
      <c r="D367" s="3632">
        <v>3373</v>
      </c>
      <c r="E367" s="3633">
        <v>5572</v>
      </c>
      <c r="F367" s="3631">
        <v>6269</v>
      </c>
      <c r="G367" s="3491">
        <v>173</v>
      </c>
      <c r="H367" s="3633">
        <v>3373</v>
      </c>
      <c r="I367" s="3633">
        <v>5572</v>
      </c>
      <c r="J367" s="3631">
        <v>6269</v>
      </c>
    </row>
    <row r="368" spans="1:10" ht="13.5">
      <c r="A368" s="3632">
        <v>18200</v>
      </c>
      <c r="B368" s="3631">
        <v>18250</v>
      </c>
      <c r="C368" s="3491">
        <v>0</v>
      </c>
      <c r="D368" s="3632">
        <v>3367</v>
      </c>
      <c r="E368" s="3633">
        <v>5565</v>
      </c>
      <c r="F368" s="3631">
        <v>6261</v>
      </c>
      <c r="G368" s="3491">
        <v>169</v>
      </c>
      <c r="H368" s="3633">
        <v>3373</v>
      </c>
      <c r="I368" s="3633">
        <v>5572</v>
      </c>
      <c r="J368" s="3631">
        <v>6269</v>
      </c>
    </row>
    <row r="369" spans="1:10" ht="13.5">
      <c r="A369" s="3632">
        <v>18250</v>
      </c>
      <c r="B369" s="3631">
        <v>18300</v>
      </c>
      <c r="C369" s="3491">
        <v>0</v>
      </c>
      <c r="D369" s="3632">
        <v>3359</v>
      </c>
      <c r="E369" s="3633">
        <v>5554</v>
      </c>
      <c r="F369" s="3631">
        <v>6251</v>
      </c>
      <c r="G369" s="3491">
        <v>165</v>
      </c>
      <c r="H369" s="3633">
        <v>3373</v>
      </c>
      <c r="I369" s="3633">
        <v>5572</v>
      </c>
      <c r="J369" s="3631">
        <v>6269</v>
      </c>
    </row>
    <row r="370" spans="1:10" ht="13.5">
      <c r="A370" s="3632">
        <v>18300</v>
      </c>
      <c r="B370" s="3631">
        <v>18350</v>
      </c>
      <c r="C370" s="3491">
        <v>0</v>
      </c>
      <c r="D370" s="3632">
        <v>3351</v>
      </c>
      <c r="E370" s="3633">
        <v>5544</v>
      </c>
      <c r="F370" s="3631">
        <v>6240</v>
      </c>
      <c r="G370" s="3491">
        <v>161</v>
      </c>
      <c r="H370" s="3633">
        <v>3373</v>
      </c>
      <c r="I370" s="3633">
        <v>5572</v>
      </c>
      <c r="J370" s="3631">
        <v>6269</v>
      </c>
    </row>
    <row r="371" spans="1:10" ht="13.5">
      <c r="A371" s="3632">
        <v>18350</v>
      </c>
      <c r="B371" s="3631">
        <v>18400</v>
      </c>
      <c r="C371" s="3491">
        <v>0</v>
      </c>
      <c r="D371" s="3632">
        <v>3343</v>
      </c>
      <c r="E371" s="3633">
        <v>5533</v>
      </c>
      <c r="F371" s="3631">
        <v>6230</v>
      </c>
      <c r="G371" s="3491">
        <v>157</v>
      </c>
      <c r="H371" s="3633">
        <v>3373</v>
      </c>
      <c r="I371" s="3633">
        <v>5572</v>
      </c>
      <c r="J371" s="3631">
        <v>6269</v>
      </c>
    </row>
    <row r="372" spans="1:10" ht="13.5">
      <c r="A372" s="3632">
        <v>18400</v>
      </c>
      <c r="B372" s="3631">
        <v>18450</v>
      </c>
      <c r="C372" s="3491">
        <v>0</v>
      </c>
      <c r="D372" s="3632">
        <v>3335</v>
      </c>
      <c r="E372" s="3633">
        <v>5523</v>
      </c>
      <c r="F372" s="3631">
        <v>6219</v>
      </c>
      <c r="G372" s="3491">
        <v>153</v>
      </c>
      <c r="H372" s="3633">
        <v>3373</v>
      </c>
      <c r="I372" s="3633">
        <v>5572</v>
      </c>
      <c r="J372" s="3631">
        <v>6269</v>
      </c>
    </row>
    <row r="373" spans="1:10" ht="13.5">
      <c r="A373" s="3632">
        <v>18450</v>
      </c>
      <c r="B373" s="3631">
        <v>18500</v>
      </c>
      <c r="C373" s="3491">
        <v>0</v>
      </c>
      <c r="D373" s="3632">
        <v>3327</v>
      </c>
      <c r="E373" s="3633">
        <v>5512</v>
      </c>
      <c r="F373" s="3631">
        <v>6208</v>
      </c>
      <c r="G373" s="3491">
        <v>150</v>
      </c>
      <c r="H373" s="3633">
        <v>3373</v>
      </c>
      <c r="I373" s="3633">
        <v>5572</v>
      </c>
      <c r="J373" s="3631">
        <v>6269</v>
      </c>
    </row>
    <row r="374" spans="1:10" ht="13.5">
      <c r="A374" s="3632">
        <v>18500</v>
      </c>
      <c r="B374" s="3631">
        <v>18550</v>
      </c>
      <c r="C374" s="3491">
        <v>0</v>
      </c>
      <c r="D374" s="3632">
        <v>3319</v>
      </c>
      <c r="E374" s="3633">
        <v>5501</v>
      </c>
      <c r="F374" s="3631">
        <v>6198</v>
      </c>
      <c r="G374" s="3491">
        <v>146</v>
      </c>
      <c r="H374" s="3633">
        <v>3373</v>
      </c>
      <c r="I374" s="3633">
        <v>5572</v>
      </c>
      <c r="J374" s="3631">
        <v>6269</v>
      </c>
    </row>
    <row r="375" spans="1:10" ht="13.5">
      <c r="A375" s="3632">
        <v>18550</v>
      </c>
      <c r="B375" s="3631">
        <v>18600</v>
      </c>
      <c r="C375" s="3491">
        <v>0</v>
      </c>
      <c r="D375" s="3632">
        <v>3311</v>
      </c>
      <c r="E375" s="3633">
        <v>5491</v>
      </c>
      <c r="F375" s="3631">
        <v>6187</v>
      </c>
      <c r="G375" s="3491">
        <v>142</v>
      </c>
      <c r="H375" s="3633">
        <v>3373</v>
      </c>
      <c r="I375" s="3633">
        <v>5572</v>
      </c>
      <c r="J375" s="3631">
        <v>6269</v>
      </c>
    </row>
    <row r="376" spans="1:10" ht="13.5">
      <c r="A376" s="3632">
        <v>18600</v>
      </c>
      <c r="B376" s="3631">
        <v>18650</v>
      </c>
      <c r="C376" s="3491">
        <v>0</v>
      </c>
      <c r="D376" s="3632">
        <v>3303</v>
      </c>
      <c r="E376" s="3633">
        <v>5480</v>
      </c>
      <c r="F376" s="3631">
        <v>6177</v>
      </c>
      <c r="G376" s="3491">
        <v>138</v>
      </c>
      <c r="H376" s="3633">
        <v>3373</v>
      </c>
      <c r="I376" s="3633">
        <v>5572</v>
      </c>
      <c r="J376" s="3631">
        <v>6269</v>
      </c>
    </row>
    <row r="377" spans="1:10" ht="13.5">
      <c r="A377" s="3632">
        <v>18650</v>
      </c>
      <c r="B377" s="3631">
        <v>18700</v>
      </c>
      <c r="C377" s="3491">
        <v>0</v>
      </c>
      <c r="D377" s="3632">
        <v>3295</v>
      </c>
      <c r="E377" s="3633">
        <v>5470</v>
      </c>
      <c r="F377" s="3631">
        <v>6166</v>
      </c>
      <c r="G377" s="3491">
        <v>134</v>
      </c>
      <c r="H377" s="3633">
        <v>3373</v>
      </c>
      <c r="I377" s="3633">
        <v>5572</v>
      </c>
      <c r="J377" s="3631">
        <v>6269</v>
      </c>
    </row>
    <row r="378" spans="1:10" ht="13.5">
      <c r="A378" s="3632">
        <v>18700</v>
      </c>
      <c r="B378" s="3631">
        <v>18750</v>
      </c>
      <c r="C378" s="3491">
        <v>0</v>
      </c>
      <c r="D378" s="3632">
        <v>3287</v>
      </c>
      <c r="E378" s="3633">
        <v>5459</v>
      </c>
      <c r="F378" s="3631">
        <v>6156</v>
      </c>
      <c r="G378" s="3491">
        <v>130</v>
      </c>
      <c r="H378" s="3633">
        <v>3373</v>
      </c>
      <c r="I378" s="3633">
        <v>5572</v>
      </c>
      <c r="J378" s="3631">
        <v>6269</v>
      </c>
    </row>
    <row r="379" spans="1:10" ht="13.5">
      <c r="A379" s="3632">
        <v>18750</v>
      </c>
      <c r="B379" s="3631">
        <v>18800</v>
      </c>
      <c r="C379" s="3491">
        <v>0</v>
      </c>
      <c r="D379" s="3632">
        <v>3279</v>
      </c>
      <c r="E379" s="3633">
        <v>5449</v>
      </c>
      <c r="F379" s="3631">
        <v>6145</v>
      </c>
      <c r="G379" s="3491">
        <v>127</v>
      </c>
      <c r="H379" s="3633">
        <v>3373</v>
      </c>
      <c r="I379" s="3633">
        <v>5572</v>
      </c>
      <c r="J379" s="3631">
        <v>6269</v>
      </c>
    </row>
    <row r="380" spans="1:10" ht="13.5">
      <c r="A380" s="3632">
        <v>18800</v>
      </c>
      <c r="B380" s="3631">
        <v>18850</v>
      </c>
      <c r="C380" s="3491">
        <v>0</v>
      </c>
      <c r="D380" s="3632">
        <v>3271</v>
      </c>
      <c r="E380" s="3633">
        <v>5438</v>
      </c>
      <c r="F380" s="3631">
        <v>6135</v>
      </c>
      <c r="G380" s="3491">
        <v>123</v>
      </c>
      <c r="H380" s="3633">
        <v>3373</v>
      </c>
      <c r="I380" s="3633">
        <v>5572</v>
      </c>
      <c r="J380" s="3631">
        <v>6269</v>
      </c>
    </row>
    <row r="381" spans="1:10" ht="13.5">
      <c r="A381" s="3632">
        <v>18850</v>
      </c>
      <c r="B381" s="3631">
        <v>18900</v>
      </c>
      <c r="C381" s="3491">
        <v>0</v>
      </c>
      <c r="D381" s="3632">
        <v>3263</v>
      </c>
      <c r="E381" s="3633">
        <v>5428</v>
      </c>
      <c r="F381" s="3631">
        <v>6124</v>
      </c>
      <c r="G381" s="3491">
        <v>119</v>
      </c>
      <c r="H381" s="3633">
        <v>3373</v>
      </c>
      <c r="I381" s="3633">
        <v>5572</v>
      </c>
      <c r="J381" s="3631">
        <v>6269</v>
      </c>
    </row>
    <row r="382" spans="1:10" ht="13.5">
      <c r="A382" s="3632">
        <v>18900</v>
      </c>
      <c r="B382" s="3631">
        <v>18950</v>
      </c>
      <c r="C382" s="3491">
        <v>0</v>
      </c>
      <c r="D382" s="3632">
        <v>3255</v>
      </c>
      <c r="E382" s="3633">
        <v>5417</v>
      </c>
      <c r="F382" s="3631">
        <v>6114</v>
      </c>
      <c r="G382" s="3491">
        <v>115</v>
      </c>
      <c r="H382" s="3633">
        <v>3373</v>
      </c>
      <c r="I382" s="3633">
        <v>5572</v>
      </c>
      <c r="J382" s="3631">
        <v>6269</v>
      </c>
    </row>
    <row r="383" spans="1:10" ht="13.5">
      <c r="A383" s="3632">
        <v>18950</v>
      </c>
      <c r="B383" s="3631">
        <v>19000</v>
      </c>
      <c r="C383" s="3491">
        <v>0</v>
      </c>
      <c r="D383" s="3632">
        <v>3247</v>
      </c>
      <c r="E383" s="3633">
        <v>5407</v>
      </c>
      <c r="F383" s="3631">
        <v>6103</v>
      </c>
      <c r="G383" s="3491">
        <v>111</v>
      </c>
      <c r="H383" s="3633">
        <v>3373</v>
      </c>
      <c r="I383" s="3633">
        <v>5572</v>
      </c>
      <c r="J383" s="3631">
        <v>6269</v>
      </c>
    </row>
    <row r="384" spans="1:10" ht="13.5">
      <c r="A384" s="3632">
        <v>19000</v>
      </c>
      <c r="B384" s="3631">
        <v>19050</v>
      </c>
      <c r="C384" s="3491">
        <v>0</v>
      </c>
      <c r="D384" s="3632">
        <v>3239</v>
      </c>
      <c r="E384" s="3633">
        <v>5396</v>
      </c>
      <c r="F384" s="3631">
        <v>6093</v>
      </c>
      <c r="G384" s="3491">
        <v>107</v>
      </c>
      <c r="H384" s="3633">
        <v>3373</v>
      </c>
      <c r="I384" s="3633">
        <v>5572</v>
      </c>
      <c r="J384" s="3631">
        <v>6269</v>
      </c>
    </row>
    <row r="385" spans="1:10" ht="13.5">
      <c r="A385" s="3632">
        <v>19050</v>
      </c>
      <c r="B385" s="3631">
        <v>19100</v>
      </c>
      <c r="C385" s="3491">
        <v>0</v>
      </c>
      <c r="D385" s="3632">
        <v>3231</v>
      </c>
      <c r="E385" s="3633">
        <v>5386</v>
      </c>
      <c r="F385" s="3631">
        <v>6082</v>
      </c>
      <c r="G385" s="3491">
        <v>104</v>
      </c>
      <c r="H385" s="3633">
        <v>3373</v>
      </c>
      <c r="I385" s="3633">
        <v>5572</v>
      </c>
      <c r="J385" s="3631">
        <v>6269</v>
      </c>
    </row>
    <row r="386" spans="1:10" ht="13.5">
      <c r="A386" s="3632">
        <v>19100</v>
      </c>
      <c r="B386" s="3631">
        <v>19150</v>
      </c>
      <c r="C386" s="3491">
        <v>0</v>
      </c>
      <c r="D386" s="3632">
        <v>3223</v>
      </c>
      <c r="E386" s="3633">
        <v>5375</v>
      </c>
      <c r="F386" s="3631">
        <v>6072</v>
      </c>
      <c r="G386" s="3491">
        <v>100</v>
      </c>
      <c r="H386" s="3633">
        <v>3373</v>
      </c>
      <c r="I386" s="3633">
        <v>5572</v>
      </c>
      <c r="J386" s="3631">
        <v>6269</v>
      </c>
    </row>
    <row r="387" spans="1:10" ht="13.5">
      <c r="A387" s="3632">
        <v>19150</v>
      </c>
      <c r="B387" s="3631">
        <v>19200</v>
      </c>
      <c r="C387" s="3491">
        <v>0</v>
      </c>
      <c r="D387" s="3632">
        <v>3215</v>
      </c>
      <c r="E387" s="3633">
        <v>5365</v>
      </c>
      <c r="F387" s="3631">
        <v>6061</v>
      </c>
      <c r="G387" s="3491">
        <v>96</v>
      </c>
      <c r="H387" s="3633">
        <v>3373</v>
      </c>
      <c r="I387" s="3633">
        <v>5572</v>
      </c>
      <c r="J387" s="3631">
        <v>6269</v>
      </c>
    </row>
    <row r="388" spans="1:10" ht="13.5">
      <c r="A388" s="3632">
        <v>19200</v>
      </c>
      <c r="B388" s="3631">
        <v>19250</v>
      </c>
      <c r="C388" s="3491">
        <v>0</v>
      </c>
      <c r="D388" s="3632">
        <v>3207</v>
      </c>
      <c r="E388" s="3633">
        <v>5354</v>
      </c>
      <c r="F388" s="3631">
        <v>6051</v>
      </c>
      <c r="G388" s="3491">
        <v>92</v>
      </c>
      <c r="H388" s="3633">
        <v>3373</v>
      </c>
      <c r="I388" s="3633">
        <v>5572</v>
      </c>
      <c r="J388" s="3631">
        <v>6269</v>
      </c>
    </row>
    <row r="389" spans="1:10" ht="13.5">
      <c r="A389" s="3632">
        <v>19250</v>
      </c>
      <c r="B389" s="3631">
        <v>19300</v>
      </c>
      <c r="C389" s="3491">
        <v>0</v>
      </c>
      <c r="D389" s="3632">
        <v>3199</v>
      </c>
      <c r="E389" s="3633">
        <v>5343</v>
      </c>
      <c r="F389" s="3631">
        <v>6040</v>
      </c>
      <c r="G389" s="3491">
        <v>88</v>
      </c>
      <c r="H389" s="3633">
        <v>3373</v>
      </c>
      <c r="I389" s="3633">
        <v>5572</v>
      </c>
      <c r="J389" s="3631">
        <v>6269</v>
      </c>
    </row>
    <row r="390" spans="1:10" ht="13.5">
      <c r="A390" s="3632">
        <v>19300</v>
      </c>
      <c r="B390" s="3631">
        <v>19350</v>
      </c>
      <c r="C390" s="3491">
        <v>0</v>
      </c>
      <c r="D390" s="3632">
        <v>3191</v>
      </c>
      <c r="E390" s="3633">
        <v>5333</v>
      </c>
      <c r="F390" s="3631">
        <v>6029</v>
      </c>
      <c r="G390" s="3491">
        <v>85</v>
      </c>
      <c r="H390" s="3633">
        <v>3373</v>
      </c>
      <c r="I390" s="3633">
        <v>5572</v>
      </c>
      <c r="J390" s="3631">
        <v>6269</v>
      </c>
    </row>
    <row r="391" spans="1:10" ht="13.5">
      <c r="A391" s="3632">
        <v>19350</v>
      </c>
      <c r="B391" s="3631">
        <v>19400</v>
      </c>
      <c r="C391" s="3491">
        <v>0</v>
      </c>
      <c r="D391" s="3632">
        <v>3183</v>
      </c>
      <c r="E391" s="3633">
        <v>5322</v>
      </c>
      <c r="F391" s="3631">
        <v>6019</v>
      </c>
      <c r="G391" s="3491">
        <v>81</v>
      </c>
      <c r="H391" s="3633">
        <v>3373</v>
      </c>
      <c r="I391" s="3633">
        <v>5572</v>
      </c>
      <c r="J391" s="3631">
        <v>6269</v>
      </c>
    </row>
    <row r="392" spans="1:10" ht="13.5">
      <c r="A392" s="3632">
        <v>19400</v>
      </c>
      <c r="B392" s="3631">
        <v>19450</v>
      </c>
      <c r="C392" s="3491">
        <v>0</v>
      </c>
      <c r="D392" s="3632">
        <v>3175</v>
      </c>
      <c r="E392" s="3633">
        <v>5312</v>
      </c>
      <c r="F392" s="3631">
        <v>6008</v>
      </c>
      <c r="G392" s="3491">
        <v>77</v>
      </c>
      <c r="H392" s="3633">
        <v>3373</v>
      </c>
      <c r="I392" s="3633">
        <v>5572</v>
      </c>
      <c r="J392" s="3631">
        <v>6269</v>
      </c>
    </row>
    <row r="393" spans="1:10" ht="13.5">
      <c r="A393" s="3632">
        <v>19450</v>
      </c>
      <c r="B393" s="3631">
        <v>19500</v>
      </c>
      <c r="C393" s="3491">
        <v>0</v>
      </c>
      <c r="D393" s="3632">
        <v>3167</v>
      </c>
      <c r="E393" s="3633">
        <v>5301</v>
      </c>
      <c r="F393" s="3631">
        <v>5998</v>
      </c>
      <c r="G393" s="3491">
        <v>73</v>
      </c>
      <c r="H393" s="3633">
        <v>3373</v>
      </c>
      <c r="I393" s="3633">
        <v>5572</v>
      </c>
      <c r="J393" s="3631">
        <v>6269</v>
      </c>
    </row>
    <row r="394" spans="1:10" ht="13.5">
      <c r="A394" s="3632">
        <v>19500</v>
      </c>
      <c r="B394" s="3631">
        <v>19550</v>
      </c>
      <c r="C394" s="3491">
        <v>0</v>
      </c>
      <c r="D394" s="3632">
        <v>3159</v>
      </c>
      <c r="E394" s="3633">
        <v>5291</v>
      </c>
      <c r="F394" s="3631">
        <v>5987</v>
      </c>
      <c r="G394" s="3491">
        <v>69</v>
      </c>
      <c r="H394" s="3633">
        <v>3373</v>
      </c>
      <c r="I394" s="3633">
        <v>5572</v>
      </c>
      <c r="J394" s="3631">
        <v>6269</v>
      </c>
    </row>
    <row r="395" spans="1:10" ht="13.5">
      <c r="A395" s="3632">
        <v>19550</v>
      </c>
      <c r="B395" s="3631">
        <v>19600</v>
      </c>
      <c r="C395" s="3491">
        <v>0</v>
      </c>
      <c r="D395" s="3632">
        <v>3151</v>
      </c>
      <c r="E395" s="3633">
        <v>5280</v>
      </c>
      <c r="F395" s="3631">
        <v>5977</v>
      </c>
      <c r="G395" s="3491">
        <v>65</v>
      </c>
      <c r="H395" s="3633">
        <v>3373</v>
      </c>
      <c r="I395" s="3633">
        <v>5572</v>
      </c>
      <c r="J395" s="3631">
        <v>6269</v>
      </c>
    </row>
    <row r="396" spans="1:10" ht="13.5">
      <c r="A396" s="3632">
        <v>19600</v>
      </c>
      <c r="B396" s="3631">
        <v>19650</v>
      </c>
      <c r="C396" s="3491">
        <v>0</v>
      </c>
      <c r="D396" s="3632">
        <v>3143</v>
      </c>
      <c r="E396" s="3633">
        <v>5270</v>
      </c>
      <c r="F396" s="3631">
        <v>5966</v>
      </c>
      <c r="G396" s="3491">
        <v>62</v>
      </c>
      <c r="H396" s="3633">
        <v>3373</v>
      </c>
      <c r="I396" s="3633">
        <v>5572</v>
      </c>
      <c r="J396" s="3631">
        <v>6269</v>
      </c>
    </row>
    <row r="397" spans="1:10" ht="13.5">
      <c r="A397" s="3632">
        <v>19650</v>
      </c>
      <c r="B397" s="3631">
        <v>19700</v>
      </c>
      <c r="C397" s="3491">
        <v>0</v>
      </c>
      <c r="D397" s="3632">
        <v>3135</v>
      </c>
      <c r="E397" s="3633">
        <v>5259</v>
      </c>
      <c r="F397" s="3631">
        <v>5956</v>
      </c>
      <c r="G397" s="3491">
        <v>58</v>
      </c>
      <c r="H397" s="3633">
        <v>3373</v>
      </c>
      <c r="I397" s="3633">
        <v>5572</v>
      </c>
      <c r="J397" s="3631">
        <v>6269</v>
      </c>
    </row>
    <row r="398" spans="1:10" ht="13.5">
      <c r="A398" s="3632">
        <v>19700</v>
      </c>
      <c r="B398" s="3631">
        <v>19750</v>
      </c>
      <c r="C398" s="3491">
        <v>0</v>
      </c>
      <c r="D398" s="3632">
        <v>3128</v>
      </c>
      <c r="E398" s="3633">
        <v>5249</v>
      </c>
      <c r="F398" s="3631">
        <v>5945</v>
      </c>
      <c r="G398" s="3491">
        <v>54</v>
      </c>
      <c r="H398" s="3633">
        <v>3373</v>
      </c>
      <c r="I398" s="3633">
        <v>5572</v>
      </c>
      <c r="J398" s="3631">
        <v>6269</v>
      </c>
    </row>
    <row r="399" spans="1:10" ht="13.5">
      <c r="A399" s="3632">
        <v>19750</v>
      </c>
      <c r="B399" s="3631">
        <v>19800</v>
      </c>
      <c r="C399" s="3491">
        <v>0</v>
      </c>
      <c r="D399" s="3632">
        <v>3120</v>
      </c>
      <c r="E399" s="3633">
        <v>5238</v>
      </c>
      <c r="F399" s="3631">
        <v>5935</v>
      </c>
      <c r="G399" s="3491">
        <v>50</v>
      </c>
      <c r="H399" s="3633">
        <v>3373</v>
      </c>
      <c r="I399" s="3633">
        <v>5572</v>
      </c>
      <c r="J399" s="3631">
        <v>6269</v>
      </c>
    </row>
    <row r="400" spans="1:10" ht="13.5">
      <c r="A400" s="3632">
        <v>19800</v>
      </c>
      <c r="B400" s="3631">
        <v>19850</v>
      </c>
      <c r="C400" s="3491">
        <v>0</v>
      </c>
      <c r="D400" s="3632">
        <v>3112</v>
      </c>
      <c r="E400" s="3633">
        <v>5228</v>
      </c>
      <c r="F400" s="3631">
        <v>5924</v>
      </c>
      <c r="G400" s="3491">
        <v>46</v>
      </c>
      <c r="H400" s="3633">
        <v>3373</v>
      </c>
      <c r="I400" s="3633">
        <v>5572</v>
      </c>
      <c r="J400" s="3631">
        <v>6269</v>
      </c>
    </row>
    <row r="401" spans="1:11" ht="13.5">
      <c r="A401" s="3632">
        <v>19850</v>
      </c>
      <c r="B401" s="3631">
        <v>19900</v>
      </c>
      <c r="C401" s="3491">
        <v>0</v>
      </c>
      <c r="D401" s="3632">
        <v>3104</v>
      </c>
      <c r="E401" s="3633">
        <v>5217</v>
      </c>
      <c r="F401" s="3631">
        <v>5914</v>
      </c>
      <c r="G401" s="3491">
        <v>42</v>
      </c>
      <c r="H401" s="3633">
        <v>3373</v>
      </c>
      <c r="I401" s="3633">
        <v>5572</v>
      </c>
      <c r="J401" s="3631">
        <v>6269</v>
      </c>
    </row>
    <row r="402" spans="1:11" ht="13.5">
      <c r="A402" s="3632">
        <v>19900</v>
      </c>
      <c r="B402" s="3631">
        <v>19950</v>
      </c>
      <c r="C402" s="3491">
        <v>0</v>
      </c>
      <c r="D402" s="3632">
        <v>3096</v>
      </c>
      <c r="E402" s="3633">
        <v>5207</v>
      </c>
      <c r="F402" s="3631">
        <v>5903</v>
      </c>
      <c r="G402" s="3491">
        <v>39</v>
      </c>
      <c r="H402" s="3633">
        <v>3373</v>
      </c>
      <c r="I402" s="3633">
        <v>5572</v>
      </c>
      <c r="J402" s="3631">
        <v>6269</v>
      </c>
    </row>
    <row r="403" spans="1:11" ht="13.5">
      <c r="A403" s="3632">
        <v>19950</v>
      </c>
      <c r="B403" s="3631">
        <v>20000</v>
      </c>
      <c r="C403" s="3491">
        <v>0</v>
      </c>
      <c r="D403" s="3632">
        <v>3088</v>
      </c>
      <c r="E403" s="3633">
        <v>5196</v>
      </c>
      <c r="F403" s="3631">
        <v>5893</v>
      </c>
      <c r="G403" s="3491">
        <v>35</v>
      </c>
      <c r="H403" s="3633">
        <v>3373</v>
      </c>
      <c r="I403" s="3633">
        <v>5572</v>
      </c>
      <c r="J403" s="3631">
        <v>6269</v>
      </c>
    </row>
    <row r="404" spans="1:11" ht="13.5">
      <c r="A404" s="3632">
        <v>20000</v>
      </c>
      <c r="B404" s="3631">
        <v>20050</v>
      </c>
      <c r="C404" s="3491">
        <v>0</v>
      </c>
      <c r="D404" s="3632">
        <v>3080</v>
      </c>
      <c r="E404" s="3633">
        <v>5186</v>
      </c>
      <c r="F404" s="3631">
        <v>5882</v>
      </c>
      <c r="G404" s="3491">
        <v>31</v>
      </c>
      <c r="H404" s="3633">
        <v>3373</v>
      </c>
      <c r="I404" s="3633">
        <v>5572</v>
      </c>
      <c r="J404" s="3631">
        <v>6269</v>
      </c>
    </row>
    <row r="405" spans="1:11" ht="13.5">
      <c r="A405" s="3632">
        <v>20050</v>
      </c>
      <c r="B405" s="3631">
        <v>20100</v>
      </c>
      <c r="C405" s="3491">
        <v>0</v>
      </c>
      <c r="D405" s="3632">
        <v>3072</v>
      </c>
      <c r="E405" s="3633">
        <v>5175</v>
      </c>
      <c r="F405" s="3631">
        <v>5872</v>
      </c>
      <c r="G405" s="3491">
        <v>27</v>
      </c>
      <c r="H405" s="3633">
        <v>3373</v>
      </c>
      <c r="I405" s="3633">
        <v>5572</v>
      </c>
      <c r="J405" s="3631">
        <v>6269</v>
      </c>
    </row>
    <row r="406" spans="1:11" ht="13.5">
      <c r="A406" s="3632">
        <v>20100</v>
      </c>
      <c r="B406" s="3631">
        <v>20150</v>
      </c>
      <c r="C406" s="3491">
        <v>0</v>
      </c>
      <c r="D406" s="3632">
        <v>3064</v>
      </c>
      <c r="E406" s="3633">
        <v>5164</v>
      </c>
      <c r="F406" s="3631">
        <v>5861</v>
      </c>
      <c r="G406" s="3491">
        <v>23</v>
      </c>
      <c r="H406" s="3633">
        <v>3373</v>
      </c>
      <c r="I406" s="3633">
        <v>5572</v>
      </c>
      <c r="J406" s="3631">
        <v>6269</v>
      </c>
    </row>
    <row r="407" spans="1:11" ht="13.5">
      <c r="A407" s="3632">
        <v>20150</v>
      </c>
      <c r="B407" s="3631">
        <v>20200</v>
      </c>
      <c r="C407" s="3491">
        <v>0</v>
      </c>
      <c r="D407" s="3632">
        <v>3056</v>
      </c>
      <c r="E407" s="3633">
        <v>5154</v>
      </c>
      <c r="F407" s="3631">
        <v>5850</v>
      </c>
      <c r="G407" s="3491">
        <v>20</v>
      </c>
      <c r="H407" s="3633">
        <v>3373</v>
      </c>
      <c r="I407" s="3633">
        <v>5572</v>
      </c>
      <c r="J407" s="3631">
        <v>6269</v>
      </c>
    </row>
    <row r="408" spans="1:11" ht="13.5">
      <c r="A408" s="3632">
        <v>20200</v>
      </c>
      <c r="B408" s="3631">
        <v>20250</v>
      </c>
      <c r="C408" s="3491">
        <v>0</v>
      </c>
      <c r="D408" s="3632">
        <v>3048</v>
      </c>
      <c r="E408" s="3633">
        <v>5143</v>
      </c>
      <c r="F408" s="3631">
        <v>5840</v>
      </c>
      <c r="G408" s="3491">
        <v>16</v>
      </c>
      <c r="H408" s="3633">
        <v>3373</v>
      </c>
      <c r="I408" s="3633">
        <v>5572</v>
      </c>
      <c r="J408" s="3631">
        <v>6269</v>
      </c>
    </row>
    <row r="409" spans="1:11" ht="13.5">
      <c r="A409" s="3632">
        <v>20250</v>
      </c>
      <c r="B409" s="3631">
        <v>20300</v>
      </c>
      <c r="C409" s="3491">
        <v>0</v>
      </c>
      <c r="D409" s="3632">
        <v>3040</v>
      </c>
      <c r="E409" s="3633">
        <v>5133</v>
      </c>
      <c r="F409" s="3631">
        <v>5829</v>
      </c>
      <c r="G409" s="3491">
        <v>12</v>
      </c>
      <c r="H409" s="3633">
        <v>3373</v>
      </c>
      <c r="I409" s="3633">
        <v>5572</v>
      </c>
      <c r="J409" s="3631">
        <v>6269</v>
      </c>
    </row>
    <row r="410" spans="1:11" ht="13.5">
      <c r="A410" s="3632">
        <v>20300</v>
      </c>
      <c r="B410" s="3631">
        <v>20350</v>
      </c>
      <c r="C410" s="3491">
        <v>0</v>
      </c>
      <c r="D410" s="3632">
        <v>3032</v>
      </c>
      <c r="E410" s="3633">
        <v>5122</v>
      </c>
      <c r="F410" s="3631">
        <v>5819</v>
      </c>
      <c r="G410" s="3491">
        <v>8</v>
      </c>
      <c r="H410" s="3633">
        <v>3373</v>
      </c>
      <c r="I410" s="3633">
        <v>5572</v>
      </c>
      <c r="J410" s="3631">
        <v>6269</v>
      </c>
      <c r="K410" s="3624"/>
    </row>
    <row r="411" spans="1:11" ht="13.5">
      <c r="A411" s="3632">
        <v>20350</v>
      </c>
      <c r="B411" s="3631">
        <v>20400</v>
      </c>
      <c r="C411" s="3491">
        <v>0</v>
      </c>
      <c r="D411" s="3632">
        <v>3024</v>
      </c>
      <c r="E411" s="3633">
        <v>5112</v>
      </c>
      <c r="F411" s="3631">
        <v>5808</v>
      </c>
      <c r="G411" s="3491">
        <v>4</v>
      </c>
      <c r="H411" s="3633">
        <v>3373</v>
      </c>
      <c r="I411" s="3633">
        <v>5572</v>
      </c>
      <c r="J411" s="3631">
        <v>6269</v>
      </c>
      <c r="K411" s="3634"/>
    </row>
    <row r="412" spans="1:11" ht="13.5">
      <c r="A412" s="3632">
        <v>20400</v>
      </c>
      <c r="B412" s="3631">
        <v>20430</v>
      </c>
      <c r="C412" s="3491">
        <v>0</v>
      </c>
      <c r="D412" s="3632">
        <v>3016</v>
      </c>
      <c r="E412" s="3633">
        <v>5101</v>
      </c>
      <c r="F412" s="3631">
        <v>5798</v>
      </c>
      <c r="G412" s="3491">
        <v>1</v>
      </c>
      <c r="H412" s="3633">
        <v>3373</v>
      </c>
      <c r="I412" s="3633">
        <v>5572</v>
      </c>
      <c r="J412" s="3631">
        <v>6269</v>
      </c>
    </row>
    <row r="413" spans="1:11" ht="13.5">
      <c r="A413" s="3632">
        <v>20430</v>
      </c>
      <c r="B413" s="3631">
        <v>20450</v>
      </c>
      <c r="C413" s="3491">
        <v>0</v>
      </c>
      <c r="D413" s="3632">
        <v>3016</v>
      </c>
      <c r="E413" s="3633">
        <v>5101</v>
      </c>
      <c r="F413" s="3631">
        <v>5798</v>
      </c>
      <c r="G413" s="3491">
        <v>0</v>
      </c>
      <c r="H413" s="3633">
        <v>3373</v>
      </c>
      <c r="I413" s="3633">
        <v>5572</v>
      </c>
      <c r="J413" s="3631">
        <v>6269</v>
      </c>
    </row>
    <row r="414" spans="1:11" ht="13.5">
      <c r="A414" s="3632">
        <v>20450</v>
      </c>
      <c r="B414" s="3631">
        <v>20500</v>
      </c>
      <c r="C414" s="3491">
        <v>0</v>
      </c>
      <c r="D414" s="3632">
        <v>3008</v>
      </c>
      <c r="E414" s="3633">
        <v>5091</v>
      </c>
      <c r="F414" s="3631">
        <v>5787</v>
      </c>
      <c r="G414" s="3491">
        <v>0</v>
      </c>
      <c r="H414" s="3633">
        <v>3373</v>
      </c>
      <c r="I414" s="3633">
        <v>5572</v>
      </c>
      <c r="J414" s="3631">
        <v>6269</v>
      </c>
    </row>
    <row r="415" spans="1:11" ht="13.5">
      <c r="A415" s="3632">
        <v>20500</v>
      </c>
      <c r="B415" s="3631">
        <v>20550</v>
      </c>
      <c r="C415" s="3491">
        <v>0</v>
      </c>
      <c r="D415" s="3632">
        <v>3000</v>
      </c>
      <c r="E415" s="3633">
        <v>5080</v>
      </c>
      <c r="F415" s="3631">
        <v>5777</v>
      </c>
      <c r="G415" s="3491">
        <v>0</v>
      </c>
      <c r="H415" s="3633">
        <v>3373</v>
      </c>
      <c r="I415" s="3633">
        <v>5572</v>
      </c>
      <c r="J415" s="3631">
        <v>6269</v>
      </c>
    </row>
    <row r="416" spans="1:11" ht="13.5">
      <c r="A416" s="3632">
        <v>20550</v>
      </c>
      <c r="B416" s="3631">
        <v>20600</v>
      </c>
      <c r="C416" s="3491">
        <v>0</v>
      </c>
      <c r="D416" s="3632">
        <v>2992</v>
      </c>
      <c r="E416" s="3633">
        <v>5070</v>
      </c>
      <c r="F416" s="3631">
        <v>5766</v>
      </c>
      <c r="G416" s="3491">
        <v>0</v>
      </c>
      <c r="H416" s="3633">
        <v>3373</v>
      </c>
      <c r="I416" s="3633">
        <v>5572</v>
      </c>
      <c r="J416" s="3631">
        <v>6269</v>
      </c>
    </row>
    <row r="417" spans="1:10" ht="13.5">
      <c r="A417" s="3632">
        <v>20600</v>
      </c>
      <c r="B417" s="3631">
        <v>20650</v>
      </c>
      <c r="C417" s="3491">
        <v>0</v>
      </c>
      <c r="D417" s="3632">
        <v>2984</v>
      </c>
      <c r="E417" s="3633">
        <v>5059</v>
      </c>
      <c r="F417" s="3631">
        <v>5756</v>
      </c>
      <c r="G417" s="3491">
        <v>0</v>
      </c>
      <c r="H417" s="3633">
        <v>3373</v>
      </c>
      <c r="I417" s="3633">
        <v>5572</v>
      </c>
      <c r="J417" s="3631">
        <v>6269</v>
      </c>
    </row>
    <row r="418" spans="1:10" ht="13.5">
      <c r="A418" s="3632">
        <v>20650</v>
      </c>
      <c r="B418" s="3631">
        <v>20700</v>
      </c>
      <c r="C418" s="3491">
        <v>0</v>
      </c>
      <c r="D418" s="3632">
        <v>2976</v>
      </c>
      <c r="E418" s="3633">
        <v>5049</v>
      </c>
      <c r="F418" s="3631">
        <v>5745</v>
      </c>
      <c r="G418" s="3491">
        <v>0</v>
      </c>
      <c r="H418" s="3633">
        <v>3373</v>
      </c>
      <c r="I418" s="3633">
        <v>5572</v>
      </c>
      <c r="J418" s="3631">
        <v>6269</v>
      </c>
    </row>
    <row r="419" spans="1:10" ht="13.5">
      <c r="A419" s="3632">
        <v>20700</v>
      </c>
      <c r="B419" s="3631">
        <v>20750</v>
      </c>
      <c r="C419" s="3491">
        <v>0</v>
      </c>
      <c r="D419" s="3632">
        <v>2968</v>
      </c>
      <c r="E419" s="3633">
        <v>5038</v>
      </c>
      <c r="F419" s="3631">
        <v>5735</v>
      </c>
      <c r="G419" s="3491">
        <v>0</v>
      </c>
      <c r="H419" s="3633">
        <v>3373</v>
      </c>
      <c r="I419" s="3633">
        <v>5572</v>
      </c>
      <c r="J419" s="3631">
        <v>6269</v>
      </c>
    </row>
    <row r="420" spans="1:10" ht="13.5">
      <c r="A420" s="3632">
        <v>20750</v>
      </c>
      <c r="B420" s="3631">
        <v>20800</v>
      </c>
      <c r="C420" s="3491">
        <v>0</v>
      </c>
      <c r="D420" s="3632">
        <v>2960</v>
      </c>
      <c r="E420" s="3633">
        <v>5028</v>
      </c>
      <c r="F420" s="3631">
        <v>5724</v>
      </c>
      <c r="G420" s="3491">
        <v>0</v>
      </c>
      <c r="H420" s="3633">
        <v>3373</v>
      </c>
      <c r="I420" s="3633">
        <v>5572</v>
      </c>
      <c r="J420" s="3631">
        <v>6269</v>
      </c>
    </row>
    <row r="421" spans="1:10" ht="13.5">
      <c r="A421" s="3632">
        <v>20800</v>
      </c>
      <c r="B421" s="3631">
        <v>20850</v>
      </c>
      <c r="C421" s="3491">
        <v>0</v>
      </c>
      <c r="D421" s="3632">
        <v>2952</v>
      </c>
      <c r="E421" s="3633">
        <v>5017</v>
      </c>
      <c r="F421" s="3631">
        <v>5714</v>
      </c>
      <c r="G421" s="3491">
        <v>0</v>
      </c>
      <c r="H421" s="3633">
        <v>3373</v>
      </c>
      <c r="I421" s="3633">
        <v>5572</v>
      </c>
      <c r="J421" s="3631">
        <v>6269</v>
      </c>
    </row>
    <row r="422" spans="1:10" ht="13.5">
      <c r="A422" s="3632">
        <v>20850</v>
      </c>
      <c r="B422" s="3631">
        <v>20900</v>
      </c>
      <c r="C422" s="3491">
        <v>0</v>
      </c>
      <c r="D422" s="3632">
        <v>2944</v>
      </c>
      <c r="E422" s="3633">
        <v>5007</v>
      </c>
      <c r="F422" s="3631">
        <v>5703</v>
      </c>
      <c r="G422" s="3491">
        <v>0</v>
      </c>
      <c r="H422" s="3633">
        <v>3373</v>
      </c>
      <c r="I422" s="3633">
        <v>5572</v>
      </c>
      <c r="J422" s="3631">
        <v>6269</v>
      </c>
    </row>
    <row r="423" spans="1:10" ht="13.5">
      <c r="A423" s="3632">
        <v>20900</v>
      </c>
      <c r="B423" s="3631">
        <v>20950</v>
      </c>
      <c r="C423" s="3491">
        <v>0</v>
      </c>
      <c r="D423" s="3632">
        <v>2936</v>
      </c>
      <c r="E423" s="3633">
        <v>4996</v>
      </c>
      <c r="F423" s="3631">
        <v>5693</v>
      </c>
      <c r="G423" s="3491">
        <v>0</v>
      </c>
      <c r="H423" s="3633">
        <v>3373</v>
      </c>
      <c r="I423" s="3633">
        <v>5572</v>
      </c>
      <c r="J423" s="3631">
        <v>6269</v>
      </c>
    </row>
    <row r="424" spans="1:10" ht="13.5">
      <c r="A424" s="3632">
        <v>20950</v>
      </c>
      <c r="B424" s="3631">
        <v>21000</v>
      </c>
      <c r="C424" s="3491">
        <v>0</v>
      </c>
      <c r="D424" s="3632">
        <v>2928</v>
      </c>
      <c r="E424" s="3633">
        <v>4985</v>
      </c>
      <c r="F424" s="3631">
        <v>5682</v>
      </c>
      <c r="G424" s="3491">
        <v>0</v>
      </c>
      <c r="H424" s="3633">
        <v>3373</v>
      </c>
      <c r="I424" s="3633">
        <v>5572</v>
      </c>
      <c r="J424" s="3631">
        <v>6269</v>
      </c>
    </row>
    <row r="425" spans="1:10" ht="13.5">
      <c r="A425" s="3632">
        <v>21000</v>
      </c>
      <c r="B425" s="3631">
        <v>21050</v>
      </c>
      <c r="C425" s="3491">
        <v>0</v>
      </c>
      <c r="D425" s="3632">
        <v>2920</v>
      </c>
      <c r="E425" s="3633">
        <v>4975</v>
      </c>
      <c r="F425" s="3631">
        <v>5671</v>
      </c>
      <c r="G425" s="3491">
        <v>0</v>
      </c>
      <c r="H425" s="3633">
        <v>3373</v>
      </c>
      <c r="I425" s="3633">
        <v>5572</v>
      </c>
      <c r="J425" s="3631">
        <v>6269</v>
      </c>
    </row>
    <row r="426" spans="1:10" ht="13.5">
      <c r="A426" s="3632">
        <v>21050</v>
      </c>
      <c r="B426" s="3631">
        <v>21100</v>
      </c>
      <c r="C426" s="3491">
        <v>0</v>
      </c>
      <c r="D426" s="3632">
        <v>2912</v>
      </c>
      <c r="E426" s="3633">
        <v>4964</v>
      </c>
      <c r="F426" s="3631">
        <v>5661</v>
      </c>
      <c r="G426" s="3491">
        <v>0</v>
      </c>
      <c r="H426" s="3633">
        <v>3373</v>
      </c>
      <c r="I426" s="3633">
        <v>5572</v>
      </c>
      <c r="J426" s="3631">
        <v>6269</v>
      </c>
    </row>
    <row r="427" spans="1:10" ht="13.5">
      <c r="A427" s="3632">
        <v>21100</v>
      </c>
      <c r="B427" s="3631">
        <v>21150</v>
      </c>
      <c r="C427" s="3491">
        <v>0</v>
      </c>
      <c r="D427" s="3632">
        <v>2904</v>
      </c>
      <c r="E427" s="3633">
        <v>4954</v>
      </c>
      <c r="F427" s="3631">
        <v>5650</v>
      </c>
      <c r="G427" s="3491">
        <v>0</v>
      </c>
      <c r="H427" s="3633">
        <v>3373</v>
      </c>
      <c r="I427" s="3633">
        <v>5572</v>
      </c>
      <c r="J427" s="3631">
        <v>6269</v>
      </c>
    </row>
    <row r="428" spans="1:10" ht="13.5">
      <c r="A428" s="3632">
        <v>21150</v>
      </c>
      <c r="B428" s="3631">
        <v>21200</v>
      </c>
      <c r="C428" s="3491">
        <v>0</v>
      </c>
      <c r="D428" s="3632">
        <v>2896</v>
      </c>
      <c r="E428" s="3633">
        <v>4943</v>
      </c>
      <c r="F428" s="3631">
        <v>5640</v>
      </c>
      <c r="G428" s="3491">
        <v>0</v>
      </c>
      <c r="H428" s="3633">
        <v>3373</v>
      </c>
      <c r="I428" s="3633">
        <v>5572</v>
      </c>
      <c r="J428" s="3631">
        <v>6269</v>
      </c>
    </row>
    <row r="429" spans="1:10" ht="13.5">
      <c r="A429" s="3632">
        <v>21200</v>
      </c>
      <c r="B429" s="3631">
        <v>21250</v>
      </c>
      <c r="C429" s="3491">
        <v>0</v>
      </c>
      <c r="D429" s="3632">
        <v>2888</v>
      </c>
      <c r="E429" s="3633">
        <v>4933</v>
      </c>
      <c r="F429" s="3631">
        <v>5629</v>
      </c>
      <c r="G429" s="3491">
        <v>0</v>
      </c>
      <c r="H429" s="3633">
        <v>3373</v>
      </c>
      <c r="I429" s="3633">
        <v>5572</v>
      </c>
      <c r="J429" s="3631">
        <v>6269</v>
      </c>
    </row>
    <row r="430" spans="1:10" ht="13.5">
      <c r="A430" s="3632">
        <v>21250</v>
      </c>
      <c r="B430" s="3631">
        <v>21300</v>
      </c>
      <c r="C430" s="3491">
        <v>0</v>
      </c>
      <c r="D430" s="3632">
        <v>2880</v>
      </c>
      <c r="E430" s="3633">
        <v>4922</v>
      </c>
      <c r="F430" s="3631">
        <v>5619</v>
      </c>
      <c r="G430" s="3491">
        <v>0</v>
      </c>
      <c r="H430" s="3633">
        <v>3373</v>
      </c>
      <c r="I430" s="3633">
        <v>5572</v>
      </c>
      <c r="J430" s="3631">
        <v>6269</v>
      </c>
    </row>
    <row r="431" spans="1:10" ht="13.5">
      <c r="A431" s="3632">
        <v>21300</v>
      </c>
      <c r="B431" s="3631">
        <v>21350</v>
      </c>
      <c r="C431" s="3491">
        <v>0</v>
      </c>
      <c r="D431" s="3632">
        <v>2872</v>
      </c>
      <c r="E431" s="3633">
        <v>4912</v>
      </c>
      <c r="F431" s="3631">
        <v>5608</v>
      </c>
      <c r="G431" s="3491">
        <v>0</v>
      </c>
      <c r="H431" s="3633">
        <v>3373</v>
      </c>
      <c r="I431" s="3633">
        <v>5572</v>
      </c>
      <c r="J431" s="3631">
        <v>6269</v>
      </c>
    </row>
    <row r="432" spans="1:10" ht="13.5">
      <c r="A432" s="3632">
        <v>21350</v>
      </c>
      <c r="B432" s="3631">
        <v>21400</v>
      </c>
      <c r="C432" s="3491">
        <v>0</v>
      </c>
      <c r="D432" s="3632">
        <v>2864</v>
      </c>
      <c r="E432" s="3633">
        <v>4901</v>
      </c>
      <c r="F432" s="3631">
        <v>5598</v>
      </c>
      <c r="G432" s="3491">
        <v>0</v>
      </c>
      <c r="H432" s="3633">
        <v>3373</v>
      </c>
      <c r="I432" s="3633">
        <v>5572</v>
      </c>
      <c r="J432" s="3631">
        <v>6269</v>
      </c>
    </row>
    <row r="433" spans="1:10" ht="13.5">
      <c r="A433" s="3632">
        <v>21400</v>
      </c>
      <c r="B433" s="3631">
        <v>21450</v>
      </c>
      <c r="C433" s="3491">
        <v>0</v>
      </c>
      <c r="D433" s="3632">
        <v>2856</v>
      </c>
      <c r="E433" s="3633">
        <v>4891</v>
      </c>
      <c r="F433" s="3631">
        <v>5587</v>
      </c>
      <c r="G433" s="3491">
        <v>0</v>
      </c>
      <c r="H433" s="3633">
        <v>3373</v>
      </c>
      <c r="I433" s="3633">
        <v>5572</v>
      </c>
      <c r="J433" s="3631">
        <v>6269</v>
      </c>
    </row>
    <row r="434" spans="1:10" ht="13.5">
      <c r="A434" s="3632">
        <v>21450</v>
      </c>
      <c r="B434" s="3631">
        <v>21500</v>
      </c>
      <c r="C434" s="3491">
        <v>0</v>
      </c>
      <c r="D434" s="3632">
        <v>2848</v>
      </c>
      <c r="E434" s="3633">
        <v>4880</v>
      </c>
      <c r="F434" s="3631">
        <v>5577</v>
      </c>
      <c r="G434" s="3491">
        <v>0</v>
      </c>
      <c r="H434" s="3633">
        <v>3373</v>
      </c>
      <c r="I434" s="3633">
        <v>5572</v>
      </c>
      <c r="J434" s="3631">
        <v>6269</v>
      </c>
    </row>
    <row r="435" spans="1:10" ht="13.5">
      <c r="A435" s="3632">
        <v>21500</v>
      </c>
      <c r="B435" s="3631">
        <v>21550</v>
      </c>
      <c r="C435" s="3491">
        <v>0</v>
      </c>
      <c r="D435" s="3632">
        <v>2840</v>
      </c>
      <c r="E435" s="3633">
        <v>4870</v>
      </c>
      <c r="F435" s="3631">
        <v>5566</v>
      </c>
      <c r="G435" s="3491">
        <v>0</v>
      </c>
      <c r="H435" s="3633">
        <v>3373</v>
      </c>
      <c r="I435" s="3633">
        <v>5572</v>
      </c>
      <c r="J435" s="3631">
        <v>6269</v>
      </c>
    </row>
    <row r="436" spans="1:10" ht="13.5">
      <c r="A436" s="3632">
        <v>21550</v>
      </c>
      <c r="B436" s="3631">
        <v>21600</v>
      </c>
      <c r="C436" s="3491">
        <v>0</v>
      </c>
      <c r="D436" s="3632">
        <v>2832</v>
      </c>
      <c r="E436" s="3633">
        <v>4859</v>
      </c>
      <c r="F436" s="3631">
        <v>5556</v>
      </c>
      <c r="G436" s="3491">
        <v>0</v>
      </c>
      <c r="H436" s="3633">
        <v>3373</v>
      </c>
      <c r="I436" s="3633">
        <v>5572</v>
      </c>
      <c r="J436" s="3631">
        <v>6269</v>
      </c>
    </row>
    <row r="437" spans="1:10" ht="13.5">
      <c r="A437" s="3632">
        <v>21600</v>
      </c>
      <c r="B437" s="3631">
        <v>21650</v>
      </c>
      <c r="C437" s="3491">
        <v>0</v>
      </c>
      <c r="D437" s="3632">
        <v>2824</v>
      </c>
      <c r="E437" s="3633">
        <v>4849</v>
      </c>
      <c r="F437" s="3631">
        <v>5545</v>
      </c>
      <c r="G437" s="3491">
        <v>0</v>
      </c>
      <c r="H437" s="3633">
        <v>3373</v>
      </c>
      <c r="I437" s="3633">
        <v>5572</v>
      </c>
      <c r="J437" s="3631">
        <v>6269</v>
      </c>
    </row>
    <row r="438" spans="1:10" ht="13.5">
      <c r="A438" s="3632">
        <v>21650</v>
      </c>
      <c r="B438" s="3631">
        <v>21700</v>
      </c>
      <c r="C438" s="3491">
        <v>0</v>
      </c>
      <c r="D438" s="3632">
        <v>2816</v>
      </c>
      <c r="E438" s="3633">
        <v>4838</v>
      </c>
      <c r="F438" s="3631">
        <v>5535</v>
      </c>
      <c r="G438" s="3491">
        <v>0</v>
      </c>
      <c r="H438" s="3633">
        <v>3373</v>
      </c>
      <c r="I438" s="3633">
        <v>5572</v>
      </c>
      <c r="J438" s="3631">
        <v>6269</v>
      </c>
    </row>
    <row r="439" spans="1:10" ht="13.5">
      <c r="A439" s="3632">
        <v>21700</v>
      </c>
      <c r="B439" s="3631">
        <v>21750</v>
      </c>
      <c r="C439" s="3491">
        <v>0</v>
      </c>
      <c r="D439" s="3632">
        <v>2808</v>
      </c>
      <c r="E439" s="3633">
        <v>4828</v>
      </c>
      <c r="F439" s="3631">
        <v>5524</v>
      </c>
      <c r="G439" s="3491">
        <v>0</v>
      </c>
      <c r="H439" s="3633">
        <v>3373</v>
      </c>
      <c r="I439" s="3633">
        <v>5572</v>
      </c>
      <c r="J439" s="3631">
        <v>6269</v>
      </c>
    </row>
    <row r="440" spans="1:10" ht="13.5">
      <c r="A440" s="3632">
        <v>21750</v>
      </c>
      <c r="B440" s="3631">
        <v>21800</v>
      </c>
      <c r="C440" s="3491">
        <v>0</v>
      </c>
      <c r="D440" s="3632">
        <v>2800</v>
      </c>
      <c r="E440" s="3633">
        <v>4817</v>
      </c>
      <c r="F440" s="3631">
        <v>5513</v>
      </c>
      <c r="G440" s="3491">
        <v>0</v>
      </c>
      <c r="H440" s="3633">
        <v>3373</v>
      </c>
      <c r="I440" s="3633">
        <v>5572</v>
      </c>
      <c r="J440" s="3631">
        <v>6269</v>
      </c>
    </row>
    <row r="441" spans="1:10" ht="13.5">
      <c r="A441" s="3632">
        <v>21800</v>
      </c>
      <c r="B441" s="3631">
        <v>21850</v>
      </c>
      <c r="C441" s="3491">
        <v>0</v>
      </c>
      <c r="D441" s="3632">
        <v>2792</v>
      </c>
      <c r="E441" s="3633">
        <v>4806</v>
      </c>
      <c r="F441" s="3631">
        <v>5503</v>
      </c>
      <c r="G441" s="3491">
        <v>0</v>
      </c>
      <c r="H441" s="3633">
        <v>3373</v>
      </c>
      <c r="I441" s="3633">
        <v>5572</v>
      </c>
      <c r="J441" s="3631">
        <v>6269</v>
      </c>
    </row>
    <row r="442" spans="1:10" ht="13.5">
      <c r="A442" s="3632">
        <v>21850</v>
      </c>
      <c r="B442" s="3631">
        <v>21900</v>
      </c>
      <c r="C442" s="3491">
        <v>0</v>
      </c>
      <c r="D442" s="3632">
        <v>2784</v>
      </c>
      <c r="E442" s="3633">
        <v>4796</v>
      </c>
      <c r="F442" s="3631">
        <v>5492</v>
      </c>
      <c r="G442" s="3491">
        <v>0</v>
      </c>
      <c r="H442" s="3633">
        <v>3373</v>
      </c>
      <c r="I442" s="3633">
        <v>5572</v>
      </c>
      <c r="J442" s="3631">
        <v>6269</v>
      </c>
    </row>
    <row r="443" spans="1:10" ht="13.5">
      <c r="A443" s="3632">
        <v>21900</v>
      </c>
      <c r="B443" s="3631">
        <v>21950</v>
      </c>
      <c r="C443" s="3491">
        <v>0</v>
      </c>
      <c r="D443" s="3632">
        <v>2776</v>
      </c>
      <c r="E443" s="3633">
        <v>4785</v>
      </c>
      <c r="F443" s="3631">
        <v>5482</v>
      </c>
      <c r="G443" s="3491">
        <v>0</v>
      </c>
      <c r="H443" s="3633">
        <v>3373</v>
      </c>
      <c r="I443" s="3633">
        <v>5572</v>
      </c>
      <c r="J443" s="3631">
        <v>6269</v>
      </c>
    </row>
    <row r="444" spans="1:10" ht="13.5">
      <c r="A444" s="3632">
        <v>21950</v>
      </c>
      <c r="B444" s="3631">
        <v>22000</v>
      </c>
      <c r="C444" s="3491">
        <v>0</v>
      </c>
      <c r="D444" s="3632">
        <v>2768</v>
      </c>
      <c r="E444" s="3633">
        <v>4775</v>
      </c>
      <c r="F444" s="3631">
        <v>5471</v>
      </c>
      <c r="G444" s="3491">
        <v>0</v>
      </c>
      <c r="H444" s="3633">
        <v>3373</v>
      </c>
      <c r="I444" s="3633">
        <v>5572</v>
      </c>
      <c r="J444" s="3631">
        <v>6269</v>
      </c>
    </row>
    <row r="445" spans="1:10" ht="13.5">
      <c r="A445" s="3632">
        <v>22000</v>
      </c>
      <c r="B445" s="3631">
        <v>22050</v>
      </c>
      <c r="C445" s="3491">
        <v>0</v>
      </c>
      <c r="D445" s="3632">
        <v>2760</v>
      </c>
      <c r="E445" s="3633">
        <v>4764</v>
      </c>
      <c r="F445" s="3631">
        <v>5461</v>
      </c>
      <c r="G445" s="3491">
        <v>0</v>
      </c>
      <c r="H445" s="3633">
        <v>3373</v>
      </c>
      <c r="I445" s="3633">
        <v>5572</v>
      </c>
      <c r="J445" s="3631">
        <v>6269</v>
      </c>
    </row>
    <row r="446" spans="1:10" ht="13.5">
      <c r="A446" s="3632">
        <v>22050</v>
      </c>
      <c r="B446" s="3631">
        <v>22100</v>
      </c>
      <c r="C446" s="3491">
        <v>0</v>
      </c>
      <c r="D446" s="3632">
        <v>2752</v>
      </c>
      <c r="E446" s="3633">
        <v>4754</v>
      </c>
      <c r="F446" s="3631">
        <v>5450</v>
      </c>
      <c r="G446" s="3491">
        <v>0</v>
      </c>
      <c r="H446" s="3633">
        <v>3373</v>
      </c>
      <c r="I446" s="3633">
        <v>5572</v>
      </c>
      <c r="J446" s="3631">
        <v>6269</v>
      </c>
    </row>
    <row r="447" spans="1:10" ht="13.5">
      <c r="A447" s="3632">
        <v>22100</v>
      </c>
      <c r="B447" s="3631">
        <v>22150</v>
      </c>
      <c r="C447" s="3491">
        <v>0</v>
      </c>
      <c r="D447" s="3632">
        <v>2744</v>
      </c>
      <c r="E447" s="3633">
        <v>4743</v>
      </c>
      <c r="F447" s="3631">
        <v>5440</v>
      </c>
      <c r="G447" s="3491">
        <v>0</v>
      </c>
      <c r="H447" s="3633">
        <v>3373</v>
      </c>
      <c r="I447" s="3633">
        <v>5572</v>
      </c>
      <c r="J447" s="3631">
        <v>6269</v>
      </c>
    </row>
    <row r="448" spans="1:10" ht="13.5">
      <c r="A448" s="3632">
        <v>22150</v>
      </c>
      <c r="B448" s="3631">
        <v>22200</v>
      </c>
      <c r="C448" s="3491">
        <v>0</v>
      </c>
      <c r="D448" s="3632">
        <v>2736</v>
      </c>
      <c r="E448" s="3633">
        <v>4733</v>
      </c>
      <c r="F448" s="3631">
        <v>5429</v>
      </c>
      <c r="G448" s="3491">
        <v>0</v>
      </c>
      <c r="H448" s="3633">
        <v>3373</v>
      </c>
      <c r="I448" s="3633">
        <v>5572</v>
      </c>
      <c r="J448" s="3631">
        <v>6269</v>
      </c>
    </row>
    <row r="449" spans="1:10" ht="13.5">
      <c r="A449" s="3632">
        <v>22200</v>
      </c>
      <c r="B449" s="3631">
        <v>22250</v>
      </c>
      <c r="C449" s="3491">
        <v>0</v>
      </c>
      <c r="D449" s="3632">
        <v>2728</v>
      </c>
      <c r="E449" s="3633">
        <v>4722</v>
      </c>
      <c r="F449" s="3631">
        <v>5419</v>
      </c>
      <c r="G449" s="3491">
        <v>0</v>
      </c>
      <c r="H449" s="3633">
        <v>3373</v>
      </c>
      <c r="I449" s="3633">
        <v>5572</v>
      </c>
      <c r="J449" s="3631">
        <v>6269</v>
      </c>
    </row>
    <row r="450" spans="1:10" ht="13.5">
      <c r="A450" s="3632">
        <v>22250</v>
      </c>
      <c r="B450" s="3631">
        <v>22300</v>
      </c>
      <c r="C450" s="3491">
        <v>0</v>
      </c>
      <c r="D450" s="3632">
        <v>2720</v>
      </c>
      <c r="E450" s="3633">
        <v>4712</v>
      </c>
      <c r="F450" s="3631">
        <v>5408</v>
      </c>
      <c r="G450" s="3491">
        <v>0</v>
      </c>
      <c r="H450" s="3633">
        <v>3373</v>
      </c>
      <c r="I450" s="3633">
        <v>5572</v>
      </c>
      <c r="J450" s="3631">
        <v>6269</v>
      </c>
    </row>
    <row r="451" spans="1:10" ht="13.5">
      <c r="A451" s="3632">
        <v>22300</v>
      </c>
      <c r="B451" s="3631">
        <v>22350</v>
      </c>
      <c r="C451" s="3491">
        <v>0</v>
      </c>
      <c r="D451" s="3632">
        <v>2712</v>
      </c>
      <c r="E451" s="3633">
        <v>4701</v>
      </c>
      <c r="F451" s="3631">
        <v>5398</v>
      </c>
      <c r="G451" s="3491">
        <v>0</v>
      </c>
      <c r="H451" s="3633">
        <v>3373</v>
      </c>
      <c r="I451" s="3633">
        <v>5572</v>
      </c>
      <c r="J451" s="3631">
        <v>6269</v>
      </c>
    </row>
    <row r="452" spans="1:10" ht="13.5">
      <c r="A452" s="3632">
        <v>22350</v>
      </c>
      <c r="B452" s="3631">
        <v>22400</v>
      </c>
      <c r="C452" s="3491">
        <v>0</v>
      </c>
      <c r="D452" s="3632">
        <v>2704</v>
      </c>
      <c r="E452" s="3633">
        <v>4691</v>
      </c>
      <c r="F452" s="3631">
        <v>5387</v>
      </c>
      <c r="G452" s="3491">
        <v>0</v>
      </c>
      <c r="H452" s="3633">
        <v>3373</v>
      </c>
      <c r="I452" s="3633">
        <v>5572</v>
      </c>
      <c r="J452" s="3631">
        <v>6269</v>
      </c>
    </row>
    <row r="453" spans="1:10" ht="13.5">
      <c r="A453" s="3632">
        <v>22400</v>
      </c>
      <c r="B453" s="3631">
        <v>22450</v>
      </c>
      <c r="C453" s="3491">
        <v>0</v>
      </c>
      <c r="D453" s="3632">
        <v>2696</v>
      </c>
      <c r="E453" s="3633">
        <v>4680</v>
      </c>
      <c r="F453" s="3631">
        <v>5377</v>
      </c>
      <c r="G453" s="3491">
        <v>0</v>
      </c>
      <c r="H453" s="3633">
        <v>3373</v>
      </c>
      <c r="I453" s="3633">
        <v>5572</v>
      </c>
      <c r="J453" s="3631">
        <v>6269</v>
      </c>
    </row>
    <row r="454" spans="1:10" ht="13.5">
      <c r="A454" s="3632">
        <v>22450</v>
      </c>
      <c r="B454" s="3631">
        <v>22500</v>
      </c>
      <c r="C454" s="3491">
        <v>0</v>
      </c>
      <c r="D454" s="3632">
        <v>2688</v>
      </c>
      <c r="E454" s="3633">
        <v>4670</v>
      </c>
      <c r="F454" s="3631">
        <v>5366</v>
      </c>
      <c r="G454" s="3491">
        <v>0</v>
      </c>
      <c r="H454" s="3633">
        <v>3373</v>
      </c>
      <c r="I454" s="3633">
        <v>5572</v>
      </c>
      <c r="J454" s="3631">
        <v>6269</v>
      </c>
    </row>
    <row r="455" spans="1:10" ht="13.5">
      <c r="A455" s="3632">
        <v>22500</v>
      </c>
      <c r="B455" s="3631">
        <v>22550</v>
      </c>
      <c r="C455" s="3491">
        <v>0</v>
      </c>
      <c r="D455" s="3632">
        <v>2680</v>
      </c>
      <c r="E455" s="3633">
        <v>4659</v>
      </c>
      <c r="F455" s="3631">
        <v>5356</v>
      </c>
      <c r="G455" s="3491">
        <v>0</v>
      </c>
      <c r="H455" s="3633">
        <v>3373</v>
      </c>
      <c r="I455" s="3633">
        <v>5572</v>
      </c>
      <c r="J455" s="3631">
        <v>6269</v>
      </c>
    </row>
    <row r="456" spans="1:10" ht="13.5">
      <c r="A456" s="3632">
        <v>22550</v>
      </c>
      <c r="B456" s="3631">
        <v>22600</v>
      </c>
      <c r="C456" s="3491">
        <v>0</v>
      </c>
      <c r="D456" s="3632">
        <v>2672</v>
      </c>
      <c r="E456" s="3633">
        <v>4649</v>
      </c>
      <c r="F456" s="3631">
        <v>5345</v>
      </c>
      <c r="G456" s="3491">
        <v>0</v>
      </c>
      <c r="H456" s="3633">
        <v>3373</v>
      </c>
      <c r="I456" s="3633">
        <v>5572</v>
      </c>
      <c r="J456" s="3631">
        <v>6269</v>
      </c>
    </row>
    <row r="457" spans="1:10" ht="13.5">
      <c r="A457" s="3632">
        <v>22600</v>
      </c>
      <c r="B457" s="3631">
        <v>22650</v>
      </c>
      <c r="C457" s="3491">
        <v>0</v>
      </c>
      <c r="D457" s="3632">
        <v>2664</v>
      </c>
      <c r="E457" s="3633">
        <v>4638</v>
      </c>
      <c r="F457" s="3631">
        <v>5334</v>
      </c>
      <c r="G457" s="3491">
        <v>0</v>
      </c>
      <c r="H457" s="3633">
        <v>3373</v>
      </c>
      <c r="I457" s="3633">
        <v>5572</v>
      </c>
      <c r="J457" s="3631">
        <v>6269</v>
      </c>
    </row>
    <row r="458" spans="1:10" ht="13.5">
      <c r="A458" s="3632">
        <v>22650</v>
      </c>
      <c r="B458" s="3631">
        <v>22700</v>
      </c>
      <c r="C458" s="3491">
        <v>0</v>
      </c>
      <c r="D458" s="3632">
        <v>2656</v>
      </c>
      <c r="E458" s="3633">
        <v>4627</v>
      </c>
      <c r="F458" s="3631">
        <v>5324</v>
      </c>
      <c r="G458" s="3491">
        <v>0</v>
      </c>
      <c r="H458" s="3633">
        <v>3373</v>
      </c>
      <c r="I458" s="3633">
        <v>5572</v>
      </c>
      <c r="J458" s="3631">
        <v>6269</v>
      </c>
    </row>
    <row r="459" spans="1:10" ht="13.5">
      <c r="A459" s="3632">
        <v>22700</v>
      </c>
      <c r="B459" s="3631">
        <v>22750</v>
      </c>
      <c r="C459" s="3491">
        <v>0</v>
      </c>
      <c r="D459" s="3632">
        <v>2648</v>
      </c>
      <c r="E459" s="3633">
        <v>4617</v>
      </c>
      <c r="F459" s="3631">
        <v>5313</v>
      </c>
      <c r="G459" s="3491">
        <v>0</v>
      </c>
      <c r="H459" s="3633">
        <v>3373</v>
      </c>
      <c r="I459" s="3633">
        <v>5572</v>
      </c>
      <c r="J459" s="3631">
        <v>6269</v>
      </c>
    </row>
    <row r="460" spans="1:10" ht="13.5">
      <c r="A460" s="3632">
        <v>22750</v>
      </c>
      <c r="B460" s="3631">
        <v>22800</v>
      </c>
      <c r="C460" s="3491">
        <v>0</v>
      </c>
      <c r="D460" s="3632">
        <v>2640</v>
      </c>
      <c r="E460" s="3633">
        <v>4606</v>
      </c>
      <c r="F460" s="3631">
        <v>5303</v>
      </c>
      <c r="G460" s="3491">
        <v>0</v>
      </c>
      <c r="H460" s="3633">
        <v>3373</v>
      </c>
      <c r="I460" s="3633">
        <v>5572</v>
      </c>
      <c r="J460" s="3631">
        <v>6269</v>
      </c>
    </row>
    <row r="461" spans="1:10" ht="13.5">
      <c r="A461" s="3632">
        <v>22800</v>
      </c>
      <c r="B461" s="3631">
        <v>22850</v>
      </c>
      <c r="C461" s="3491">
        <v>0</v>
      </c>
      <c r="D461" s="3632">
        <v>2632</v>
      </c>
      <c r="E461" s="3633">
        <v>4596</v>
      </c>
      <c r="F461" s="3631">
        <v>5292</v>
      </c>
      <c r="G461" s="3491">
        <v>0</v>
      </c>
      <c r="H461" s="3633">
        <v>3373</v>
      </c>
      <c r="I461" s="3633">
        <v>5572</v>
      </c>
      <c r="J461" s="3631">
        <v>6269</v>
      </c>
    </row>
    <row r="462" spans="1:10" ht="13.5">
      <c r="A462" s="3632">
        <v>22850</v>
      </c>
      <c r="B462" s="3631">
        <v>22900</v>
      </c>
      <c r="C462" s="3491">
        <v>0</v>
      </c>
      <c r="D462" s="3632">
        <v>2624</v>
      </c>
      <c r="E462" s="3633">
        <v>4585</v>
      </c>
      <c r="F462" s="3631">
        <v>5282</v>
      </c>
      <c r="G462" s="3491">
        <v>0</v>
      </c>
      <c r="H462" s="3633">
        <v>3373</v>
      </c>
      <c r="I462" s="3633">
        <v>5572</v>
      </c>
      <c r="J462" s="3631">
        <v>6269</v>
      </c>
    </row>
    <row r="463" spans="1:10" ht="13.5">
      <c r="A463" s="3632">
        <v>22900</v>
      </c>
      <c r="B463" s="3631">
        <v>22950</v>
      </c>
      <c r="C463" s="3491">
        <v>0</v>
      </c>
      <c r="D463" s="3632">
        <v>2616</v>
      </c>
      <c r="E463" s="3633">
        <v>4575</v>
      </c>
      <c r="F463" s="3631">
        <v>5271</v>
      </c>
      <c r="G463" s="3491">
        <v>0</v>
      </c>
      <c r="H463" s="3633">
        <v>3373</v>
      </c>
      <c r="I463" s="3633">
        <v>5572</v>
      </c>
      <c r="J463" s="3631">
        <v>6269</v>
      </c>
    </row>
    <row r="464" spans="1:10" ht="13.5">
      <c r="A464" s="3632">
        <v>22950</v>
      </c>
      <c r="B464" s="3631">
        <v>23000</v>
      </c>
      <c r="C464" s="3491">
        <v>0</v>
      </c>
      <c r="D464" s="3632">
        <v>2608</v>
      </c>
      <c r="E464" s="3633">
        <v>4564</v>
      </c>
      <c r="F464" s="3631">
        <v>5261</v>
      </c>
      <c r="G464" s="3491">
        <v>0</v>
      </c>
      <c r="H464" s="3633">
        <v>3373</v>
      </c>
      <c r="I464" s="3633">
        <v>5572</v>
      </c>
      <c r="J464" s="3631">
        <v>6269</v>
      </c>
    </row>
    <row r="465" spans="1:10" ht="13.5">
      <c r="A465" s="3632">
        <v>23000</v>
      </c>
      <c r="B465" s="3631">
        <v>23050</v>
      </c>
      <c r="C465" s="3491">
        <v>0</v>
      </c>
      <c r="D465" s="3632">
        <v>2600</v>
      </c>
      <c r="E465" s="3633">
        <v>4554</v>
      </c>
      <c r="F465" s="3631">
        <v>5250</v>
      </c>
      <c r="G465" s="3491">
        <v>0</v>
      </c>
      <c r="H465" s="3633">
        <v>3373</v>
      </c>
      <c r="I465" s="3633">
        <v>5572</v>
      </c>
      <c r="J465" s="3631">
        <v>6269</v>
      </c>
    </row>
    <row r="466" spans="1:10" ht="13.5">
      <c r="A466" s="3632">
        <v>23050</v>
      </c>
      <c r="B466" s="3631">
        <v>23100</v>
      </c>
      <c r="C466" s="3491">
        <v>0</v>
      </c>
      <c r="D466" s="3632">
        <v>2592</v>
      </c>
      <c r="E466" s="3633">
        <v>4543</v>
      </c>
      <c r="F466" s="3631">
        <v>5240</v>
      </c>
      <c r="G466" s="3491">
        <v>0</v>
      </c>
      <c r="H466" s="3633">
        <v>3373</v>
      </c>
      <c r="I466" s="3633">
        <v>5572</v>
      </c>
      <c r="J466" s="3631">
        <v>6269</v>
      </c>
    </row>
    <row r="467" spans="1:10" ht="13.5">
      <c r="A467" s="3632">
        <v>23100</v>
      </c>
      <c r="B467" s="3631">
        <v>23150</v>
      </c>
      <c r="C467" s="3491">
        <v>0</v>
      </c>
      <c r="D467" s="3632">
        <v>2584</v>
      </c>
      <c r="E467" s="3633">
        <v>4533</v>
      </c>
      <c r="F467" s="3631">
        <v>5229</v>
      </c>
      <c r="G467" s="3491">
        <v>0</v>
      </c>
      <c r="H467" s="3633">
        <v>3373</v>
      </c>
      <c r="I467" s="3633">
        <v>5572</v>
      </c>
      <c r="J467" s="3631">
        <v>6269</v>
      </c>
    </row>
    <row r="468" spans="1:10" ht="13.5">
      <c r="A468" s="3632">
        <v>23150</v>
      </c>
      <c r="B468" s="3631">
        <v>23200</v>
      </c>
      <c r="C468" s="3491">
        <v>0</v>
      </c>
      <c r="D468" s="3632">
        <v>2576</v>
      </c>
      <c r="E468" s="3633">
        <v>4522</v>
      </c>
      <c r="F468" s="3631">
        <v>5219</v>
      </c>
      <c r="G468" s="3491">
        <v>0</v>
      </c>
      <c r="H468" s="3633">
        <v>3373</v>
      </c>
      <c r="I468" s="3633">
        <v>5572</v>
      </c>
      <c r="J468" s="3631">
        <v>6269</v>
      </c>
    </row>
    <row r="469" spans="1:10" ht="13.5">
      <c r="A469" s="3632">
        <v>23200</v>
      </c>
      <c r="B469" s="3631">
        <v>23250</v>
      </c>
      <c r="C469" s="3491">
        <v>0</v>
      </c>
      <c r="D469" s="3632">
        <v>2568</v>
      </c>
      <c r="E469" s="3633">
        <v>4512</v>
      </c>
      <c r="F469" s="3631">
        <v>5208</v>
      </c>
      <c r="G469" s="3491">
        <v>0</v>
      </c>
      <c r="H469" s="3633">
        <v>3373</v>
      </c>
      <c r="I469" s="3633">
        <v>5572</v>
      </c>
      <c r="J469" s="3631">
        <v>6269</v>
      </c>
    </row>
    <row r="470" spans="1:10" ht="13.5">
      <c r="A470" s="3632">
        <v>23250</v>
      </c>
      <c r="B470" s="3631">
        <v>23300</v>
      </c>
      <c r="C470" s="3491">
        <v>0</v>
      </c>
      <c r="D470" s="3632">
        <v>2560</v>
      </c>
      <c r="E470" s="3633">
        <v>4501</v>
      </c>
      <c r="F470" s="3631">
        <v>5198</v>
      </c>
      <c r="G470" s="3491">
        <v>0</v>
      </c>
      <c r="H470" s="3633">
        <v>3373</v>
      </c>
      <c r="I470" s="3633">
        <v>5572</v>
      </c>
      <c r="J470" s="3631">
        <v>6269</v>
      </c>
    </row>
    <row r="471" spans="1:10" ht="13.5">
      <c r="A471" s="3632">
        <v>23300</v>
      </c>
      <c r="B471" s="3631">
        <v>23350</v>
      </c>
      <c r="C471" s="3491">
        <v>0</v>
      </c>
      <c r="D471" s="3632">
        <v>2552</v>
      </c>
      <c r="E471" s="3633">
        <v>4491</v>
      </c>
      <c r="F471" s="3631">
        <v>5187</v>
      </c>
      <c r="G471" s="3491">
        <v>0</v>
      </c>
      <c r="H471" s="3633">
        <v>3373</v>
      </c>
      <c r="I471" s="3633">
        <v>5572</v>
      </c>
      <c r="J471" s="3631">
        <v>6269</v>
      </c>
    </row>
    <row r="472" spans="1:10" ht="13.5">
      <c r="A472" s="3632">
        <v>23350</v>
      </c>
      <c r="B472" s="3631">
        <v>23400</v>
      </c>
      <c r="C472" s="3491">
        <v>0</v>
      </c>
      <c r="D472" s="3632">
        <v>2544</v>
      </c>
      <c r="E472" s="3633">
        <v>4480</v>
      </c>
      <c r="F472" s="3631">
        <v>5177</v>
      </c>
      <c r="G472" s="3491">
        <v>0</v>
      </c>
      <c r="H472" s="3633">
        <v>3373</v>
      </c>
      <c r="I472" s="3633">
        <v>5572</v>
      </c>
      <c r="J472" s="3631">
        <v>6269</v>
      </c>
    </row>
    <row r="473" spans="1:10" ht="13.5">
      <c r="A473" s="3632">
        <v>23400</v>
      </c>
      <c r="B473" s="3631">
        <v>23450</v>
      </c>
      <c r="C473" s="3491">
        <v>0</v>
      </c>
      <c r="D473" s="3632">
        <v>2536</v>
      </c>
      <c r="E473" s="3633">
        <v>4470</v>
      </c>
      <c r="F473" s="3631">
        <v>5166</v>
      </c>
      <c r="G473" s="3491">
        <v>0</v>
      </c>
      <c r="H473" s="3633">
        <v>3373</v>
      </c>
      <c r="I473" s="3633">
        <v>5572</v>
      </c>
      <c r="J473" s="3631">
        <v>6269</v>
      </c>
    </row>
    <row r="474" spans="1:10" ht="13.5">
      <c r="A474" s="3632">
        <v>23450</v>
      </c>
      <c r="B474" s="3631">
        <v>23500</v>
      </c>
      <c r="C474" s="3491">
        <v>0</v>
      </c>
      <c r="D474" s="3632">
        <v>2528</v>
      </c>
      <c r="E474" s="3633">
        <v>4459</v>
      </c>
      <c r="F474" s="3631">
        <v>5155</v>
      </c>
      <c r="G474" s="3491">
        <v>0</v>
      </c>
      <c r="H474" s="3633">
        <v>3373</v>
      </c>
      <c r="I474" s="3633">
        <v>5572</v>
      </c>
      <c r="J474" s="3631">
        <v>6269</v>
      </c>
    </row>
    <row r="475" spans="1:10" ht="13.5">
      <c r="A475" s="3632">
        <v>23500</v>
      </c>
      <c r="B475" s="3631">
        <v>23550</v>
      </c>
      <c r="C475" s="3491">
        <v>0</v>
      </c>
      <c r="D475" s="3632">
        <v>2520</v>
      </c>
      <c r="E475" s="3633">
        <v>4448</v>
      </c>
      <c r="F475" s="3631">
        <v>5145</v>
      </c>
      <c r="G475" s="3491">
        <v>0</v>
      </c>
      <c r="H475" s="3633">
        <v>3373</v>
      </c>
      <c r="I475" s="3633">
        <v>5572</v>
      </c>
      <c r="J475" s="3631">
        <v>6269</v>
      </c>
    </row>
    <row r="476" spans="1:10" ht="13.5">
      <c r="A476" s="3632">
        <v>23550</v>
      </c>
      <c r="B476" s="3631">
        <v>23600</v>
      </c>
      <c r="C476" s="3491">
        <v>0</v>
      </c>
      <c r="D476" s="3632">
        <v>2512</v>
      </c>
      <c r="E476" s="3633">
        <v>4438</v>
      </c>
      <c r="F476" s="3631">
        <v>5134</v>
      </c>
      <c r="G476" s="3491">
        <v>0</v>
      </c>
      <c r="H476" s="3633">
        <v>3373</v>
      </c>
      <c r="I476" s="3633">
        <v>5572</v>
      </c>
      <c r="J476" s="3631">
        <v>6269</v>
      </c>
    </row>
    <row r="477" spans="1:10" ht="13.5">
      <c r="A477" s="3632">
        <v>23600</v>
      </c>
      <c r="B477" s="3631">
        <v>23650</v>
      </c>
      <c r="C477" s="3491">
        <v>0</v>
      </c>
      <c r="D477" s="3632">
        <v>2504</v>
      </c>
      <c r="E477" s="3633">
        <v>4427</v>
      </c>
      <c r="F477" s="3631">
        <v>5124</v>
      </c>
      <c r="G477" s="3491">
        <v>0</v>
      </c>
      <c r="H477" s="3633">
        <v>3373</v>
      </c>
      <c r="I477" s="3633">
        <v>5572</v>
      </c>
      <c r="J477" s="3631">
        <v>6269</v>
      </c>
    </row>
    <row r="478" spans="1:10" ht="13.5">
      <c r="A478" s="3632">
        <v>23650</v>
      </c>
      <c r="B478" s="3631">
        <v>23700</v>
      </c>
      <c r="C478" s="3491">
        <v>0</v>
      </c>
      <c r="D478" s="3632">
        <v>2496</v>
      </c>
      <c r="E478" s="3633">
        <v>4417</v>
      </c>
      <c r="F478" s="3631">
        <v>5113</v>
      </c>
      <c r="G478" s="3491">
        <v>0</v>
      </c>
      <c r="H478" s="3633">
        <v>3373</v>
      </c>
      <c r="I478" s="3633">
        <v>5572</v>
      </c>
      <c r="J478" s="3631">
        <v>6269</v>
      </c>
    </row>
    <row r="479" spans="1:10" ht="13.5">
      <c r="A479" s="3632">
        <v>23700</v>
      </c>
      <c r="B479" s="3631">
        <v>23750</v>
      </c>
      <c r="C479" s="3491">
        <v>0</v>
      </c>
      <c r="D479" s="3632">
        <v>2488</v>
      </c>
      <c r="E479" s="3633">
        <v>4406</v>
      </c>
      <c r="F479" s="3631">
        <v>5103</v>
      </c>
      <c r="G479" s="3491">
        <v>0</v>
      </c>
      <c r="H479" s="3633">
        <v>3373</v>
      </c>
      <c r="I479" s="3633">
        <v>5572</v>
      </c>
      <c r="J479" s="3631">
        <v>6269</v>
      </c>
    </row>
    <row r="480" spans="1:10" ht="13.5">
      <c r="A480" s="3632">
        <v>23750</v>
      </c>
      <c r="B480" s="3631">
        <v>23800</v>
      </c>
      <c r="C480" s="3491">
        <v>0</v>
      </c>
      <c r="D480" s="3632">
        <v>2480</v>
      </c>
      <c r="E480" s="3633">
        <v>4396</v>
      </c>
      <c r="F480" s="3631">
        <v>5092</v>
      </c>
      <c r="G480" s="3491">
        <v>0</v>
      </c>
      <c r="H480" s="3633">
        <v>3367</v>
      </c>
      <c r="I480" s="3633">
        <v>5565</v>
      </c>
      <c r="J480" s="3631">
        <v>6261</v>
      </c>
    </row>
    <row r="481" spans="1:10" ht="13.5">
      <c r="A481" s="3632">
        <v>23800</v>
      </c>
      <c r="B481" s="3631">
        <v>23850</v>
      </c>
      <c r="C481" s="3491">
        <v>0</v>
      </c>
      <c r="D481" s="3632">
        <v>2472</v>
      </c>
      <c r="E481" s="3633">
        <v>4385</v>
      </c>
      <c r="F481" s="3631">
        <v>5082</v>
      </c>
      <c r="G481" s="3491">
        <v>0</v>
      </c>
      <c r="H481" s="3633">
        <v>3359</v>
      </c>
      <c r="I481" s="3633">
        <v>5554</v>
      </c>
      <c r="J481" s="3631">
        <v>6251</v>
      </c>
    </row>
    <row r="482" spans="1:10" ht="13.5">
      <c r="A482" s="3632">
        <v>23850</v>
      </c>
      <c r="B482" s="3631">
        <v>23900</v>
      </c>
      <c r="C482" s="3491">
        <v>0</v>
      </c>
      <c r="D482" s="3632">
        <v>2464</v>
      </c>
      <c r="E482" s="3633">
        <v>4375</v>
      </c>
      <c r="F482" s="3631">
        <v>5071</v>
      </c>
      <c r="G482" s="3491">
        <v>0</v>
      </c>
      <c r="H482" s="3633">
        <v>3351</v>
      </c>
      <c r="I482" s="3633">
        <v>5544</v>
      </c>
      <c r="J482" s="3631">
        <v>6240</v>
      </c>
    </row>
    <row r="483" spans="1:10" ht="13.5">
      <c r="A483" s="3632">
        <v>23900</v>
      </c>
      <c r="B483" s="3631">
        <v>23950</v>
      </c>
      <c r="C483" s="3491">
        <v>0</v>
      </c>
      <c r="D483" s="3632">
        <v>2456</v>
      </c>
      <c r="E483" s="3633">
        <v>4364</v>
      </c>
      <c r="F483" s="3631">
        <v>5061</v>
      </c>
      <c r="G483" s="3491">
        <v>0</v>
      </c>
      <c r="H483" s="3633">
        <v>3343</v>
      </c>
      <c r="I483" s="3633">
        <v>5533</v>
      </c>
      <c r="J483" s="3631">
        <v>6230</v>
      </c>
    </row>
    <row r="484" spans="1:10" ht="13.5">
      <c r="A484" s="3632">
        <v>23950</v>
      </c>
      <c r="B484" s="3631">
        <v>24000</v>
      </c>
      <c r="C484" s="3491">
        <v>0</v>
      </c>
      <c r="D484" s="3632">
        <v>2448</v>
      </c>
      <c r="E484" s="3633">
        <v>4354</v>
      </c>
      <c r="F484" s="3631">
        <v>5050</v>
      </c>
      <c r="G484" s="3491">
        <v>0</v>
      </c>
      <c r="H484" s="3633">
        <v>3335</v>
      </c>
      <c r="I484" s="3633">
        <v>5523</v>
      </c>
      <c r="J484" s="3631">
        <v>6219</v>
      </c>
    </row>
    <row r="485" spans="1:10" ht="13.5">
      <c r="A485" s="3632">
        <v>24000</v>
      </c>
      <c r="B485" s="3631">
        <v>24050</v>
      </c>
      <c r="C485" s="3491">
        <v>0</v>
      </c>
      <c r="D485" s="3632">
        <v>2440</v>
      </c>
      <c r="E485" s="3633">
        <v>4343</v>
      </c>
      <c r="F485" s="3631">
        <v>5040</v>
      </c>
      <c r="G485" s="3491">
        <v>0</v>
      </c>
      <c r="H485" s="3633">
        <v>3327</v>
      </c>
      <c r="I485" s="3633">
        <v>5512</v>
      </c>
      <c r="J485" s="3631">
        <v>6208</v>
      </c>
    </row>
    <row r="486" spans="1:10" ht="13.5">
      <c r="A486" s="3632">
        <v>24050</v>
      </c>
      <c r="B486" s="3631">
        <v>24100</v>
      </c>
      <c r="C486" s="3491">
        <v>0</v>
      </c>
      <c r="D486" s="3632">
        <v>2432</v>
      </c>
      <c r="E486" s="3633">
        <v>4333</v>
      </c>
      <c r="F486" s="3631">
        <v>5029</v>
      </c>
      <c r="G486" s="3491">
        <v>0</v>
      </c>
      <c r="H486" s="3633">
        <v>3319</v>
      </c>
      <c r="I486" s="3633">
        <v>5501</v>
      </c>
      <c r="J486" s="3631">
        <v>6198</v>
      </c>
    </row>
    <row r="487" spans="1:10" ht="13.5">
      <c r="A487" s="3632">
        <v>24100</v>
      </c>
      <c r="B487" s="3631">
        <v>24150</v>
      </c>
      <c r="C487" s="3491">
        <v>0</v>
      </c>
      <c r="D487" s="3632">
        <v>2424</v>
      </c>
      <c r="E487" s="3633">
        <v>4322</v>
      </c>
      <c r="F487" s="3631">
        <v>5019</v>
      </c>
      <c r="G487" s="3491">
        <v>0</v>
      </c>
      <c r="H487" s="3633">
        <v>3311</v>
      </c>
      <c r="I487" s="3633">
        <v>5491</v>
      </c>
      <c r="J487" s="3631">
        <v>6187</v>
      </c>
    </row>
    <row r="488" spans="1:10" ht="13.5">
      <c r="A488" s="3632">
        <v>24150</v>
      </c>
      <c r="B488" s="3631">
        <v>24200</v>
      </c>
      <c r="C488" s="3491">
        <v>0</v>
      </c>
      <c r="D488" s="3632">
        <v>2416</v>
      </c>
      <c r="E488" s="3633">
        <v>4312</v>
      </c>
      <c r="F488" s="3631">
        <v>5008</v>
      </c>
      <c r="G488" s="3491">
        <v>0</v>
      </c>
      <c r="H488" s="3633">
        <v>3303</v>
      </c>
      <c r="I488" s="3633">
        <v>5480</v>
      </c>
      <c r="J488" s="3631">
        <v>6177</v>
      </c>
    </row>
    <row r="489" spans="1:10" ht="13.5">
      <c r="A489" s="3632">
        <v>24200</v>
      </c>
      <c r="B489" s="3631">
        <v>24250</v>
      </c>
      <c r="C489" s="3491">
        <v>0</v>
      </c>
      <c r="D489" s="3632">
        <v>2408</v>
      </c>
      <c r="E489" s="3633">
        <v>4301</v>
      </c>
      <c r="F489" s="3631">
        <v>4998</v>
      </c>
      <c r="G489" s="3491">
        <v>0</v>
      </c>
      <c r="H489" s="3633">
        <v>3295</v>
      </c>
      <c r="I489" s="3633">
        <v>5470</v>
      </c>
      <c r="J489" s="3631">
        <v>6166</v>
      </c>
    </row>
    <row r="490" spans="1:10" ht="13.5">
      <c r="A490" s="3632">
        <v>24250</v>
      </c>
      <c r="B490" s="3631">
        <v>24300</v>
      </c>
      <c r="C490" s="3491">
        <v>0</v>
      </c>
      <c r="D490" s="3632">
        <v>2400</v>
      </c>
      <c r="E490" s="3633">
        <v>4290</v>
      </c>
      <c r="F490" s="3631">
        <v>4987</v>
      </c>
      <c r="G490" s="3491">
        <v>0</v>
      </c>
      <c r="H490" s="3633">
        <v>3287</v>
      </c>
      <c r="I490" s="3633">
        <v>5459</v>
      </c>
      <c r="J490" s="3631">
        <v>6156</v>
      </c>
    </row>
    <row r="491" spans="1:10" ht="13.5">
      <c r="A491" s="3632">
        <v>24300</v>
      </c>
      <c r="B491" s="3631">
        <v>24350</v>
      </c>
      <c r="C491" s="3491">
        <v>0</v>
      </c>
      <c r="D491" s="3632">
        <v>2392</v>
      </c>
      <c r="E491" s="3633">
        <v>4280</v>
      </c>
      <c r="F491" s="3631">
        <v>4976</v>
      </c>
      <c r="G491" s="3491">
        <v>0</v>
      </c>
      <c r="H491" s="3633">
        <v>3279</v>
      </c>
      <c r="I491" s="3633">
        <v>5449</v>
      </c>
      <c r="J491" s="3631">
        <v>6145</v>
      </c>
    </row>
    <row r="492" spans="1:10" ht="13.5">
      <c r="A492" s="3632">
        <v>24350</v>
      </c>
      <c r="B492" s="3631">
        <v>24400</v>
      </c>
      <c r="C492" s="3491">
        <v>0</v>
      </c>
      <c r="D492" s="3632">
        <v>2384</v>
      </c>
      <c r="E492" s="3633">
        <v>4269</v>
      </c>
      <c r="F492" s="3631">
        <v>4966</v>
      </c>
      <c r="G492" s="3491">
        <v>0</v>
      </c>
      <c r="H492" s="3633">
        <v>3271</v>
      </c>
      <c r="I492" s="3633">
        <v>5438</v>
      </c>
      <c r="J492" s="3631">
        <v>6135</v>
      </c>
    </row>
    <row r="493" spans="1:10" ht="13.5">
      <c r="A493" s="3632">
        <v>24400</v>
      </c>
      <c r="B493" s="3631">
        <v>24450</v>
      </c>
      <c r="C493" s="3491">
        <v>0</v>
      </c>
      <c r="D493" s="3632">
        <v>2376</v>
      </c>
      <c r="E493" s="3633">
        <v>4259</v>
      </c>
      <c r="F493" s="3631">
        <v>4955</v>
      </c>
      <c r="G493" s="3491">
        <v>0</v>
      </c>
      <c r="H493" s="3633">
        <v>3263</v>
      </c>
      <c r="I493" s="3633">
        <v>5428</v>
      </c>
      <c r="J493" s="3631">
        <v>6124</v>
      </c>
    </row>
    <row r="494" spans="1:10" ht="13.5">
      <c r="A494" s="3632">
        <v>24450</v>
      </c>
      <c r="B494" s="3631">
        <v>24500</v>
      </c>
      <c r="C494" s="3491">
        <v>0</v>
      </c>
      <c r="D494" s="3632">
        <v>2368</v>
      </c>
      <c r="E494" s="3633">
        <v>4248</v>
      </c>
      <c r="F494" s="3631">
        <v>4945</v>
      </c>
      <c r="G494" s="3491">
        <v>0</v>
      </c>
      <c r="H494" s="3633">
        <v>3255</v>
      </c>
      <c r="I494" s="3633">
        <v>5417</v>
      </c>
      <c r="J494" s="3631">
        <v>6114</v>
      </c>
    </row>
    <row r="495" spans="1:10" ht="13.5">
      <c r="A495" s="3632">
        <v>24500</v>
      </c>
      <c r="B495" s="3631">
        <v>24550</v>
      </c>
      <c r="C495" s="3491">
        <v>0</v>
      </c>
      <c r="D495" s="3632">
        <v>2360</v>
      </c>
      <c r="E495" s="3633">
        <v>4238</v>
      </c>
      <c r="F495" s="3631">
        <v>4934</v>
      </c>
      <c r="G495" s="3491">
        <v>0</v>
      </c>
      <c r="H495" s="3633">
        <v>3247</v>
      </c>
      <c r="I495" s="3633">
        <v>5407</v>
      </c>
      <c r="J495" s="3631">
        <v>6103</v>
      </c>
    </row>
    <row r="496" spans="1:10" ht="13.5">
      <c r="A496" s="3632">
        <v>24550</v>
      </c>
      <c r="B496" s="3631">
        <v>24600</v>
      </c>
      <c r="C496" s="3491">
        <v>0</v>
      </c>
      <c r="D496" s="3632">
        <v>2352</v>
      </c>
      <c r="E496" s="3633">
        <v>4227</v>
      </c>
      <c r="F496" s="3631">
        <v>4924</v>
      </c>
      <c r="G496" s="3491">
        <v>0</v>
      </c>
      <c r="H496" s="3633">
        <v>3239</v>
      </c>
      <c r="I496" s="3633">
        <v>5396</v>
      </c>
      <c r="J496" s="3631">
        <v>6093</v>
      </c>
    </row>
    <row r="497" spans="1:10" ht="13.5">
      <c r="A497" s="3632">
        <v>24600</v>
      </c>
      <c r="B497" s="3631">
        <v>24650</v>
      </c>
      <c r="C497" s="3491">
        <v>0</v>
      </c>
      <c r="D497" s="3632">
        <v>2344</v>
      </c>
      <c r="E497" s="3633">
        <v>4217</v>
      </c>
      <c r="F497" s="3631">
        <v>4913</v>
      </c>
      <c r="G497" s="3491">
        <v>0</v>
      </c>
      <c r="H497" s="3633">
        <v>3231</v>
      </c>
      <c r="I497" s="3633">
        <v>5386</v>
      </c>
      <c r="J497" s="3631">
        <v>6082</v>
      </c>
    </row>
    <row r="498" spans="1:10" ht="13.5">
      <c r="A498" s="3632">
        <v>24650</v>
      </c>
      <c r="B498" s="3631">
        <v>24700</v>
      </c>
      <c r="C498" s="3491">
        <v>0</v>
      </c>
      <c r="D498" s="3632">
        <v>2336</v>
      </c>
      <c r="E498" s="3633">
        <v>4206</v>
      </c>
      <c r="F498" s="3631">
        <v>4903</v>
      </c>
      <c r="G498" s="3491">
        <v>0</v>
      </c>
      <c r="H498" s="3633">
        <v>3223</v>
      </c>
      <c r="I498" s="3633">
        <v>5375</v>
      </c>
      <c r="J498" s="3631">
        <v>6072</v>
      </c>
    </row>
    <row r="499" spans="1:10" ht="13.5">
      <c r="A499" s="3632">
        <v>24700</v>
      </c>
      <c r="B499" s="3631">
        <v>24750</v>
      </c>
      <c r="C499" s="3491">
        <v>0</v>
      </c>
      <c r="D499" s="3632">
        <v>2329</v>
      </c>
      <c r="E499" s="3633">
        <v>4196</v>
      </c>
      <c r="F499" s="3631">
        <v>4892</v>
      </c>
      <c r="G499" s="3491">
        <v>0</v>
      </c>
      <c r="H499" s="3633">
        <v>3215</v>
      </c>
      <c r="I499" s="3633">
        <v>5365</v>
      </c>
      <c r="J499" s="3631">
        <v>6061</v>
      </c>
    </row>
    <row r="500" spans="1:10" ht="13.5">
      <c r="A500" s="3632">
        <v>24750</v>
      </c>
      <c r="B500" s="3631">
        <v>24800</v>
      </c>
      <c r="C500" s="3491">
        <v>0</v>
      </c>
      <c r="D500" s="3632">
        <v>2321</v>
      </c>
      <c r="E500" s="3633">
        <v>4185</v>
      </c>
      <c r="F500" s="3631">
        <v>4882</v>
      </c>
      <c r="G500" s="3491">
        <v>0</v>
      </c>
      <c r="H500" s="3633">
        <v>3207</v>
      </c>
      <c r="I500" s="3633">
        <v>5354</v>
      </c>
      <c r="J500" s="3631">
        <v>6051</v>
      </c>
    </row>
    <row r="501" spans="1:10" ht="13.5">
      <c r="A501" s="3632">
        <v>24800</v>
      </c>
      <c r="B501" s="3631">
        <v>24850</v>
      </c>
      <c r="C501" s="3491">
        <v>0</v>
      </c>
      <c r="D501" s="3632">
        <v>2313</v>
      </c>
      <c r="E501" s="3633">
        <v>4175</v>
      </c>
      <c r="F501" s="3631">
        <v>4871</v>
      </c>
      <c r="G501" s="3491">
        <v>0</v>
      </c>
      <c r="H501" s="3633">
        <v>3199</v>
      </c>
      <c r="I501" s="3633">
        <v>5343</v>
      </c>
      <c r="J501" s="3631">
        <v>6040</v>
      </c>
    </row>
    <row r="502" spans="1:10" ht="13.5">
      <c r="A502" s="3632">
        <v>24850</v>
      </c>
      <c r="B502" s="3631">
        <v>24900</v>
      </c>
      <c r="C502" s="3491">
        <v>0</v>
      </c>
      <c r="D502" s="3632">
        <v>2305</v>
      </c>
      <c r="E502" s="3633">
        <v>4164</v>
      </c>
      <c r="F502" s="3631">
        <v>4861</v>
      </c>
      <c r="G502" s="3491">
        <v>0</v>
      </c>
      <c r="H502" s="3633">
        <v>3191</v>
      </c>
      <c r="I502" s="3633">
        <v>5333</v>
      </c>
      <c r="J502" s="3631">
        <v>6029</v>
      </c>
    </row>
    <row r="503" spans="1:10" ht="13.5">
      <c r="A503" s="3632">
        <v>24900</v>
      </c>
      <c r="B503" s="3631">
        <v>24950</v>
      </c>
      <c r="C503" s="3491">
        <v>0</v>
      </c>
      <c r="D503" s="3632">
        <v>2297</v>
      </c>
      <c r="E503" s="3633">
        <v>4154</v>
      </c>
      <c r="F503" s="3631">
        <v>4850</v>
      </c>
      <c r="G503" s="3491">
        <v>0</v>
      </c>
      <c r="H503" s="3633">
        <v>3183</v>
      </c>
      <c r="I503" s="3633">
        <v>5322</v>
      </c>
      <c r="J503" s="3631">
        <v>6019</v>
      </c>
    </row>
    <row r="504" spans="1:10" ht="13.5">
      <c r="A504" s="3632">
        <v>24950</v>
      </c>
      <c r="B504" s="3631">
        <v>25000</v>
      </c>
      <c r="C504" s="3491">
        <v>0</v>
      </c>
      <c r="D504" s="3632">
        <v>2289</v>
      </c>
      <c r="E504" s="3633">
        <v>4143</v>
      </c>
      <c r="F504" s="3631">
        <v>4840</v>
      </c>
      <c r="G504" s="3491">
        <v>0</v>
      </c>
      <c r="H504" s="3633">
        <v>3175</v>
      </c>
      <c r="I504" s="3633">
        <v>5312</v>
      </c>
      <c r="J504" s="3631">
        <v>6008</v>
      </c>
    </row>
    <row r="505" spans="1:10" ht="13.5">
      <c r="A505" s="3632">
        <v>25000</v>
      </c>
      <c r="B505" s="3631">
        <v>25050</v>
      </c>
      <c r="C505" s="3491">
        <v>0</v>
      </c>
      <c r="D505" s="3632">
        <v>2281</v>
      </c>
      <c r="E505" s="3633">
        <v>4133</v>
      </c>
      <c r="F505" s="3631">
        <v>4829</v>
      </c>
      <c r="G505" s="3491">
        <v>0</v>
      </c>
      <c r="H505" s="3633">
        <v>3167</v>
      </c>
      <c r="I505" s="3633">
        <v>5301</v>
      </c>
      <c r="J505" s="3631">
        <v>5998</v>
      </c>
    </row>
    <row r="506" spans="1:10" ht="13.5">
      <c r="A506" s="3632">
        <v>25050</v>
      </c>
      <c r="B506" s="3631">
        <v>25100</v>
      </c>
      <c r="C506" s="3491">
        <v>0</v>
      </c>
      <c r="D506" s="3632">
        <v>2273</v>
      </c>
      <c r="E506" s="3633">
        <v>4122</v>
      </c>
      <c r="F506" s="3631">
        <v>4819</v>
      </c>
      <c r="G506" s="3491">
        <v>0</v>
      </c>
      <c r="H506" s="3633">
        <v>3159</v>
      </c>
      <c r="I506" s="3633">
        <v>5291</v>
      </c>
      <c r="J506" s="3631">
        <v>5987</v>
      </c>
    </row>
    <row r="507" spans="1:10" ht="13.5">
      <c r="A507" s="3632">
        <v>25100</v>
      </c>
      <c r="B507" s="3631">
        <v>25150</v>
      </c>
      <c r="C507" s="3491">
        <v>0</v>
      </c>
      <c r="D507" s="3632">
        <v>2265</v>
      </c>
      <c r="E507" s="3633">
        <v>4111</v>
      </c>
      <c r="F507" s="3631">
        <v>4808</v>
      </c>
      <c r="G507" s="3491">
        <v>0</v>
      </c>
      <c r="H507" s="3633">
        <v>3151</v>
      </c>
      <c r="I507" s="3633">
        <v>5280</v>
      </c>
      <c r="J507" s="3631">
        <v>5977</v>
      </c>
    </row>
    <row r="508" spans="1:10" ht="13.5">
      <c r="A508" s="3632">
        <v>25150</v>
      </c>
      <c r="B508" s="3631">
        <v>25200</v>
      </c>
      <c r="C508" s="3491">
        <v>0</v>
      </c>
      <c r="D508" s="3632">
        <v>2257</v>
      </c>
      <c r="E508" s="3633">
        <v>4101</v>
      </c>
      <c r="F508" s="3631">
        <v>4797</v>
      </c>
      <c r="G508" s="3491">
        <v>0</v>
      </c>
      <c r="H508" s="3633">
        <v>3143</v>
      </c>
      <c r="I508" s="3633">
        <v>5270</v>
      </c>
      <c r="J508" s="3631">
        <v>5966</v>
      </c>
    </row>
    <row r="509" spans="1:10" ht="13.5">
      <c r="A509" s="3632">
        <v>25200</v>
      </c>
      <c r="B509" s="3631">
        <v>25250</v>
      </c>
      <c r="C509" s="3491">
        <v>0</v>
      </c>
      <c r="D509" s="3632">
        <v>2249</v>
      </c>
      <c r="E509" s="3633">
        <v>4090</v>
      </c>
      <c r="F509" s="3631">
        <v>4787</v>
      </c>
      <c r="G509" s="3491">
        <v>0</v>
      </c>
      <c r="H509" s="3633">
        <v>3135</v>
      </c>
      <c r="I509" s="3633">
        <v>5259</v>
      </c>
      <c r="J509" s="3631">
        <v>5956</v>
      </c>
    </row>
    <row r="510" spans="1:10" ht="13.5">
      <c r="A510" s="3632">
        <v>25250</v>
      </c>
      <c r="B510" s="3631">
        <v>25300</v>
      </c>
      <c r="C510" s="3491">
        <v>0</v>
      </c>
      <c r="D510" s="3632">
        <v>2241</v>
      </c>
      <c r="E510" s="3633">
        <v>4080</v>
      </c>
      <c r="F510" s="3631">
        <v>4776</v>
      </c>
      <c r="G510" s="3491">
        <v>0</v>
      </c>
      <c r="H510" s="3633">
        <v>3128</v>
      </c>
      <c r="I510" s="3633">
        <v>5249</v>
      </c>
      <c r="J510" s="3631">
        <v>5945</v>
      </c>
    </row>
    <row r="511" spans="1:10" ht="13.5">
      <c r="A511" s="3632">
        <v>25300</v>
      </c>
      <c r="B511" s="3631">
        <v>25350</v>
      </c>
      <c r="C511" s="3491">
        <v>0</v>
      </c>
      <c r="D511" s="3632">
        <v>2233</v>
      </c>
      <c r="E511" s="3633">
        <v>4069</v>
      </c>
      <c r="F511" s="3631">
        <v>4766</v>
      </c>
      <c r="G511" s="3491">
        <v>0</v>
      </c>
      <c r="H511" s="3633">
        <v>3120</v>
      </c>
      <c r="I511" s="3633">
        <v>5238</v>
      </c>
      <c r="J511" s="3631">
        <v>5935</v>
      </c>
    </row>
    <row r="512" spans="1:10" ht="13.5">
      <c r="A512" s="3632">
        <v>25350</v>
      </c>
      <c r="B512" s="3631">
        <v>25400</v>
      </c>
      <c r="C512" s="3491">
        <v>0</v>
      </c>
      <c r="D512" s="3632">
        <v>2225</v>
      </c>
      <c r="E512" s="3633">
        <v>4059</v>
      </c>
      <c r="F512" s="3631">
        <v>4755</v>
      </c>
      <c r="G512" s="3491">
        <v>0</v>
      </c>
      <c r="H512" s="3633">
        <v>3112</v>
      </c>
      <c r="I512" s="3633">
        <v>5228</v>
      </c>
      <c r="J512" s="3631">
        <v>5924</v>
      </c>
    </row>
    <row r="513" spans="1:10" ht="13.5">
      <c r="A513" s="3632">
        <v>25400</v>
      </c>
      <c r="B513" s="3631">
        <v>25450</v>
      </c>
      <c r="C513" s="3491">
        <v>0</v>
      </c>
      <c r="D513" s="3632">
        <v>2217</v>
      </c>
      <c r="E513" s="3633">
        <v>4048</v>
      </c>
      <c r="F513" s="3631">
        <v>4745</v>
      </c>
      <c r="G513" s="3491">
        <v>0</v>
      </c>
      <c r="H513" s="3633">
        <v>3104</v>
      </c>
      <c r="I513" s="3633">
        <v>5217</v>
      </c>
      <c r="J513" s="3631">
        <v>5914</v>
      </c>
    </row>
    <row r="514" spans="1:10" ht="13.5">
      <c r="A514" s="3632">
        <v>25450</v>
      </c>
      <c r="B514" s="3631">
        <v>25500</v>
      </c>
      <c r="C514" s="3491">
        <v>0</v>
      </c>
      <c r="D514" s="3632">
        <v>2209</v>
      </c>
      <c r="E514" s="3633">
        <v>4038</v>
      </c>
      <c r="F514" s="3631">
        <v>4734</v>
      </c>
      <c r="G514" s="3491">
        <v>0</v>
      </c>
      <c r="H514" s="3633">
        <v>3096</v>
      </c>
      <c r="I514" s="3633">
        <v>5207</v>
      </c>
      <c r="J514" s="3631">
        <v>5903</v>
      </c>
    </row>
    <row r="515" spans="1:10" ht="13.5">
      <c r="A515" s="3632">
        <v>25500</v>
      </c>
      <c r="B515" s="3631">
        <v>25550</v>
      </c>
      <c r="C515" s="3491">
        <v>0</v>
      </c>
      <c r="D515" s="3632">
        <v>2201</v>
      </c>
      <c r="E515" s="3633">
        <v>4027</v>
      </c>
      <c r="F515" s="3631">
        <v>4724</v>
      </c>
      <c r="G515" s="3491">
        <v>0</v>
      </c>
      <c r="H515" s="3633">
        <v>3088</v>
      </c>
      <c r="I515" s="3633">
        <v>5196</v>
      </c>
      <c r="J515" s="3631">
        <v>5893</v>
      </c>
    </row>
    <row r="516" spans="1:10" ht="13.5">
      <c r="A516" s="3632">
        <v>25550</v>
      </c>
      <c r="B516" s="3631">
        <v>25600</v>
      </c>
      <c r="C516" s="3491">
        <v>0</v>
      </c>
      <c r="D516" s="3632">
        <v>2193</v>
      </c>
      <c r="E516" s="3633">
        <v>4017</v>
      </c>
      <c r="F516" s="3631">
        <v>4713</v>
      </c>
      <c r="G516" s="3491">
        <v>0</v>
      </c>
      <c r="H516" s="3633">
        <v>3080</v>
      </c>
      <c r="I516" s="3633">
        <v>5186</v>
      </c>
      <c r="J516" s="3631">
        <v>5882</v>
      </c>
    </row>
    <row r="517" spans="1:10" ht="13.5">
      <c r="A517" s="3632">
        <v>25600</v>
      </c>
      <c r="B517" s="3631">
        <v>25650</v>
      </c>
      <c r="C517" s="3491">
        <v>0</v>
      </c>
      <c r="D517" s="3632">
        <v>2185</v>
      </c>
      <c r="E517" s="3633">
        <v>4006</v>
      </c>
      <c r="F517" s="3631">
        <v>4703</v>
      </c>
      <c r="G517" s="3491">
        <v>0</v>
      </c>
      <c r="H517" s="3633">
        <v>3072</v>
      </c>
      <c r="I517" s="3633">
        <v>5175</v>
      </c>
      <c r="J517" s="3631">
        <v>5872</v>
      </c>
    </row>
    <row r="518" spans="1:10" ht="13.5">
      <c r="A518" s="3632">
        <v>25650</v>
      </c>
      <c r="B518" s="3631">
        <v>25700</v>
      </c>
      <c r="C518" s="3491">
        <v>0</v>
      </c>
      <c r="D518" s="3632">
        <v>2177</v>
      </c>
      <c r="E518" s="3633">
        <v>3996</v>
      </c>
      <c r="F518" s="3631">
        <v>4692</v>
      </c>
      <c r="G518" s="3491">
        <v>0</v>
      </c>
      <c r="H518" s="3633">
        <v>3064</v>
      </c>
      <c r="I518" s="3633">
        <v>5164</v>
      </c>
      <c r="J518" s="3631">
        <v>5861</v>
      </c>
    </row>
    <row r="519" spans="1:10" ht="13.5">
      <c r="A519" s="3632">
        <v>25700</v>
      </c>
      <c r="B519" s="3631">
        <v>25750</v>
      </c>
      <c r="C519" s="3491">
        <v>0</v>
      </c>
      <c r="D519" s="3632">
        <v>2169</v>
      </c>
      <c r="E519" s="3633">
        <v>3985</v>
      </c>
      <c r="F519" s="3631">
        <v>4682</v>
      </c>
      <c r="G519" s="3491">
        <v>0</v>
      </c>
      <c r="H519" s="3633">
        <v>3056</v>
      </c>
      <c r="I519" s="3633">
        <v>5154</v>
      </c>
      <c r="J519" s="3631">
        <v>5850</v>
      </c>
    </row>
    <row r="520" spans="1:10" ht="13.5">
      <c r="A520" s="3632">
        <v>25750</v>
      </c>
      <c r="B520" s="3631">
        <v>25800</v>
      </c>
      <c r="C520" s="3491">
        <v>0</v>
      </c>
      <c r="D520" s="3632">
        <v>2161</v>
      </c>
      <c r="E520" s="3633">
        <v>3975</v>
      </c>
      <c r="F520" s="3631">
        <v>4671</v>
      </c>
      <c r="G520" s="3491">
        <v>0</v>
      </c>
      <c r="H520" s="3633">
        <v>3048</v>
      </c>
      <c r="I520" s="3633">
        <v>5143</v>
      </c>
      <c r="J520" s="3631">
        <v>5840</v>
      </c>
    </row>
    <row r="521" spans="1:10" ht="13.5">
      <c r="A521" s="3632">
        <v>25800</v>
      </c>
      <c r="B521" s="3631">
        <v>25850</v>
      </c>
      <c r="C521" s="3491">
        <v>0</v>
      </c>
      <c r="D521" s="3632">
        <v>2153</v>
      </c>
      <c r="E521" s="3633">
        <v>3964</v>
      </c>
      <c r="F521" s="3631">
        <v>4661</v>
      </c>
      <c r="G521" s="3491">
        <v>0</v>
      </c>
      <c r="H521" s="3633">
        <v>3040</v>
      </c>
      <c r="I521" s="3633">
        <v>5133</v>
      </c>
      <c r="J521" s="3631">
        <v>5829</v>
      </c>
    </row>
    <row r="522" spans="1:10" ht="13.5">
      <c r="A522" s="3632">
        <v>25850</v>
      </c>
      <c r="B522" s="3631">
        <v>25900</v>
      </c>
      <c r="C522" s="3491">
        <v>0</v>
      </c>
      <c r="D522" s="3632">
        <v>2145</v>
      </c>
      <c r="E522" s="3633">
        <v>3954</v>
      </c>
      <c r="F522" s="3631">
        <v>4650</v>
      </c>
      <c r="G522" s="3491">
        <v>0</v>
      </c>
      <c r="H522" s="3633">
        <v>3032</v>
      </c>
      <c r="I522" s="3633">
        <v>5122</v>
      </c>
      <c r="J522" s="3631">
        <v>5819</v>
      </c>
    </row>
    <row r="523" spans="1:10" ht="13.5">
      <c r="A523" s="3632">
        <v>25900</v>
      </c>
      <c r="B523" s="3631">
        <v>25950</v>
      </c>
      <c r="C523" s="3491">
        <v>0</v>
      </c>
      <c r="D523" s="3632">
        <v>2137</v>
      </c>
      <c r="E523" s="3633">
        <v>3943</v>
      </c>
      <c r="F523" s="3631">
        <v>4640</v>
      </c>
      <c r="G523" s="3491">
        <v>0</v>
      </c>
      <c r="H523" s="3633">
        <v>3024</v>
      </c>
      <c r="I523" s="3633">
        <v>5112</v>
      </c>
      <c r="J523" s="3631">
        <v>5808</v>
      </c>
    </row>
    <row r="524" spans="1:10" ht="13.5">
      <c r="A524" s="3632">
        <v>25950</v>
      </c>
      <c r="B524" s="3631">
        <v>26000</v>
      </c>
      <c r="C524" s="3491">
        <v>0</v>
      </c>
      <c r="D524" s="3632">
        <v>2129</v>
      </c>
      <c r="E524" s="3633">
        <v>3932</v>
      </c>
      <c r="F524" s="3631">
        <v>4629</v>
      </c>
      <c r="G524" s="3491">
        <v>0</v>
      </c>
      <c r="H524" s="3633">
        <v>3016</v>
      </c>
      <c r="I524" s="3633">
        <v>5101</v>
      </c>
      <c r="J524" s="3631">
        <v>5798</v>
      </c>
    </row>
    <row r="525" spans="1:10" ht="13.5">
      <c r="A525" s="3632">
        <v>26000</v>
      </c>
      <c r="B525" s="3631">
        <v>26050</v>
      </c>
      <c r="C525" s="3491">
        <v>0</v>
      </c>
      <c r="D525" s="3632">
        <v>2121</v>
      </c>
      <c r="E525" s="3633">
        <v>3922</v>
      </c>
      <c r="F525" s="3631">
        <v>4618</v>
      </c>
      <c r="G525" s="3491">
        <v>0</v>
      </c>
      <c r="H525" s="3633">
        <v>3008</v>
      </c>
      <c r="I525" s="3633">
        <v>5091</v>
      </c>
      <c r="J525" s="3631">
        <v>5787</v>
      </c>
    </row>
    <row r="526" spans="1:10" ht="13.5">
      <c r="A526" s="3632">
        <v>26050</v>
      </c>
      <c r="B526" s="3631">
        <v>26100</v>
      </c>
      <c r="C526" s="3491">
        <v>0</v>
      </c>
      <c r="D526" s="3632">
        <v>2113</v>
      </c>
      <c r="E526" s="3633">
        <v>3911</v>
      </c>
      <c r="F526" s="3631">
        <v>4608</v>
      </c>
      <c r="G526" s="3491">
        <v>0</v>
      </c>
      <c r="H526" s="3633">
        <v>3000</v>
      </c>
      <c r="I526" s="3633">
        <v>5080</v>
      </c>
      <c r="J526" s="3631">
        <v>5777</v>
      </c>
    </row>
    <row r="527" spans="1:10" ht="13.5">
      <c r="A527" s="3632">
        <v>26100</v>
      </c>
      <c r="B527" s="3631">
        <v>26150</v>
      </c>
      <c r="C527" s="3491">
        <v>0</v>
      </c>
      <c r="D527" s="3632">
        <v>2105</v>
      </c>
      <c r="E527" s="3633">
        <v>3901</v>
      </c>
      <c r="F527" s="3631">
        <v>4597</v>
      </c>
      <c r="G527" s="3491">
        <v>0</v>
      </c>
      <c r="H527" s="3633">
        <v>2992</v>
      </c>
      <c r="I527" s="3633">
        <v>5070</v>
      </c>
      <c r="J527" s="3631">
        <v>5766</v>
      </c>
    </row>
    <row r="528" spans="1:10" ht="13.5">
      <c r="A528" s="3632">
        <v>26150</v>
      </c>
      <c r="B528" s="3631">
        <v>26200</v>
      </c>
      <c r="C528" s="3491">
        <v>0</v>
      </c>
      <c r="D528" s="3632">
        <v>2097</v>
      </c>
      <c r="E528" s="3633">
        <v>3890</v>
      </c>
      <c r="F528" s="3631">
        <v>4587</v>
      </c>
      <c r="G528" s="3491">
        <v>0</v>
      </c>
      <c r="H528" s="3633">
        <v>2984</v>
      </c>
      <c r="I528" s="3633">
        <v>5059</v>
      </c>
      <c r="J528" s="3631">
        <v>5756</v>
      </c>
    </row>
    <row r="529" spans="1:10" ht="13.5">
      <c r="A529" s="3632">
        <v>26200</v>
      </c>
      <c r="B529" s="3631">
        <v>26250</v>
      </c>
      <c r="C529" s="3491">
        <v>0</v>
      </c>
      <c r="D529" s="3632">
        <v>2089</v>
      </c>
      <c r="E529" s="3633">
        <v>3880</v>
      </c>
      <c r="F529" s="3631">
        <v>4576</v>
      </c>
      <c r="G529" s="3491">
        <v>0</v>
      </c>
      <c r="H529" s="3633">
        <v>2976</v>
      </c>
      <c r="I529" s="3633">
        <v>5049</v>
      </c>
      <c r="J529" s="3631">
        <v>5745</v>
      </c>
    </row>
    <row r="530" spans="1:10" ht="13.5">
      <c r="A530" s="3632">
        <v>26250</v>
      </c>
      <c r="B530" s="3631">
        <v>26300</v>
      </c>
      <c r="C530" s="3491">
        <v>0</v>
      </c>
      <c r="D530" s="3632">
        <v>2081</v>
      </c>
      <c r="E530" s="3633">
        <v>3869</v>
      </c>
      <c r="F530" s="3631">
        <v>4566</v>
      </c>
      <c r="G530" s="3491">
        <v>0</v>
      </c>
      <c r="H530" s="3633">
        <v>2968</v>
      </c>
      <c r="I530" s="3633">
        <v>5038</v>
      </c>
      <c r="J530" s="3631">
        <v>5735</v>
      </c>
    </row>
    <row r="531" spans="1:10" ht="13.5">
      <c r="A531" s="3632">
        <v>26300</v>
      </c>
      <c r="B531" s="3631">
        <v>26350</v>
      </c>
      <c r="C531" s="3491">
        <v>0</v>
      </c>
      <c r="D531" s="3632">
        <v>2073</v>
      </c>
      <c r="E531" s="3633">
        <v>3859</v>
      </c>
      <c r="F531" s="3631">
        <v>4555</v>
      </c>
      <c r="G531" s="3491">
        <v>0</v>
      </c>
      <c r="H531" s="3633">
        <v>2960</v>
      </c>
      <c r="I531" s="3633">
        <v>5028</v>
      </c>
      <c r="J531" s="3631">
        <v>5724</v>
      </c>
    </row>
    <row r="532" spans="1:10" ht="13.5">
      <c r="A532" s="3632">
        <v>26350</v>
      </c>
      <c r="B532" s="3631">
        <v>26400</v>
      </c>
      <c r="C532" s="3491">
        <v>0</v>
      </c>
      <c r="D532" s="3632">
        <v>2065</v>
      </c>
      <c r="E532" s="3633">
        <v>3848</v>
      </c>
      <c r="F532" s="3631">
        <v>4545</v>
      </c>
      <c r="G532" s="3491">
        <v>0</v>
      </c>
      <c r="H532" s="3633">
        <v>2952</v>
      </c>
      <c r="I532" s="3633">
        <v>5017</v>
      </c>
      <c r="J532" s="3631">
        <v>5714</v>
      </c>
    </row>
    <row r="533" spans="1:10" ht="13.5">
      <c r="A533" s="3632">
        <v>26400</v>
      </c>
      <c r="B533" s="3631">
        <v>26450</v>
      </c>
      <c r="C533" s="3491">
        <v>0</v>
      </c>
      <c r="D533" s="3632">
        <v>2057</v>
      </c>
      <c r="E533" s="3633">
        <v>3838</v>
      </c>
      <c r="F533" s="3631">
        <v>4534</v>
      </c>
      <c r="G533" s="3491">
        <v>0</v>
      </c>
      <c r="H533" s="3633">
        <v>2944</v>
      </c>
      <c r="I533" s="3633">
        <v>5007</v>
      </c>
      <c r="J533" s="3631">
        <v>5703</v>
      </c>
    </row>
    <row r="534" spans="1:10" ht="13.5">
      <c r="A534" s="3632">
        <v>26450</v>
      </c>
      <c r="B534" s="3631">
        <v>26500</v>
      </c>
      <c r="C534" s="3491">
        <v>0</v>
      </c>
      <c r="D534" s="3632">
        <v>2049</v>
      </c>
      <c r="E534" s="3633">
        <v>3827</v>
      </c>
      <c r="F534" s="3631">
        <v>4524</v>
      </c>
      <c r="G534" s="3491">
        <v>0</v>
      </c>
      <c r="H534" s="3633">
        <v>2936</v>
      </c>
      <c r="I534" s="3633">
        <v>4996</v>
      </c>
      <c r="J534" s="3631">
        <v>5693</v>
      </c>
    </row>
    <row r="535" spans="1:10" ht="13.5">
      <c r="A535" s="3632">
        <v>26500</v>
      </c>
      <c r="B535" s="3631">
        <v>26550</v>
      </c>
      <c r="C535" s="3491">
        <v>0</v>
      </c>
      <c r="D535" s="3632">
        <v>2041</v>
      </c>
      <c r="E535" s="3633">
        <v>3817</v>
      </c>
      <c r="F535" s="3631">
        <v>4513</v>
      </c>
      <c r="G535" s="3491">
        <v>0</v>
      </c>
      <c r="H535" s="3633">
        <v>2928</v>
      </c>
      <c r="I535" s="3633">
        <v>4985</v>
      </c>
      <c r="J535" s="3631">
        <v>5682</v>
      </c>
    </row>
    <row r="536" spans="1:10" ht="13.5">
      <c r="A536" s="3632">
        <v>26550</v>
      </c>
      <c r="B536" s="3631">
        <v>26600</v>
      </c>
      <c r="C536" s="3491">
        <v>0</v>
      </c>
      <c r="D536" s="3632">
        <v>2033</v>
      </c>
      <c r="E536" s="3633">
        <v>3806</v>
      </c>
      <c r="F536" s="3631">
        <v>4503</v>
      </c>
      <c r="G536" s="3491">
        <v>0</v>
      </c>
      <c r="H536" s="3633">
        <v>2920</v>
      </c>
      <c r="I536" s="3633">
        <v>4975</v>
      </c>
      <c r="J536" s="3631">
        <v>5671</v>
      </c>
    </row>
    <row r="537" spans="1:10" ht="13.5">
      <c r="A537" s="3632">
        <v>26600</v>
      </c>
      <c r="B537" s="3631">
        <v>26650</v>
      </c>
      <c r="C537" s="3491">
        <v>0</v>
      </c>
      <c r="D537" s="3632">
        <v>2025</v>
      </c>
      <c r="E537" s="3633">
        <v>3796</v>
      </c>
      <c r="F537" s="3631">
        <v>4492</v>
      </c>
      <c r="G537" s="3491">
        <v>0</v>
      </c>
      <c r="H537" s="3633">
        <v>2912</v>
      </c>
      <c r="I537" s="3633">
        <v>4964</v>
      </c>
      <c r="J537" s="3631">
        <v>5661</v>
      </c>
    </row>
    <row r="538" spans="1:10" ht="13.5">
      <c r="A538" s="3632">
        <v>26650</v>
      </c>
      <c r="B538" s="3631">
        <v>26700</v>
      </c>
      <c r="C538" s="3491">
        <v>0</v>
      </c>
      <c r="D538" s="3632">
        <v>2017</v>
      </c>
      <c r="E538" s="3633">
        <v>3785</v>
      </c>
      <c r="F538" s="3631">
        <v>4482</v>
      </c>
      <c r="G538" s="3491">
        <v>0</v>
      </c>
      <c r="H538" s="3633">
        <v>2904</v>
      </c>
      <c r="I538" s="3633">
        <v>4954</v>
      </c>
      <c r="J538" s="3631">
        <v>5650</v>
      </c>
    </row>
    <row r="539" spans="1:10" ht="13.5">
      <c r="A539" s="3632">
        <v>26700</v>
      </c>
      <c r="B539" s="3631">
        <v>26750</v>
      </c>
      <c r="C539" s="3491">
        <v>0</v>
      </c>
      <c r="D539" s="3632">
        <v>2009</v>
      </c>
      <c r="E539" s="3633">
        <v>3775</v>
      </c>
      <c r="F539" s="3631">
        <v>4471</v>
      </c>
      <c r="G539" s="3491">
        <v>0</v>
      </c>
      <c r="H539" s="3633">
        <v>2896</v>
      </c>
      <c r="I539" s="3633">
        <v>4943</v>
      </c>
      <c r="J539" s="3631">
        <v>5640</v>
      </c>
    </row>
    <row r="540" spans="1:10" ht="13.5">
      <c r="A540" s="3632">
        <v>26750</v>
      </c>
      <c r="B540" s="3631">
        <v>26800</v>
      </c>
      <c r="C540" s="3491">
        <v>0</v>
      </c>
      <c r="D540" s="3632">
        <v>2001</v>
      </c>
      <c r="E540" s="3633">
        <v>3764</v>
      </c>
      <c r="F540" s="3631">
        <v>4460</v>
      </c>
      <c r="G540" s="3491">
        <v>0</v>
      </c>
      <c r="H540" s="3633">
        <v>2888</v>
      </c>
      <c r="I540" s="3633">
        <v>4933</v>
      </c>
      <c r="J540" s="3631">
        <v>5629</v>
      </c>
    </row>
    <row r="541" spans="1:10" ht="13.5">
      <c r="A541" s="3632">
        <v>26800</v>
      </c>
      <c r="B541" s="3631">
        <v>26850</v>
      </c>
      <c r="C541" s="3491">
        <v>0</v>
      </c>
      <c r="D541" s="3632">
        <v>1993</v>
      </c>
      <c r="E541" s="3633">
        <v>3753</v>
      </c>
      <c r="F541" s="3631">
        <v>4450</v>
      </c>
      <c r="G541" s="3491">
        <v>0</v>
      </c>
      <c r="H541" s="3633">
        <v>2880</v>
      </c>
      <c r="I541" s="3633">
        <v>4922</v>
      </c>
      <c r="J541" s="3631">
        <v>5619</v>
      </c>
    </row>
    <row r="542" spans="1:10" ht="13.5">
      <c r="A542" s="3632">
        <v>26850</v>
      </c>
      <c r="B542" s="3631">
        <v>26900</v>
      </c>
      <c r="C542" s="3491">
        <v>0</v>
      </c>
      <c r="D542" s="3632">
        <v>1985</v>
      </c>
      <c r="E542" s="3633">
        <v>3743</v>
      </c>
      <c r="F542" s="3631">
        <v>4439</v>
      </c>
      <c r="G542" s="3491">
        <v>0</v>
      </c>
      <c r="H542" s="3633">
        <v>2872</v>
      </c>
      <c r="I542" s="3633">
        <v>4912</v>
      </c>
      <c r="J542" s="3631">
        <v>5608</v>
      </c>
    </row>
    <row r="543" spans="1:10" ht="13.5">
      <c r="A543" s="3632">
        <v>26900</v>
      </c>
      <c r="B543" s="3631">
        <v>26950</v>
      </c>
      <c r="C543" s="3491">
        <v>0</v>
      </c>
      <c r="D543" s="3632">
        <v>1977</v>
      </c>
      <c r="E543" s="3633">
        <v>3732</v>
      </c>
      <c r="F543" s="3631">
        <v>4429</v>
      </c>
      <c r="G543" s="3491">
        <v>0</v>
      </c>
      <c r="H543" s="3633">
        <v>2864</v>
      </c>
      <c r="I543" s="3633">
        <v>4901</v>
      </c>
      <c r="J543" s="3631">
        <v>5598</v>
      </c>
    </row>
    <row r="544" spans="1:10" ht="13.5">
      <c r="A544" s="3632">
        <v>26950</v>
      </c>
      <c r="B544" s="3631">
        <v>27000</v>
      </c>
      <c r="C544" s="3491">
        <v>0</v>
      </c>
      <c r="D544" s="3632">
        <v>1969</v>
      </c>
      <c r="E544" s="3633">
        <v>3722</v>
      </c>
      <c r="F544" s="3631">
        <v>4418</v>
      </c>
      <c r="G544" s="3491">
        <v>0</v>
      </c>
      <c r="H544" s="3633">
        <v>2856</v>
      </c>
      <c r="I544" s="3633">
        <v>4891</v>
      </c>
      <c r="J544" s="3631">
        <v>5587</v>
      </c>
    </row>
    <row r="545" spans="1:10" ht="13.5">
      <c r="A545" s="3632">
        <v>27000</v>
      </c>
      <c r="B545" s="3631">
        <v>27050</v>
      </c>
      <c r="C545" s="3491">
        <v>0</v>
      </c>
      <c r="D545" s="3632">
        <v>1961</v>
      </c>
      <c r="E545" s="3633">
        <v>3711</v>
      </c>
      <c r="F545" s="3631">
        <v>4408</v>
      </c>
      <c r="G545" s="3491">
        <v>0</v>
      </c>
      <c r="H545" s="3633">
        <v>2848</v>
      </c>
      <c r="I545" s="3633">
        <v>4880</v>
      </c>
      <c r="J545" s="3631">
        <v>5577</v>
      </c>
    </row>
    <row r="546" spans="1:10" ht="13.5">
      <c r="A546" s="3632">
        <v>27050</v>
      </c>
      <c r="B546" s="3631">
        <v>27100</v>
      </c>
      <c r="C546" s="3491">
        <v>0</v>
      </c>
      <c r="D546" s="3632">
        <v>1953</v>
      </c>
      <c r="E546" s="3633">
        <v>3701</v>
      </c>
      <c r="F546" s="3631">
        <v>4397</v>
      </c>
      <c r="G546" s="3491">
        <v>0</v>
      </c>
      <c r="H546" s="3633">
        <v>2840</v>
      </c>
      <c r="I546" s="3633">
        <v>4870</v>
      </c>
      <c r="J546" s="3631">
        <v>5566</v>
      </c>
    </row>
    <row r="547" spans="1:10" ht="13.5">
      <c r="A547" s="3632">
        <v>27100</v>
      </c>
      <c r="B547" s="3631">
        <v>27150</v>
      </c>
      <c r="C547" s="3491">
        <v>0</v>
      </c>
      <c r="D547" s="3632">
        <v>1945</v>
      </c>
      <c r="E547" s="3633">
        <v>3690</v>
      </c>
      <c r="F547" s="3631">
        <v>4387</v>
      </c>
      <c r="G547" s="3491">
        <v>0</v>
      </c>
      <c r="H547" s="3633">
        <v>2832</v>
      </c>
      <c r="I547" s="3633">
        <v>4859</v>
      </c>
      <c r="J547" s="3631">
        <v>5556</v>
      </c>
    </row>
    <row r="548" spans="1:10" ht="13.5">
      <c r="A548" s="3632">
        <v>27150</v>
      </c>
      <c r="B548" s="3631">
        <v>27200</v>
      </c>
      <c r="C548" s="3491">
        <v>0</v>
      </c>
      <c r="D548" s="3632">
        <v>1937</v>
      </c>
      <c r="E548" s="3633">
        <v>3680</v>
      </c>
      <c r="F548" s="3631">
        <v>4376</v>
      </c>
      <c r="G548" s="3491">
        <v>0</v>
      </c>
      <c r="H548" s="3633">
        <v>2824</v>
      </c>
      <c r="I548" s="3633">
        <v>4849</v>
      </c>
      <c r="J548" s="3631">
        <v>5545</v>
      </c>
    </row>
    <row r="549" spans="1:10" ht="13.5">
      <c r="A549" s="3632">
        <v>27200</v>
      </c>
      <c r="B549" s="3631">
        <v>27250</v>
      </c>
      <c r="C549" s="3491">
        <v>0</v>
      </c>
      <c r="D549" s="3632">
        <v>1929</v>
      </c>
      <c r="E549" s="3633">
        <v>3669</v>
      </c>
      <c r="F549" s="3631">
        <v>4366</v>
      </c>
      <c r="G549" s="3491">
        <v>0</v>
      </c>
      <c r="H549" s="3633">
        <v>2816</v>
      </c>
      <c r="I549" s="3633">
        <v>4838</v>
      </c>
      <c r="J549" s="3631">
        <v>5535</v>
      </c>
    </row>
    <row r="550" spans="1:10" ht="13.5">
      <c r="A550" s="3632">
        <v>27250</v>
      </c>
      <c r="B550" s="3631">
        <v>27300</v>
      </c>
      <c r="C550" s="3491">
        <v>0</v>
      </c>
      <c r="D550" s="3632">
        <v>1921</v>
      </c>
      <c r="E550" s="3633">
        <v>3659</v>
      </c>
      <c r="F550" s="3631">
        <v>4355</v>
      </c>
      <c r="G550" s="3491">
        <v>0</v>
      </c>
      <c r="H550" s="3633">
        <v>2808</v>
      </c>
      <c r="I550" s="3633">
        <v>4828</v>
      </c>
      <c r="J550" s="3631">
        <v>5524</v>
      </c>
    </row>
    <row r="551" spans="1:10" ht="13.5">
      <c r="A551" s="3632">
        <v>27300</v>
      </c>
      <c r="B551" s="3631">
        <v>27350</v>
      </c>
      <c r="C551" s="3491">
        <v>0</v>
      </c>
      <c r="D551" s="3632">
        <v>1913</v>
      </c>
      <c r="E551" s="3633">
        <v>3648</v>
      </c>
      <c r="F551" s="3631">
        <v>4345</v>
      </c>
      <c r="G551" s="3491">
        <v>0</v>
      </c>
      <c r="H551" s="3633">
        <v>2800</v>
      </c>
      <c r="I551" s="3633">
        <v>4817</v>
      </c>
      <c r="J551" s="3631">
        <v>5513</v>
      </c>
    </row>
    <row r="552" spans="1:10" ht="13.5">
      <c r="A552" s="3632">
        <v>27350</v>
      </c>
      <c r="B552" s="3631">
        <v>27400</v>
      </c>
      <c r="C552" s="3491">
        <v>0</v>
      </c>
      <c r="D552" s="3632">
        <v>1905</v>
      </c>
      <c r="E552" s="3633">
        <v>3638</v>
      </c>
      <c r="F552" s="3631">
        <v>4334</v>
      </c>
      <c r="G552" s="3491">
        <v>0</v>
      </c>
      <c r="H552" s="3633">
        <v>2792</v>
      </c>
      <c r="I552" s="3633">
        <v>4806</v>
      </c>
      <c r="J552" s="3631">
        <v>5503</v>
      </c>
    </row>
    <row r="553" spans="1:10" ht="13.5">
      <c r="A553" s="3632">
        <v>27400</v>
      </c>
      <c r="B553" s="3631">
        <v>27450</v>
      </c>
      <c r="C553" s="3491">
        <v>0</v>
      </c>
      <c r="D553" s="3632">
        <v>1897</v>
      </c>
      <c r="E553" s="3633">
        <v>3627</v>
      </c>
      <c r="F553" s="3631">
        <v>4324</v>
      </c>
      <c r="G553" s="3491">
        <v>0</v>
      </c>
      <c r="H553" s="3633">
        <v>2784</v>
      </c>
      <c r="I553" s="3633">
        <v>4796</v>
      </c>
      <c r="J553" s="3631">
        <v>5492</v>
      </c>
    </row>
    <row r="554" spans="1:10" ht="13.5">
      <c r="A554" s="3632">
        <v>27450</v>
      </c>
      <c r="B554" s="3631">
        <v>27500</v>
      </c>
      <c r="C554" s="3491">
        <v>0</v>
      </c>
      <c r="D554" s="3632">
        <v>1889</v>
      </c>
      <c r="E554" s="3633">
        <v>3617</v>
      </c>
      <c r="F554" s="3631">
        <v>4313</v>
      </c>
      <c r="G554" s="3491">
        <v>0</v>
      </c>
      <c r="H554" s="3633">
        <v>2776</v>
      </c>
      <c r="I554" s="3633">
        <v>4785</v>
      </c>
      <c r="J554" s="3631">
        <v>5482</v>
      </c>
    </row>
    <row r="555" spans="1:10" ht="13.5">
      <c r="A555" s="3632">
        <v>27500</v>
      </c>
      <c r="B555" s="3631">
        <v>27550</v>
      </c>
      <c r="C555" s="3491">
        <v>0</v>
      </c>
      <c r="D555" s="3632">
        <v>1881</v>
      </c>
      <c r="E555" s="3633">
        <v>3606</v>
      </c>
      <c r="F555" s="3631">
        <v>4303</v>
      </c>
      <c r="G555" s="3491">
        <v>0</v>
      </c>
      <c r="H555" s="3633">
        <v>2768</v>
      </c>
      <c r="I555" s="3633">
        <v>4775</v>
      </c>
      <c r="J555" s="3631">
        <v>5471</v>
      </c>
    </row>
    <row r="556" spans="1:10" ht="13.5">
      <c r="A556" s="3632">
        <v>27550</v>
      </c>
      <c r="B556" s="3631">
        <v>27600</v>
      </c>
      <c r="C556" s="3491">
        <v>0</v>
      </c>
      <c r="D556" s="3632">
        <v>1873</v>
      </c>
      <c r="E556" s="3633">
        <v>3596</v>
      </c>
      <c r="F556" s="3631">
        <v>4292</v>
      </c>
      <c r="G556" s="3491">
        <v>0</v>
      </c>
      <c r="H556" s="3633">
        <v>2760</v>
      </c>
      <c r="I556" s="3633">
        <v>4764</v>
      </c>
      <c r="J556" s="3631">
        <v>5461</v>
      </c>
    </row>
    <row r="557" spans="1:10" ht="13.5">
      <c r="A557" s="3632">
        <v>27600</v>
      </c>
      <c r="B557" s="3631">
        <v>27650</v>
      </c>
      <c r="C557" s="3491">
        <v>0</v>
      </c>
      <c r="D557" s="3632">
        <v>1865</v>
      </c>
      <c r="E557" s="3633">
        <v>3585</v>
      </c>
      <c r="F557" s="3631">
        <v>4281</v>
      </c>
      <c r="G557" s="3491">
        <v>0</v>
      </c>
      <c r="H557" s="3633">
        <v>2752</v>
      </c>
      <c r="I557" s="3633">
        <v>4754</v>
      </c>
      <c r="J557" s="3631">
        <v>5450</v>
      </c>
    </row>
    <row r="558" spans="1:10" ht="13.5">
      <c r="A558" s="3632">
        <v>27650</v>
      </c>
      <c r="B558" s="3631">
        <v>27700</v>
      </c>
      <c r="C558" s="3491">
        <v>0</v>
      </c>
      <c r="D558" s="3632">
        <v>1857</v>
      </c>
      <c r="E558" s="3633">
        <v>3574</v>
      </c>
      <c r="F558" s="3631">
        <v>4271</v>
      </c>
      <c r="G558" s="3491">
        <v>0</v>
      </c>
      <c r="H558" s="3633">
        <v>2744</v>
      </c>
      <c r="I558" s="3633">
        <v>4743</v>
      </c>
      <c r="J558" s="3631">
        <v>5440</v>
      </c>
    </row>
    <row r="559" spans="1:10" ht="13.5">
      <c r="A559" s="3632">
        <v>27700</v>
      </c>
      <c r="B559" s="3631">
        <v>27750</v>
      </c>
      <c r="C559" s="3491">
        <v>0</v>
      </c>
      <c r="D559" s="3632">
        <v>1849</v>
      </c>
      <c r="E559" s="3633">
        <v>3564</v>
      </c>
      <c r="F559" s="3631">
        <v>4260</v>
      </c>
      <c r="G559" s="3491">
        <v>0</v>
      </c>
      <c r="H559" s="3633">
        <v>2736</v>
      </c>
      <c r="I559" s="3633">
        <v>4733</v>
      </c>
      <c r="J559" s="3631">
        <v>5429</v>
      </c>
    </row>
    <row r="560" spans="1:10" ht="13.5">
      <c r="A560" s="3632">
        <v>27750</v>
      </c>
      <c r="B560" s="3631">
        <v>27800</v>
      </c>
      <c r="C560" s="3491">
        <v>0</v>
      </c>
      <c r="D560" s="3632">
        <v>1841</v>
      </c>
      <c r="E560" s="3633">
        <v>3553</v>
      </c>
      <c r="F560" s="3631">
        <v>4250</v>
      </c>
      <c r="G560" s="3491">
        <v>0</v>
      </c>
      <c r="H560" s="3633">
        <v>2728</v>
      </c>
      <c r="I560" s="3633">
        <v>4722</v>
      </c>
      <c r="J560" s="3631">
        <v>5419</v>
      </c>
    </row>
    <row r="561" spans="1:10" ht="13.5">
      <c r="A561" s="3632">
        <v>27800</v>
      </c>
      <c r="B561" s="3631">
        <v>27850</v>
      </c>
      <c r="C561" s="3491">
        <v>0</v>
      </c>
      <c r="D561" s="3632">
        <v>1833</v>
      </c>
      <c r="E561" s="3633">
        <v>3543</v>
      </c>
      <c r="F561" s="3631">
        <v>4239</v>
      </c>
      <c r="G561" s="3491">
        <v>0</v>
      </c>
      <c r="H561" s="3633">
        <v>2720</v>
      </c>
      <c r="I561" s="3633">
        <v>4712</v>
      </c>
      <c r="J561" s="3631">
        <v>5408</v>
      </c>
    </row>
    <row r="562" spans="1:10" ht="13.5">
      <c r="A562" s="3632">
        <v>27850</v>
      </c>
      <c r="B562" s="3631">
        <v>27900</v>
      </c>
      <c r="C562" s="3491">
        <v>0</v>
      </c>
      <c r="D562" s="3632">
        <v>1825</v>
      </c>
      <c r="E562" s="3633">
        <v>3532</v>
      </c>
      <c r="F562" s="3631">
        <v>4229</v>
      </c>
      <c r="G562" s="3491">
        <v>0</v>
      </c>
      <c r="H562" s="3633">
        <v>2712</v>
      </c>
      <c r="I562" s="3633">
        <v>4701</v>
      </c>
      <c r="J562" s="3631">
        <v>5398</v>
      </c>
    </row>
    <row r="563" spans="1:10" ht="13.5">
      <c r="A563" s="3632">
        <v>27900</v>
      </c>
      <c r="B563" s="3631">
        <v>27950</v>
      </c>
      <c r="C563" s="3491">
        <v>0</v>
      </c>
      <c r="D563" s="3632">
        <v>1817</v>
      </c>
      <c r="E563" s="3633">
        <v>3522</v>
      </c>
      <c r="F563" s="3631">
        <v>4218</v>
      </c>
      <c r="G563" s="3491">
        <v>0</v>
      </c>
      <c r="H563" s="3633">
        <v>2704</v>
      </c>
      <c r="I563" s="3633">
        <v>4691</v>
      </c>
      <c r="J563" s="3631">
        <v>5387</v>
      </c>
    </row>
    <row r="564" spans="1:10" ht="13.5">
      <c r="A564" s="3632">
        <v>27950</v>
      </c>
      <c r="B564" s="3631">
        <v>28000</v>
      </c>
      <c r="C564" s="3491">
        <v>0</v>
      </c>
      <c r="D564" s="3632">
        <v>1809</v>
      </c>
      <c r="E564" s="3633">
        <v>3511</v>
      </c>
      <c r="F564" s="3631">
        <v>4208</v>
      </c>
      <c r="G564" s="3491">
        <v>0</v>
      </c>
      <c r="H564" s="3633">
        <v>2696</v>
      </c>
      <c r="I564" s="3633">
        <v>4680</v>
      </c>
      <c r="J564" s="3631">
        <v>5377</v>
      </c>
    </row>
    <row r="565" spans="1:10" ht="13.5">
      <c r="A565" s="3632">
        <v>28000</v>
      </c>
      <c r="B565" s="3631">
        <v>28050</v>
      </c>
      <c r="C565" s="3491">
        <v>0</v>
      </c>
      <c r="D565" s="3632">
        <v>1801</v>
      </c>
      <c r="E565" s="3633">
        <v>3501</v>
      </c>
      <c r="F565" s="3631">
        <v>4197</v>
      </c>
      <c r="G565" s="3491">
        <v>0</v>
      </c>
      <c r="H565" s="3633">
        <v>2688</v>
      </c>
      <c r="I565" s="3633">
        <v>4670</v>
      </c>
      <c r="J565" s="3631">
        <v>5366</v>
      </c>
    </row>
    <row r="566" spans="1:10" ht="13.5">
      <c r="A566" s="3632">
        <v>28050</v>
      </c>
      <c r="B566" s="3631">
        <v>28100</v>
      </c>
      <c r="C566" s="3491">
        <v>0</v>
      </c>
      <c r="D566" s="3632">
        <v>1793</v>
      </c>
      <c r="E566" s="3633">
        <v>3490</v>
      </c>
      <c r="F566" s="3631">
        <v>4187</v>
      </c>
      <c r="G566" s="3491">
        <v>0</v>
      </c>
      <c r="H566" s="3633">
        <v>2680</v>
      </c>
      <c r="I566" s="3633">
        <v>4659</v>
      </c>
      <c r="J566" s="3631">
        <v>5356</v>
      </c>
    </row>
    <row r="567" spans="1:10" ht="13.5">
      <c r="A567" s="3632">
        <v>28100</v>
      </c>
      <c r="B567" s="3631">
        <v>28150</v>
      </c>
      <c r="C567" s="3491">
        <v>0</v>
      </c>
      <c r="D567" s="3632">
        <v>1785</v>
      </c>
      <c r="E567" s="3633">
        <v>3480</v>
      </c>
      <c r="F567" s="3631">
        <v>4176</v>
      </c>
      <c r="G567" s="3491">
        <v>0</v>
      </c>
      <c r="H567" s="3633">
        <v>2672</v>
      </c>
      <c r="I567" s="3633">
        <v>4649</v>
      </c>
      <c r="J567" s="3631">
        <v>5345</v>
      </c>
    </row>
    <row r="568" spans="1:10" ht="13.5">
      <c r="A568" s="3632">
        <v>28150</v>
      </c>
      <c r="B568" s="3631">
        <v>28200</v>
      </c>
      <c r="C568" s="3491">
        <v>0</v>
      </c>
      <c r="D568" s="3632">
        <v>1777</v>
      </c>
      <c r="E568" s="3633">
        <v>3469</v>
      </c>
      <c r="F568" s="3631">
        <v>4166</v>
      </c>
      <c r="G568" s="3491">
        <v>0</v>
      </c>
      <c r="H568" s="3633">
        <v>2664</v>
      </c>
      <c r="I568" s="3633">
        <v>4638</v>
      </c>
      <c r="J568" s="3631">
        <v>5334</v>
      </c>
    </row>
    <row r="569" spans="1:10" ht="13.5">
      <c r="A569" s="3632">
        <v>28200</v>
      </c>
      <c r="B569" s="3631">
        <v>28250</v>
      </c>
      <c r="C569" s="3491">
        <v>0</v>
      </c>
      <c r="D569" s="3632">
        <v>1769</v>
      </c>
      <c r="E569" s="3633">
        <v>3459</v>
      </c>
      <c r="F569" s="3631">
        <v>4155</v>
      </c>
      <c r="G569" s="3491">
        <v>0</v>
      </c>
      <c r="H569" s="3633">
        <v>2656</v>
      </c>
      <c r="I569" s="3633">
        <v>4627</v>
      </c>
      <c r="J569" s="3631">
        <v>5324</v>
      </c>
    </row>
    <row r="570" spans="1:10" ht="13.5">
      <c r="A570" s="3632">
        <v>28250</v>
      </c>
      <c r="B570" s="3631">
        <v>28300</v>
      </c>
      <c r="C570" s="3491">
        <v>0</v>
      </c>
      <c r="D570" s="3632">
        <v>1761</v>
      </c>
      <c r="E570" s="3633">
        <v>3448</v>
      </c>
      <c r="F570" s="3631">
        <v>4145</v>
      </c>
      <c r="G570" s="3491">
        <v>0</v>
      </c>
      <c r="H570" s="3633">
        <v>2648</v>
      </c>
      <c r="I570" s="3633">
        <v>4617</v>
      </c>
      <c r="J570" s="3631">
        <v>5313</v>
      </c>
    </row>
    <row r="571" spans="1:10" ht="13.5">
      <c r="A571" s="3632">
        <v>28300</v>
      </c>
      <c r="B571" s="3631">
        <v>28350</v>
      </c>
      <c r="C571" s="3491">
        <v>0</v>
      </c>
      <c r="D571" s="3632">
        <v>1753</v>
      </c>
      <c r="E571" s="3633">
        <v>3438</v>
      </c>
      <c r="F571" s="3631">
        <v>4134</v>
      </c>
      <c r="G571" s="3491">
        <v>0</v>
      </c>
      <c r="H571" s="3633">
        <v>2640</v>
      </c>
      <c r="I571" s="3633">
        <v>4606</v>
      </c>
      <c r="J571" s="3631">
        <v>5303</v>
      </c>
    </row>
    <row r="572" spans="1:10" ht="13.5">
      <c r="A572" s="3632">
        <v>28350</v>
      </c>
      <c r="B572" s="3631">
        <v>28400</v>
      </c>
      <c r="C572" s="3491">
        <v>0</v>
      </c>
      <c r="D572" s="3632">
        <v>1745</v>
      </c>
      <c r="E572" s="3633">
        <v>3427</v>
      </c>
      <c r="F572" s="3631">
        <v>4124</v>
      </c>
      <c r="G572" s="3491">
        <v>0</v>
      </c>
      <c r="H572" s="3633">
        <v>2632</v>
      </c>
      <c r="I572" s="3633">
        <v>4596</v>
      </c>
      <c r="J572" s="3631">
        <v>5292</v>
      </c>
    </row>
    <row r="573" spans="1:10" ht="13.5">
      <c r="A573" s="3632">
        <v>28400</v>
      </c>
      <c r="B573" s="3631">
        <v>28450</v>
      </c>
      <c r="C573" s="3491">
        <v>0</v>
      </c>
      <c r="D573" s="3632">
        <v>1737</v>
      </c>
      <c r="E573" s="3633">
        <v>3417</v>
      </c>
      <c r="F573" s="3631">
        <v>4113</v>
      </c>
      <c r="G573" s="3491">
        <v>0</v>
      </c>
      <c r="H573" s="3633">
        <v>2624</v>
      </c>
      <c r="I573" s="3633">
        <v>4585</v>
      </c>
      <c r="J573" s="3631">
        <v>5282</v>
      </c>
    </row>
    <row r="574" spans="1:10" ht="13.5">
      <c r="A574" s="3632">
        <v>28450</v>
      </c>
      <c r="B574" s="3631">
        <v>28500</v>
      </c>
      <c r="C574" s="3491">
        <v>0</v>
      </c>
      <c r="D574" s="3632">
        <v>1729</v>
      </c>
      <c r="E574" s="3633">
        <v>3406</v>
      </c>
      <c r="F574" s="3631">
        <v>4102</v>
      </c>
      <c r="G574" s="3491">
        <v>0</v>
      </c>
      <c r="H574" s="3633">
        <v>2616</v>
      </c>
      <c r="I574" s="3633">
        <v>4575</v>
      </c>
      <c r="J574" s="3631">
        <v>5271</v>
      </c>
    </row>
    <row r="575" spans="1:10" ht="13.5">
      <c r="A575" s="3632">
        <v>28500</v>
      </c>
      <c r="B575" s="3631">
        <v>28550</v>
      </c>
      <c r="C575" s="3491">
        <v>0</v>
      </c>
      <c r="D575" s="3632">
        <v>1721</v>
      </c>
      <c r="E575" s="3633">
        <v>3395</v>
      </c>
      <c r="F575" s="3631">
        <v>4092</v>
      </c>
      <c r="G575" s="3491">
        <v>0</v>
      </c>
      <c r="H575" s="3633">
        <v>2608</v>
      </c>
      <c r="I575" s="3633">
        <v>4564</v>
      </c>
      <c r="J575" s="3631">
        <v>5261</v>
      </c>
    </row>
    <row r="576" spans="1:10" ht="13.5">
      <c r="A576" s="3632">
        <v>28550</v>
      </c>
      <c r="B576" s="3631">
        <v>28600</v>
      </c>
      <c r="C576" s="3491">
        <v>0</v>
      </c>
      <c r="D576" s="3632">
        <v>1713</v>
      </c>
      <c r="E576" s="3633">
        <v>3385</v>
      </c>
      <c r="F576" s="3631">
        <v>4081</v>
      </c>
      <c r="G576" s="3491">
        <v>0</v>
      </c>
      <c r="H576" s="3633">
        <v>2600</v>
      </c>
      <c r="I576" s="3633">
        <v>4554</v>
      </c>
      <c r="J576" s="3631">
        <v>5250</v>
      </c>
    </row>
    <row r="577" spans="1:10" ht="13.5">
      <c r="A577" s="3632">
        <v>28600</v>
      </c>
      <c r="B577" s="3631">
        <v>28650</v>
      </c>
      <c r="C577" s="3491">
        <v>0</v>
      </c>
      <c r="D577" s="3632">
        <v>1705</v>
      </c>
      <c r="E577" s="3633">
        <v>3374</v>
      </c>
      <c r="F577" s="3631">
        <v>4071</v>
      </c>
      <c r="G577" s="3491">
        <v>0</v>
      </c>
      <c r="H577" s="3633">
        <v>2592</v>
      </c>
      <c r="I577" s="3633">
        <v>4543</v>
      </c>
      <c r="J577" s="3631">
        <v>5240</v>
      </c>
    </row>
    <row r="578" spans="1:10" ht="13.5">
      <c r="A578" s="3632">
        <v>28650</v>
      </c>
      <c r="B578" s="3631">
        <v>28700</v>
      </c>
      <c r="C578" s="3491">
        <v>0</v>
      </c>
      <c r="D578" s="3632">
        <v>1697</v>
      </c>
      <c r="E578" s="3633">
        <v>3364</v>
      </c>
      <c r="F578" s="3631">
        <v>4060</v>
      </c>
      <c r="G578" s="3491">
        <v>0</v>
      </c>
      <c r="H578" s="3633">
        <v>2584</v>
      </c>
      <c r="I578" s="3633">
        <v>4533</v>
      </c>
      <c r="J578" s="3631">
        <v>5229</v>
      </c>
    </row>
    <row r="579" spans="1:10" ht="13.5">
      <c r="A579" s="3632">
        <v>28700</v>
      </c>
      <c r="B579" s="3631">
        <v>28750</v>
      </c>
      <c r="C579" s="3491">
        <v>0</v>
      </c>
      <c r="D579" s="3632">
        <v>1689</v>
      </c>
      <c r="E579" s="3633">
        <v>3353</v>
      </c>
      <c r="F579" s="3631">
        <v>4050</v>
      </c>
      <c r="G579" s="3491">
        <v>0</v>
      </c>
      <c r="H579" s="3633">
        <v>2576</v>
      </c>
      <c r="I579" s="3633">
        <v>4522</v>
      </c>
      <c r="J579" s="3631">
        <v>5219</v>
      </c>
    </row>
    <row r="580" spans="1:10" ht="13.5">
      <c r="A580" s="3632">
        <v>28750</v>
      </c>
      <c r="B580" s="3631">
        <v>28800</v>
      </c>
      <c r="C580" s="3491">
        <v>0</v>
      </c>
      <c r="D580" s="3632">
        <v>1681</v>
      </c>
      <c r="E580" s="3633">
        <v>3343</v>
      </c>
      <c r="F580" s="3631">
        <v>4039</v>
      </c>
      <c r="G580" s="3491">
        <v>0</v>
      </c>
      <c r="H580" s="3633">
        <v>2568</v>
      </c>
      <c r="I580" s="3633">
        <v>4512</v>
      </c>
      <c r="J580" s="3631">
        <v>5208</v>
      </c>
    </row>
    <row r="581" spans="1:10" ht="13.5">
      <c r="A581" s="3632">
        <v>28800</v>
      </c>
      <c r="B581" s="3631">
        <v>28850</v>
      </c>
      <c r="C581" s="3491">
        <v>0</v>
      </c>
      <c r="D581" s="3632">
        <v>1673</v>
      </c>
      <c r="E581" s="3633">
        <v>3332</v>
      </c>
      <c r="F581" s="3631">
        <v>4029</v>
      </c>
      <c r="G581" s="3491">
        <v>0</v>
      </c>
      <c r="H581" s="3633">
        <v>2560</v>
      </c>
      <c r="I581" s="3633">
        <v>4501</v>
      </c>
      <c r="J581" s="3631">
        <v>5198</v>
      </c>
    </row>
    <row r="582" spans="1:10" ht="13.5">
      <c r="A582" s="3632">
        <v>28850</v>
      </c>
      <c r="B582" s="3631">
        <v>28900</v>
      </c>
      <c r="C582" s="3491">
        <v>0</v>
      </c>
      <c r="D582" s="3632">
        <v>1665</v>
      </c>
      <c r="E582" s="3633">
        <v>3322</v>
      </c>
      <c r="F582" s="3631">
        <v>4018</v>
      </c>
      <c r="G582" s="3491">
        <v>0</v>
      </c>
      <c r="H582" s="3633">
        <v>2552</v>
      </c>
      <c r="I582" s="3633">
        <v>4491</v>
      </c>
      <c r="J582" s="3631">
        <v>5187</v>
      </c>
    </row>
    <row r="583" spans="1:10" ht="13.5">
      <c r="A583" s="3632">
        <v>28900</v>
      </c>
      <c r="B583" s="3631">
        <v>28950</v>
      </c>
      <c r="C583" s="3491">
        <v>0</v>
      </c>
      <c r="D583" s="3632">
        <v>1657</v>
      </c>
      <c r="E583" s="3633">
        <v>3311</v>
      </c>
      <c r="F583" s="3631">
        <v>4008</v>
      </c>
      <c r="G583" s="3491">
        <v>0</v>
      </c>
      <c r="H583" s="3633">
        <v>2544</v>
      </c>
      <c r="I583" s="3633">
        <v>4480</v>
      </c>
      <c r="J583" s="3631">
        <v>5177</v>
      </c>
    </row>
    <row r="584" spans="1:10" ht="13.5">
      <c r="A584" s="3632">
        <v>28950</v>
      </c>
      <c r="B584" s="3631">
        <v>29000</v>
      </c>
      <c r="C584" s="3491">
        <v>0</v>
      </c>
      <c r="D584" s="3632">
        <v>1649</v>
      </c>
      <c r="E584" s="3633">
        <v>3301</v>
      </c>
      <c r="F584" s="3631">
        <v>3997</v>
      </c>
      <c r="G584" s="3491">
        <v>0</v>
      </c>
      <c r="H584" s="3633">
        <v>2536</v>
      </c>
      <c r="I584" s="3633">
        <v>4470</v>
      </c>
      <c r="J584" s="3631">
        <v>5166</v>
      </c>
    </row>
    <row r="585" spans="1:10" ht="13.5">
      <c r="A585" s="3632">
        <v>29000</v>
      </c>
      <c r="B585" s="3631">
        <v>29050</v>
      </c>
      <c r="C585" s="3491">
        <v>0</v>
      </c>
      <c r="D585" s="3632">
        <v>1641</v>
      </c>
      <c r="E585" s="3633">
        <v>3290</v>
      </c>
      <c r="F585" s="3631">
        <v>3987</v>
      </c>
      <c r="G585" s="3491">
        <v>0</v>
      </c>
      <c r="H585" s="3633">
        <v>2528</v>
      </c>
      <c r="I585" s="3633">
        <v>4459</v>
      </c>
      <c r="J585" s="3631">
        <v>5155</v>
      </c>
    </row>
    <row r="586" spans="1:10" ht="13.5">
      <c r="A586" s="3632">
        <v>29050</v>
      </c>
      <c r="B586" s="3631">
        <v>29100</v>
      </c>
      <c r="C586" s="3491">
        <v>0</v>
      </c>
      <c r="D586" s="3632">
        <v>1633</v>
      </c>
      <c r="E586" s="3633">
        <v>3280</v>
      </c>
      <c r="F586" s="3631">
        <v>3976</v>
      </c>
      <c r="G586" s="3491">
        <v>0</v>
      </c>
      <c r="H586" s="3633">
        <v>2520</v>
      </c>
      <c r="I586" s="3633">
        <v>4448</v>
      </c>
      <c r="J586" s="3631">
        <v>5145</v>
      </c>
    </row>
    <row r="587" spans="1:10" ht="13.5">
      <c r="A587" s="3632">
        <v>29100</v>
      </c>
      <c r="B587" s="3631">
        <v>29150</v>
      </c>
      <c r="C587" s="3491">
        <v>0</v>
      </c>
      <c r="D587" s="3632">
        <v>1625</v>
      </c>
      <c r="E587" s="3633">
        <v>3269</v>
      </c>
      <c r="F587" s="3631">
        <v>3966</v>
      </c>
      <c r="G587" s="3491">
        <v>0</v>
      </c>
      <c r="H587" s="3633">
        <v>2512</v>
      </c>
      <c r="I587" s="3633">
        <v>4438</v>
      </c>
      <c r="J587" s="3631">
        <v>5134</v>
      </c>
    </row>
    <row r="588" spans="1:10" ht="13.5">
      <c r="A588" s="3632">
        <v>29150</v>
      </c>
      <c r="B588" s="3631">
        <v>29200</v>
      </c>
      <c r="C588" s="3491">
        <v>0</v>
      </c>
      <c r="D588" s="3632">
        <v>1617</v>
      </c>
      <c r="E588" s="3633">
        <v>3259</v>
      </c>
      <c r="F588" s="3631">
        <v>3955</v>
      </c>
      <c r="G588" s="3491">
        <v>0</v>
      </c>
      <c r="H588" s="3633">
        <v>2504</v>
      </c>
      <c r="I588" s="3633">
        <v>4427</v>
      </c>
      <c r="J588" s="3631">
        <v>5124</v>
      </c>
    </row>
    <row r="589" spans="1:10" ht="13.5">
      <c r="A589" s="3632">
        <v>29200</v>
      </c>
      <c r="B589" s="3631">
        <v>29250</v>
      </c>
      <c r="C589" s="3491">
        <v>0</v>
      </c>
      <c r="D589" s="3632">
        <v>1609</v>
      </c>
      <c r="E589" s="3633">
        <v>3248</v>
      </c>
      <c r="F589" s="3631">
        <v>3945</v>
      </c>
      <c r="G589" s="3491">
        <v>0</v>
      </c>
      <c r="H589" s="3633">
        <v>2496</v>
      </c>
      <c r="I589" s="3633">
        <v>4417</v>
      </c>
      <c r="J589" s="3631">
        <v>5113</v>
      </c>
    </row>
    <row r="590" spans="1:10" ht="13.5">
      <c r="A590" s="3632">
        <v>29250</v>
      </c>
      <c r="B590" s="3631">
        <v>29300</v>
      </c>
      <c r="C590" s="3491">
        <v>0</v>
      </c>
      <c r="D590" s="3632">
        <v>1601</v>
      </c>
      <c r="E590" s="3633">
        <v>3237</v>
      </c>
      <c r="F590" s="3631">
        <v>3934</v>
      </c>
      <c r="G590" s="3491">
        <v>0</v>
      </c>
      <c r="H590" s="3633">
        <v>2488</v>
      </c>
      <c r="I590" s="3633">
        <v>4406</v>
      </c>
      <c r="J590" s="3631">
        <v>5103</v>
      </c>
    </row>
    <row r="591" spans="1:10" ht="13.5">
      <c r="A591" s="3632">
        <v>29300</v>
      </c>
      <c r="B591" s="3631">
        <v>29350</v>
      </c>
      <c r="C591" s="3491">
        <v>0</v>
      </c>
      <c r="D591" s="3632">
        <v>1593</v>
      </c>
      <c r="E591" s="3633">
        <v>3227</v>
      </c>
      <c r="F591" s="3631">
        <v>3923</v>
      </c>
      <c r="G591" s="3491">
        <v>0</v>
      </c>
      <c r="H591" s="3633">
        <v>2480</v>
      </c>
      <c r="I591" s="3633">
        <v>4396</v>
      </c>
      <c r="J591" s="3631">
        <v>5092</v>
      </c>
    </row>
    <row r="592" spans="1:10" ht="13.5">
      <c r="A592" s="3632">
        <v>29350</v>
      </c>
      <c r="B592" s="3631">
        <v>29400</v>
      </c>
      <c r="C592" s="3491">
        <v>0</v>
      </c>
      <c r="D592" s="3632">
        <v>1585</v>
      </c>
      <c r="E592" s="3633">
        <v>3216</v>
      </c>
      <c r="F592" s="3631">
        <v>3913</v>
      </c>
      <c r="G592" s="3491">
        <v>0</v>
      </c>
      <c r="H592" s="3633">
        <v>2472</v>
      </c>
      <c r="I592" s="3633">
        <v>4385</v>
      </c>
      <c r="J592" s="3631">
        <v>5082</v>
      </c>
    </row>
    <row r="593" spans="1:10" ht="13.5">
      <c r="A593" s="3632">
        <v>29400</v>
      </c>
      <c r="B593" s="3631">
        <v>29450</v>
      </c>
      <c r="C593" s="3491">
        <v>0</v>
      </c>
      <c r="D593" s="3632">
        <v>1577</v>
      </c>
      <c r="E593" s="3633">
        <v>3206</v>
      </c>
      <c r="F593" s="3631">
        <v>3902</v>
      </c>
      <c r="G593" s="3491">
        <v>0</v>
      </c>
      <c r="H593" s="3633">
        <v>2464</v>
      </c>
      <c r="I593" s="3633">
        <v>4375</v>
      </c>
      <c r="J593" s="3631">
        <v>5071</v>
      </c>
    </row>
    <row r="594" spans="1:10" ht="13.5">
      <c r="A594" s="3632">
        <v>29450</v>
      </c>
      <c r="B594" s="3631">
        <v>29500</v>
      </c>
      <c r="C594" s="3491">
        <v>0</v>
      </c>
      <c r="D594" s="3632">
        <v>1569</v>
      </c>
      <c r="E594" s="3633">
        <v>3195</v>
      </c>
      <c r="F594" s="3631">
        <v>3892</v>
      </c>
      <c r="G594" s="3491">
        <v>0</v>
      </c>
      <c r="H594" s="3633">
        <v>2456</v>
      </c>
      <c r="I594" s="3633">
        <v>4364</v>
      </c>
      <c r="J594" s="3631">
        <v>5061</v>
      </c>
    </row>
    <row r="595" spans="1:10" ht="13.5">
      <c r="A595" s="3632">
        <v>29500</v>
      </c>
      <c r="B595" s="3631">
        <v>29550</v>
      </c>
      <c r="C595" s="3491">
        <v>0</v>
      </c>
      <c r="D595" s="3632">
        <v>1561</v>
      </c>
      <c r="E595" s="3633">
        <v>3185</v>
      </c>
      <c r="F595" s="3631">
        <v>3881</v>
      </c>
      <c r="G595" s="3491">
        <v>0</v>
      </c>
      <c r="H595" s="3633">
        <v>2448</v>
      </c>
      <c r="I595" s="3633">
        <v>4354</v>
      </c>
      <c r="J595" s="3631">
        <v>5050</v>
      </c>
    </row>
    <row r="596" spans="1:10" ht="13.5">
      <c r="A596" s="3632">
        <v>29550</v>
      </c>
      <c r="B596" s="3631">
        <v>29600</v>
      </c>
      <c r="C596" s="3491">
        <v>0</v>
      </c>
      <c r="D596" s="3632">
        <v>1553</v>
      </c>
      <c r="E596" s="3633">
        <v>3174</v>
      </c>
      <c r="F596" s="3631">
        <v>3871</v>
      </c>
      <c r="G596" s="3491">
        <v>0</v>
      </c>
      <c r="H596" s="3633">
        <v>2440</v>
      </c>
      <c r="I596" s="3633">
        <v>4343</v>
      </c>
      <c r="J596" s="3631">
        <v>5040</v>
      </c>
    </row>
    <row r="597" spans="1:10" ht="13.5">
      <c r="A597" s="3632">
        <v>29600</v>
      </c>
      <c r="B597" s="3631">
        <v>29650</v>
      </c>
      <c r="C597" s="3491">
        <v>0</v>
      </c>
      <c r="D597" s="3632">
        <v>1545</v>
      </c>
      <c r="E597" s="3633">
        <v>3164</v>
      </c>
      <c r="F597" s="3631">
        <v>3860</v>
      </c>
      <c r="G597" s="3491">
        <v>0</v>
      </c>
      <c r="H597" s="3633">
        <v>2432</v>
      </c>
      <c r="I597" s="3633">
        <v>4333</v>
      </c>
      <c r="J597" s="3631">
        <v>5029</v>
      </c>
    </row>
    <row r="598" spans="1:10" ht="13.5">
      <c r="A598" s="3632">
        <v>29650</v>
      </c>
      <c r="B598" s="3631">
        <v>29700</v>
      </c>
      <c r="C598" s="3491">
        <v>0</v>
      </c>
      <c r="D598" s="3632">
        <v>1537</v>
      </c>
      <c r="E598" s="3633">
        <v>3153</v>
      </c>
      <c r="F598" s="3631">
        <v>3850</v>
      </c>
      <c r="G598" s="3491">
        <v>0</v>
      </c>
      <c r="H598" s="3633">
        <v>2424</v>
      </c>
      <c r="I598" s="3633">
        <v>4322</v>
      </c>
      <c r="J598" s="3631">
        <v>5019</v>
      </c>
    </row>
    <row r="599" spans="1:10" ht="13.5">
      <c r="A599" s="3632">
        <v>29700</v>
      </c>
      <c r="B599" s="3631">
        <v>29750</v>
      </c>
      <c r="C599" s="3491">
        <v>0</v>
      </c>
      <c r="D599" s="3632">
        <v>1530</v>
      </c>
      <c r="E599" s="3633">
        <v>3143</v>
      </c>
      <c r="F599" s="3631">
        <v>3839</v>
      </c>
      <c r="G599" s="3491">
        <v>0</v>
      </c>
      <c r="H599" s="3633">
        <v>2416</v>
      </c>
      <c r="I599" s="3633">
        <v>4312</v>
      </c>
      <c r="J599" s="3631">
        <v>5008</v>
      </c>
    </row>
    <row r="600" spans="1:10" ht="13.5">
      <c r="A600" s="3632">
        <v>29750</v>
      </c>
      <c r="B600" s="3631">
        <v>29800</v>
      </c>
      <c r="C600" s="3491">
        <v>0</v>
      </c>
      <c r="D600" s="3632">
        <v>1522</v>
      </c>
      <c r="E600" s="3633">
        <v>3132</v>
      </c>
      <c r="F600" s="3631">
        <v>3829</v>
      </c>
      <c r="G600" s="3491">
        <v>0</v>
      </c>
      <c r="H600" s="3633">
        <v>2408</v>
      </c>
      <c r="I600" s="3633">
        <v>4301</v>
      </c>
      <c r="J600" s="3631">
        <v>4998</v>
      </c>
    </row>
    <row r="601" spans="1:10" ht="13.5">
      <c r="A601" s="3632">
        <v>29800</v>
      </c>
      <c r="B601" s="3631">
        <v>29850</v>
      </c>
      <c r="C601" s="3491">
        <v>0</v>
      </c>
      <c r="D601" s="3632">
        <v>1514</v>
      </c>
      <c r="E601" s="3633">
        <v>3122</v>
      </c>
      <c r="F601" s="3631">
        <v>3818</v>
      </c>
      <c r="G601" s="3491">
        <v>0</v>
      </c>
      <c r="H601" s="3633">
        <v>2400</v>
      </c>
      <c r="I601" s="3633">
        <v>4290</v>
      </c>
      <c r="J601" s="3631">
        <v>4987</v>
      </c>
    </row>
    <row r="602" spans="1:10" ht="13.5">
      <c r="A602" s="3632">
        <v>29850</v>
      </c>
      <c r="B602" s="3631">
        <v>29900</v>
      </c>
      <c r="C602" s="3491">
        <v>0</v>
      </c>
      <c r="D602" s="3632">
        <v>1506</v>
      </c>
      <c r="E602" s="3633">
        <v>3111</v>
      </c>
      <c r="F602" s="3631">
        <v>3808</v>
      </c>
      <c r="G602" s="3491">
        <v>0</v>
      </c>
      <c r="H602" s="3633">
        <v>2392</v>
      </c>
      <c r="I602" s="3633">
        <v>4280</v>
      </c>
      <c r="J602" s="3631">
        <v>4976</v>
      </c>
    </row>
    <row r="603" spans="1:10" ht="13.5">
      <c r="A603" s="3632">
        <v>29900</v>
      </c>
      <c r="B603" s="3631">
        <v>29950</v>
      </c>
      <c r="C603" s="3491">
        <v>0</v>
      </c>
      <c r="D603" s="3632">
        <v>1498</v>
      </c>
      <c r="E603" s="3633">
        <v>3101</v>
      </c>
      <c r="F603" s="3631">
        <v>3797</v>
      </c>
      <c r="G603" s="3491">
        <v>0</v>
      </c>
      <c r="H603" s="3633">
        <v>2384</v>
      </c>
      <c r="I603" s="3633">
        <v>4269</v>
      </c>
      <c r="J603" s="3631">
        <v>4966</v>
      </c>
    </row>
    <row r="604" spans="1:10" ht="13.5">
      <c r="A604" s="3632">
        <v>29950</v>
      </c>
      <c r="B604" s="3631">
        <v>30000</v>
      </c>
      <c r="C604" s="3491">
        <v>0</v>
      </c>
      <c r="D604" s="3632">
        <v>1490</v>
      </c>
      <c r="E604" s="3633">
        <v>3090</v>
      </c>
      <c r="F604" s="3631">
        <v>3787</v>
      </c>
      <c r="G604" s="3491">
        <v>0</v>
      </c>
      <c r="H604" s="3633">
        <v>2376</v>
      </c>
      <c r="I604" s="3633">
        <v>4259</v>
      </c>
      <c r="J604" s="3631">
        <v>4955</v>
      </c>
    </row>
    <row r="605" spans="1:10" ht="13.5">
      <c r="A605" s="3632">
        <v>30000</v>
      </c>
      <c r="B605" s="3631">
        <v>30050</v>
      </c>
      <c r="C605" s="3491">
        <v>0</v>
      </c>
      <c r="D605" s="3632">
        <v>1482</v>
      </c>
      <c r="E605" s="3633">
        <v>3080</v>
      </c>
      <c r="F605" s="3631">
        <v>3776</v>
      </c>
      <c r="G605" s="3491">
        <v>0</v>
      </c>
      <c r="H605" s="3633">
        <v>2368</v>
      </c>
      <c r="I605" s="3633">
        <v>4248</v>
      </c>
      <c r="J605" s="3631">
        <v>4945</v>
      </c>
    </row>
    <row r="606" spans="1:10" ht="13.5">
      <c r="A606" s="3632">
        <v>30050</v>
      </c>
      <c r="B606" s="3631">
        <v>30100</v>
      </c>
      <c r="C606" s="3491">
        <v>0</v>
      </c>
      <c r="D606" s="3632">
        <v>1474</v>
      </c>
      <c r="E606" s="3633">
        <v>3069</v>
      </c>
      <c r="F606" s="3631">
        <v>3766</v>
      </c>
      <c r="G606" s="3491">
        <v>0</v>
      </c>
      <c r="H606" s="3633">
        <v>2360</v>
      </c>
      <c r="I606" s="3633">
        <v>4238</v>
      </c>
      <c r="J606" s="3631">
        <v>4934</v>
      </c>
    </row>
    <row r="607" spans="1:10" ht="13.5">
      <c r="A607" s="3632">
        <v>30100</v>
      </c>
      <c r="B607" s="3631">
        <v>30150</v>
      </c>
      <c r="C607" s="3491">
        <v>0</v>
      </c>
      <c r="D607" s="3632">
        <v>1466</v>
      </c>
      <c r="E607" s="3633">
        <v>3058</v>
      </c>
      <c r="F607" s="3631">
        <v>3755</v>
      </c>
      <c r="G607" s="3491">
        <v>0</v>
      </c>
      <c r="H607" s="3633">
        <v>2352</v>
      </c>
      <c r="I607" s="3633">
        <v>4227</v>
      </c>
      <c r="J607" s="3631">
        <v>4924</v>
      </c>
    </row>
    <row r="608" spans="1:10" ht="13.5">
      <c r="A608" s="3632">
        <v>30150</v>
      </c>
      <c r="B608" s="3631">
        <v>30200</v>
      </c>
      <c r="C608" s="3491">
        <v>0</v>
      </c>
      <c r="D608" s="3632">
        <v>1458</v>
      </c>
      <c r="E608" s="3633">
        <v>3048</v>
      </c>
      <c r="F608" s="3631">
        <v>3744</v>
      </c>
      <c r="G608" s="3491">
        <v>0</v>
      </c>
      <c r="H608" s="3633">
        <v>2344</v>
      </c>
      <c r="I608" s="3633">
        <v>4217</v>
      </c>
      <c r="J608" s="3631">
        <v>4913</v>
      </c>
    </row>
    <row r="609" spans="1:10" ht="13.5">
      <c r="A609" s="3632">
        <v>30200</v>
      </c>
      <c r="B609" s="3631">
        <v>30250</v>
      </c>
      <c r="C609" s="3491">
        <v>0</v>
      </c>
      <c r="D609" s="3632">
        <v>1450</v>
      </c>
      <c r="E609" s="3633">
        <v>3037</v>
      </c>
      <c r="F609" s="3631">
        <v>3734</v>
      </c>
      <c r="G609" s="3491">
        <v>0</v>
      </c>
      <c r="H609" s="3633">
        <v>2336</v>
      </c>
      <c r="I609" s="3633">
        <v>4206</v>
      </c>
      <c r="J609" s="3631">
        <v>4903</v>
      </c>
    </row>
    <row r="610" spans="1:10" ht="13.5">
      <c r="A610" s="3632">
        <v>30250</v>
      </c>
      <c r="B610" s="3631">
        <v>30300</v>
      </c>
      <c r="C610" s="3491">
        <v>0</v>
      </c>
      <c r="D610" s="3632">
        <v>1442</v>
      </c>
      <c r="E610" s="3633">
        <v>3027</v>
      </c>
      <c r="F610" s="3631">
        <v>3723</v>
      </c>
      <c r="G610" s="3491">
        <v>0</v>
      </c>
      <c r="H610" s="3633">
        <v>2329</v>
      </c>
      <c r="I610" s="3633">
        <v>4196</v>
      </c>
      <c r="J610" s="3631">
        <v>4892</v>
      </c>
    </row>
    <row r="611" spans="1:10" ht="13.5">
      <c r="A611" s="3632">
        <v>30300</v>
      </c>
      <c r="B611" s="3631">
        <v>30350</v>
      </c>
      <c r="C611" s="3491">
        <v>0</v>
      </c>
      <c r="D611" s="3632">
        <v>1434</v>
      </c>
      <c r="E611" s="3633">
        <v>3016</v>
      </c>
      <c r="F611" s="3631">
        <v>3713</v>
      </c>
      <c r="G611" s="3491">
        <v>0</v>
      </c>
      <c r="H611" s="3633">
        <v>2321</v>
      </c>
      <c r="I611" s="3633">
        <v>4185</v>
      </c>
      <c r="J611" s="3631">
        <v>4882</v>
      </c>
    </row>
    <row r="612" spans="1:10" ht="13.5">
      <c r="A612" s="3632">
        <v>30350</v>
      </c>
      <c r="B612" s="3631">
        <v>30400</v>
      </c>
      <c r="C612" s="3491">
        <v>0</v>
      </c>
      <c r="D612" s="3632">
        <v>1426</v>
      </c>
      <c r="E612" s="3633">
        <v>3006</v>
      </c>
      <c r="F612" s="3631">
        <v>3702</v>
      </c>
      <c r="G612" s="3491">
        <v>0</v>
      </c>
      <c r="H612" s="3633">
        <v>2313</v>
      </c>
      <c r="I612" s="3633">
        <v>4175</v>
      </c>
      <c r="J612" s="3631">
        <v>4871</v>
      </c>
    </row>
    <row r="613" spans="1:10" ht="13.5">
      <c r="A613" s="3632">
        <v>30400</v>
      </c>
      <c r="B613" s="3631">
        <v>30450</v>
      </c>
      <c r="C613" s="3491">
        <v>0</v>
      </c>
      <c r="D613" s="3632">
        <v>1418</v>
      </c>
      <c r="E613" s="3633">
        <v>2995</v>
      </c>
      <c r="F613" s="3631">
        <v>3692</v>
      </c>
      <c r="G613" s="3491">
        <v>0</v>
      </c>
      <c r="H613" s="3633">
        <v>2305</v>
      </c>
      <c r="I613" s="3633">
        <v>4164</v>
      </c>
      <c r="J613" s="3631">
        <v>4861</v>
      </c>
    </row>
    <row r="614" spans="1:10" ht="13.5">
      <c r="A614" s="3632">
        <v>30450</v>
      </c>
      <c r="B614" s="3631">
        <v>30500</v>
      </c>
      <c r="C614" s="3491">
        <v>0</v>
      </c>
      <c r="D614" s="3632">
        <v>1410</v>
      </c>
      <c r="E614" s="3633">
        <v>2985</v>
      </c>
      <c r="F614" s="3631">
        <v>3681</v>
      </c>
      <c r="G614" s="3491">
        <v>0</v>
      </c>
      <c r="H614" s="3633">
        <v>2297</v>
      </c>
      <c r="I614" s="3633">
        <v>4154</v>
      </c>
      <c r="J614" s="3631">
        <v>4850</v>
      </c>
    </row>
    <row r="615" spans="1:10" ht="13.5">
      <c r="A615" s="3632">
        <v>30500</v>
      </c>
      <c r="B615" s="3631">
        <v>30550</v>
      </c>
      <c r="C615" s="3491">
        <v>0</v>
      </c>
      <c r="D615" s="3632">
        <v>1402</v>
      </c>
      <c r="E615" s="3633">
        <v>2974</v>
      </c>
      <c r="F615" s="3631">
        <v>3671</v>
      </c>
      <c r="G615" s="3491">
        <v>0</v>
      </c>
      <c r="H615" s="3633">
        <v>2289</v>
      </c>
      <c r="I615" s="3633">
        <v>4143</v>
      </c>
      <c r="J615" s="3631">
        <v>4840</v>
      </c>
    </row>
    <row r="616" spans="1:10" ht="13.5">
      <c r="A616" s="3632">
        <v>30550</v>
      </c>
      <c r="B616" s="3631">
        <v>30600</v>
      </c>
      <c r="C616" s="3491">
        <v>0</v>
      </c>
      <c r="D616" s="3632">
        <v>1394</v>
      </c>
      <c r="E616" s="3633">
        <v>2964</v>
      </c>
      <c r="F616" s="3631">
        <v>3660</v>
      </c>
      <c r="G616" s="3491">
        <v>0</v>
      </c>
      <c r="H616" s="3633">
        <v>2281</v>
      </c>
      <c r="I616" s="3633">
        <v>4133</v>
      </c>
      <c r="J616" s="3631">
        <v>4829</v>
      </c>
    </row>
    <row r="617" spans="1:10" ht="13.5">
      <c r="A617" s="3632">
        <v>30600</v>
      </c>
      <c r="B617" s="3631">
        <v>30650</v>
      </c>
      <c r="C617" s="3491">
        <v>0</v>
      </c>
      <c r="D617" s="3632">
        <v>1386</v>
      </c>
      <c r="E617" s="3633">
        <v>2953</v>
      </c>
      <c r="F617" s="3631">
        <v>3650</v>
      </c>
      <c r="G617" s="3491">
        <v>0</v>
      </c>
      <c r="H617" s="3633">
        <v>2273</v>
      </c>
      <c r="I617" s="3633">
        <v>4122</v>
      </c>
      <c r="J617" s="3631">
        <v>4819</v>
      </c>
    </row>
    <row r="618" spans="1:10" ht="13.5">
      <c r="A618" s="3632">
        <v>30650</v>
      </c>
      <c r="B618" s="3631">
        <v>30700</v>
      </c>
      <c r="C618" s="3491">
        <v>0</v>
      </c>
      <c r="D618" s="3632">
        <v>1378</v>
      </c>
      <c r="E618" s="3633">
        <v>2943</v>
      </c>
      <c r="F618" s="3631">
        <v>3639</v>
      </c>
      <c r="G618" s="3491">
        <v>0</v>
      </c>
      <c r="H618" s="3633">
        <v>2265</v>
      </c>
      <c r="I618" s="3633">
        <v>4111</v>
      </c>
      <c r="J618" s="3631">
        <v>4808</v>
      </c>
    </row>
    <row r="619" spans="1:10" ht="13.5">
      <c r="A619" s="3632">
        <v>30700</v>
      </c>
      <c r="B619" s="3631">
        <v>30750</v>
      </c>
      <c r="C619" s="3491">
        <v>0</v>
      </c>
      <c r="D619" s="3632">
        <v>1370</v>
      </c>
      <c r="E619" s="3633">
        <v>2932</v>
      </c>
      <c r="F619" s="3631">
        <v>3629</v>
      </c>
      <c r="G619" s="3491">
        <v>0</v>
      </c>
      <c r="H619" s="3633">
        <v>2257</v>
      </c>
      <c r="I619" s="3633">
        <v>4101</v>
      </c>
      <c r="J619" s="3631">
        <v>4797</v>
      </c>
    </row>
    <row r="620" spans="1:10" ht="13.5">
      <c r="A620" s="3632">
        <v>30750</v>
      </c>
      <c r="B620" s="3631">
        <v>30800</v>
      </c>
      <c r="C620" s="3491">
        <v>0</v>
      </c>
      <c r="D620" s="3632">
        <v>1362</v>
      </c>
      <c r="E620" s="3633">
        <v>2922</v>
      </c>
      <c r="F620" s="3631">
        <v>3618</v>
      </c>
      <c r="G620" s="3491">
        <v>0</v>
      </c>
      <c r="H620" s="3633">
        <v>2249</v>
      </c>
      <c r="I620" s="3633">
        <v>4090</v>
      </c>
      <c r="J620" s="3631">
        <v>4787</v>
      </c>
    </row>
    <row r="621" spans="1:10" ht="13.5">
      <c r="A621" s="3632">
        <v>30800</v>
      </c>
      <c r="B621" s="3631">
        <v>30850</v>
      </c>
      <c r="C621" s="3491">
        <v>0</v>
      </c>
      <c r="D621" s="3632">
        <v>1354</v>
      </c>
      <c r="E621" s="3633">
        <v>2911</v>
      </c>
      <c r="F621" s="3631">
        <v>3608</v>
      </c>
      <c r="G621" s="3491">
        <v>0</v>
      </c>
      <c r="H621" s="3633">
        <v>2241</v>
      </c>
      <c r="I621" s="3633">
        <v>4080</v>
      </c>
      <c r="J621" s="3631">
        <v>4776</v>
      </c>
    </row>
    <row r="622" spans="1:10" ht="13.5">
      <c r="A622" s="3632">
        <v>30850</v>
      </c>
      <c r="B622" s="3631">
        <v>30900</v>
      </c>
      <c r="C622" s="3491">
        <v>0</v>
      </c>
      <c r="D622" s="3632">
        <v>1346</v>
      </c>
      <c r="E622" s="3633">
        <v>2901</v>
      </c>
      <c r="F622" s="3631">
        <v>3597</v>
      </c>
      <c r="G622" s="3491">
        <v>0</v>
      </c>
      <c r="H622" s="3633">
        <v>2233</v>
      </c>
      <c r="I622" s="3633">
        <v>4069</v>
      </c>
      <c r="J622" s="3631">
        <v>4766</v>
      </c>
    </row>
    <row r="623" spans="1:10" ht="13.5">
      <c r="A623" s="3632">
        <v>30900</v>
      </c>
      <c r="B623" s="3631">
        <v>30950</v>
      </c>
      <c r="C623" s="3491">
        <v>0</v>
      </c>
      <c r="D623" s="3632">
        <v>1338</v>
      </c>
      <c r="E623" s="3633">
        <v>2890</v>
      </c>
      <c r="F623" s="3631">
        <v>3587</v>
      </c>
      <c r="G623" s="3491">
        <v>0</v>
      </c>
      <c r="H623" s="3633">
        <v>2225</v>
      </c>
      <c r="I623" s="3633">
        <v>4059</v>
      </c>
      <c r="J623" s="3631">
        <v>4755</v>
      </c>
    </row>
    <row r="624" spans="1:10" ht="13.5">
      <c r="A624" s="3632">
        <v>30950</v>
      </c>
      <c r="B624" s="3631">
        <v>31000</v>
      </c>
      <c r="C624" s="3491">
        <v>0</v>
      </c>
      <c r="D624" s="3632">
        <v>1330</v>
      </c>
      <c r="E624" s="3633">
        <v>2879</v>
      </c>
      <c r="F624" s="3631">
        <v>3576</v>
      </c>
      <c r="G624" s="3491">
        <v>0</v>
      </c>
      <c r="H624" s="3633">
        <v>2217</v>
      </c>
      <c r="I624" s="3633">
        <v>4048</v>
      </c>
      <c r="J624" s="3631">
        <v>4745</v>
      </c>
    </row>
    <row r="625" spans="1:10" ht="13.5">
      <c r="A625" s="3632">
        <v>31000</v>
      </c>
      <c r="B625" s="3631">
        <v>31050</v>
      </c>
      <c r="C625" s="3491">
        <v>0</v>
      </c>
      <c r="D625" s="3632">
        <v>1322</v>
      </c>
      <c r="E625" s="3633">
        <v>2869</v>
      </c>
      <c r="F625" s="3631">
        <v>3565</v>
      </c>
      <c r="G625" s="3491">
        <v>0</v>
      </c>
      <c r="H625" s="3633">
        <v>2209</v>
      </c>
      <c r="I625" s="3633">
        <v>4038</v>
      </c>
      <c r="J625" s="3631">
        <v>4734</v>
      </c>
    </row>
    <row r="626" spans="1:10" ht="13.5">
      <c r="A626" s="3632">
        <v>31050</v>
      </c>
      <c r="B626" s="3631">
        <v>31100</v>
      </c>
      <c r="C626" s="3491">
        <v>0</v>
      </c>
      <c r="D626" s="3632">
        <v>1314</v>
      </c>
      <c r="E626" s="3633">
        <v>2858</v>
      </c>
      <c r="F626" s="3631">
        <v>3555</v>
      </c>
      <c r="G626" s="3491">
        <v>0</v>
      </c>
      <c r="H626" s="3633">
        <v>2201</v>
      </c>
      <c r="I626" s="3633">
        <v>4027</v>
      </c>
      <c r="J626" s="3631">
        <v>4724</v>
      </c>
    </row>
    <row r="627" spans="1:10" ht="13.5">
      <c r="A627" s="3632">
        <v>31100</v>
      </c>
      <c r="B627" s="3631">
        <v>31150</v>
      </c>
      <c r="C627" s="3491">
        <v>0</v>
      </c>
      <c r="D627" s="3632">
        <v>1306</v>
      </c>
      <c r="E627" s="3633">
        <v>2848</v>
      </c>
      <c r="F627" s="3631">
        <v>3544</v>
      </c>
      <c r="G627" s="3491">
        <v>0</v>
      </c>
      <c r="H627" s="3633">
        <v>2193</v>
      </c>
      <c r="I627" s="3633">
        <v>4017</v>
      </c>
      <c r="J627" s="3631">
        <v>4713</v>
      </c>
    </row>
    <row r="628" spans="1:10" ht="13.5">
      <c r="A628" s="3632">
        <v>31150</v>
      </c>
      <c r="B628" s="3631">
        <v>31200</v>
      </c>
      <c r="C628" s="3491">
        <v>0</v>
      </c>
      <c r="D628" s="3632">
        <v>1298</v>
      </c>
      <c r="E628" s="3633">
        <v>2837</v>
      </c>
      <c r="F628" s="3631">
        <v>3534</v>
      </c>
      <c r="G628" s="3491">
        <v>0</v>
      </c>
      <c r="H628" s="3633">
        <v>2185</v>
      </c>
      <c r="I628" s="3633">
        <v>4006</v>
      </c>
      <c r="J628" s="3631">
        <v>4703</v>
      </c>
    </row>
    <row r="629" spans="1:10" ht="13.5">
      <c r="A629" s="3632">
        <v>31200</v>
      </c>
      <c r="B629" s="3631">
        <v>31250</v>
      </c>
      <c r="C629" s="3491">
        <v>0</v>
      </c>
      <c r="D629" s="3632">
        <v>1290</v>
      </c>
      <c r="E629" s="3633">
        <v>2827</v>
      </c>
      <c r="F629" s="3631">
        <v>3523</v>
      </c>
      <c r="G629" s="3491">
        <v>0</v>
      </c>
      <c r="H629" s="3633">
        <v>2177</v>
      </c>
      <c r="I629" s="3633">
        <v>3996</v>
      </c>
      <c r="J629" s="3631">
        <v>4692</v>
      </c>
    </row>
    <row r="630" spans="1:10" ht="13.5">
      <c r="A630" s="3632">
        <v>31250</v>
      </c>
      <c r="B630" s="3631">
        <v>31300</v>
      </c>
      <c r="C630" s="3491">
        <v>0</v>
      </c>
      <c r="D630" s="3632">
        <v>1282</v>
      </c>
      <c r="E630" s="3633">
        <v>2816</v>
      </c>
      <c r="F630" s="3631">
        <v>3513</v>
      </c>
      <c r="G630" s="3491">
        <v>0</v>
      </c>
      <c r="H630" s="3633">
        <v>2169</v>
      </c>
      <c r="I630" s="3633">
        <v>3985</v>
      </c>
      <c r="J630" s="3631">
        <v>4682</v>
      </c>
    </row>
    <row r="631" spans="1:10" ht="13.5">
      <c r="A631" s="3632">
        <v>31300</v>
      </c>
      <c r="B631" s="3631">
        <v>31350</v>
      </c>
      <c r="C631" s="3491">
        <v>0</v>
      </c>
      <c r="D631" s="3632">
        <v>1274</v>
      </c>
      <c r="E631" s="3633">
        <v>2806</v>
      </c>
      <c r="F631" s="3631">
        <v>3502</v>
      </c>
      <c r="G631" s="3491">
        <v>0</v>
      </c>
      <c r="H631" s="3633">
        <v>2161</v>
      </c>
      <c r="I631" s="3633">
        <v>3975</v>
      </c>
      <c r="J631" s="3631">
        <v>4671</v>
      </c>
    </row>
    <row r="632" spans="1:10" ht="13.5">
      <c r="A632" s="3632">
        <v>31350</v>
      </c>
      <c r="B632" s="3631">
        <v>31400</v>
      </c>
      <c r="C632" s="3491">
        <v>0</v>
      </c>
      <c r="D632" s="3632">
        <v>1266</v>
      </c>
      <c r="E632" s="3633">
        <v>2795</v>
      </c>
      <c r="F632" s="3631">
        <v>3492</v>
      </c>
      <c r="G632" s="3491">
        <v>0</v>
      </c>
      <c r="H632" s="3633">
        <v>2153</v>
      </c>
      <c r="I632" s="3633">
        <v>3964</v>
      </c>
      <c r="J632" s="3631">
        <v>4661</v>
      </c>
    </row>
    <row r="633" spans="1:10" ht="13.5">
      <c r="A633" s="3632">
        <v>31400</v>
      </c>
      <c r="B633" s="3631">
        <v>31450</v>
      </c>
      <c r="C633" s="3491">
        <v>0</v>
      </c>
      <c r="D633" s="3632">
        <v>1258</v>
      </c>
      <c r="E633" s="3633">
        <v>2785</v>
      </c>
      <c r="F633" s="3631">
        <v>3481</v>
      </c>
      <c r="G633" s="3491">
        <v>0</v>
      </c>
      <c r="H633" s="3633">
        <v>2145</v>
      </c>
      <c r="I633" s="3633">
        <v>3954</v>
      </c>
      <c r="J633" s="3631">
        <v>4650</v>
      </c>
    </row>
    <row r="634" spans="1:10" ht="13.5">
      <c r="A634" s="3632">
        <v>31450</v>
      </c>
      <c r="B634" s="3631">
        <v>31500</v>
      </c>
      <c r="C634" s="3491">
        <v>0</v>
      </c>
      <c r="D634" s="3632">
        <v>1250</v>
      </c>
      <c r="E634" s="3633">
        <v>2774</v>
      </c>
      <c r="F634" s="3631">
        <v>3471</v>
      </c>
      <c r="G634" s="3491">
        <v>0</v>
      </c>
      <c r="H634" s="3633">
        <v>2137</v>
      </c>
      <c r="I634" s="3633">
        <v>3943</v>
      </c>
      <c r="J634" s="3631">
        <v>4640</v>
      </c>
    </row>
    <row r="635" spans="1:10" ht="13.5">
      <c r="A635" s="3632">
        <v>31500</v>
      </c>
      <c r="B635" s="3631">
        <v>31550</v>
      </c>
      <c r="C635" s="3491">
        <v>0</v>
      </c>
      <c r="D635" s="3632">
        <v>1242</v>
      </c>
      <c r="E635" s="3633">
        <v>2764</v>
      </c>
      <c r="F635" s="3631">
        <v>3460</v>
      </c>
      <c r="G635" s="3491">
        <v>0</v>
      </c>
      <c r="H635" s="3633">
        <v>2129</v>
      </c>
      <c r="I635" s="3633">
        <v>3932</v>
      </c>
      <c r="J635" s="3631">
        <v>4629</v>
      </c>
    </row>
    <row r="636" spans="1:10" ht="13.5">
      <c r="A636" s="3632">
        <v>31550</v>
      </c>
      <c r="B636" s="3631">
        <v>31600</v>
      </c>
      <c r="C636" s="3491">
        <v>0</v>
      </c>
      <c r="D636" s="3632">
        <v>1234</v>
      </c>
      <c r="E636" s="3633">
        <v>2753</v>
      </c>
      <c r="F636" s="3631">
        <v>3450</v>
      </c>
      <c r="G636" s="3491">
        <v>0</v>
      </c>
      <c r="H636" s="3633">
        <v>2121</v>
      </c>
      <c r="I636" s="3633">
        <v>3922</v>
      </c>
      <c r="J636" s="3631">
        <v>4618</v>
      </c>
    </row>
    <row r="637" spans="1:10" ht="13.5">
      <c r="A637" s="3632">
        <v>31600</v>
      </c>
      <c r="B637" s="3631">
        <v>31650</v>
      </c>
      <c r="C637" s="3491">
        <v>0</v>
      </c>
      <c r="D637" s="3632">
        <v>1226</v>
      </c>
      <c r="E637" s="3633">
        <v>2743</v>
      </c>
      <c r="F637" s="3631">
        <v>3439</v>
      </c>
      <c r="G637" s="3491">
        <v>0</v>
      </c>
      <c r="H637" s="3633">
        <v>2113</v>
      </c>
      <c r="I637" s="3633">
        <v>3911</v>
      </c>
      <c r="J637" s="3631">
        <v>4608</v>
      </c>
    </row>
    <row r="638" spans="1:10" ht="13.5">
      <c r="A638" s="3632">
        <v>31650</v>
      </c>
      <c r="B638" s="3631">
        <v>31700</v>
      </c>
      <c r="C638" s="3491">
        <v>0</v>
      </c>
      <c r="D638" s="3632">
        <v>1218</v>
      </c>
      <c r="E638" s="3633">
        <v>2732</v>
      </c>
      <c r="F638" s="3631">
        <v>3429</v>
      </c>
      <c r="G638" s="3491">
        <v>0</v>
      </c>
      <c r="H638" s="3633">
        <v>2105</v>
      </c>
      <c r="I638" s="3633">
        <v>3901</v>
      </c>
      <c r="J638" s="3631">
        <v>4597</v>
      </c>
    </row>
    <row r="639" spans="1:10" ht="13.5">
      <c r="A639" s="3632">
        <v>31700</v>
      </c>
      <c r="B639" s="3631">
        <v>31750</v>
      </c>
      <c r="C639" s="3491">
        <v>0</v>
      </c>
      <c r="D639" s="3632">
        <v>1210</v>
      </c>
      <c r="E639" s="3633">
        <v>2722</v>
      </c>
      <c r="F639" s="3631">
        <v>3418</v>
      </c>
      <c r="G639" s="3491">
        <v>0</v>
      </c>
      <c r="H639" s="3633">
        <v>2097</v>
      </c>
      <c r="I639" s="3633">
        <v>3890</v>
      </c>
      <c r="J639" s="3631">
        <v>4587</v>
      </c>
    </row>
    <row r="640" spans="1:10" ht="13.5">
      <c r="A640" s="3632">
        <v>31750</v>
      </c>
      <c r="B640" s="3631">
        <v>31800</v>
      </c>
      <c r="C640" s="3491">
        <v>0</v>
      </c>
      <c r="D640" s="3632">
        <v>1202</v>
      </c>
      <c r="E640" s="3633">
        <v>2711</v>
      </c>
      <c r="F640" s="3631">
        <v>3407</v>
      </c>
      <c r="G640" s="3491">
        <v>0</v>
      </c>
      <c r="H640" s="3633">
        <v>2089</v>
      </c>
      <c r="I640" s="3633">
        <v>3880</v>
      </c>
      <c r="J640" s="3631">
        <v>4576</v>
      </c>
    </row>
    <row r="641" spans="1:10" ht="13.5">
      <c r="A641" s="3632">
        <v>31800</v>
      </c>
      <c r="B641" s="3631">
        <v>31850</v>
      </c>
      <c r="C641" s="3491">
        <v>0</v>
      </c>
      <c r="D641" s="3632">
        <v>1194</v>
      </c>
      <c r="E641" s="3633">
        <v>2700</v>
      </c>
      <c r="F641" s="3631">
        <v>3397</v>
      </c>
      <c r="G641" s="3491">
        <v>0</v>
      </c>
      <c r="H641" s="3633">
        <v>2081</v>
      </c>
      <c r="I641" s="3633">
        <v>3869</v>
      </c>
      <c r="J641" s="3631">
        <v>4566</v>
      </c>
    </row>
    <row r="642" spans="1:10" ht="13.5">
      <c r="A642" s="3632">
        <v>31850</v>
      </c>
      <c r="B642" s="3631">
        <v>31900</v>
      </c>
      <c r="C642" s="3491">
        <v>0</v>
      </c>
      <c r="D642" s="3632">
        <v>1186</v>
      </c>
      <c r="E642" s="3633">
        <v>2690</v>
      </c>
      <c r="F642" s="3631">
        <v>3386</v>
      </c>
      <c r="G642" s="3491">
        <v>0</v>
      </c>
      <c r="H642" s="3633">
        <v>2073</v>
      </c>
      <c r="I642" s="3633">
        <v>3859</v>
      </c>
      <c r="J642" s="3631">
        <v>4555</v>
      </c>
    </row>
    <row r="643" spans="1:10" ht="13.5">
      <c r="A643" s="3632">
        <v>31900</v>
      </c>
      <c r="B643" s="3631">
        <v>31950</v>
      </c>
      <c r="C643" s="3491">
        <v>0</v>
      </c>
      <c r="D643" s="3632">
        <v>1178</v>
      </c>
      <c r="E643" s="3633">
        <v>2679</v>
      </c>
      <c r="F643" s="3631">
        <v>3376</v>
      </c>
      <c r="G643" s="3491">
        <v>0</v>
      </c>
      <c r="H643" s="3633">
        <v>2065</v>
      </c>
      <c r="I643" s="3633">
        <v>3848</v>
      </c>
      <c r="J643" s="3631">
        <v>4545</v>
      </c>
    </row>
    <row r="644" spans="1:10" ht="13.5">
      <c r="A644" s="3632">
        <v>31950</v>
      </c>
      <c r="B644" s="3631">
        <v>32000</v>
      </c>
      <c r="C644" s="3491">
        <v>0</v>
      </c>
      <c r="D644" s="3632">
        <v>1170</v>
      </c>
      <c r="E644" s="3633">
        <v>2669</v>
      </c>
      <c r="F644" s="3631">
        <v>3365</v>
      </c>
      <c r="G644" s="3491">
        <v>0</v>
      </c>
      <c r="H644" s="3633">
        <v>2057</v>
      </c>
      <c r="I644" s="3633">
        <v>3838</v>
      </c>
      <c r="J644" s="3631">
        <v>4534</v>
      </c>
    </row>
    <row r="645" spans="1:10" ht="13.5">
      <c r="A645" s="3632">
        <v>32000</v>
      </c>
      <c r="B645" s="3631">
        <v>32050</v>
      </c>
      <c r="C645" s="3491">
        <v>0</v>
      </c>
      <c r="D645" s="3632">
        <v>1162</v>
      </c>
      <c r="E645" s="3633">
        <v>2658</v>
      </c>
      <c r="F645" s="3631">
        <v>3355</v>
      </c>
      <c r="G645" s="3491">
        <v>0</v>
      </c>
      <c r="H645" s="3633">
        <v>2049</v>
      </c>
      <c r="I645" s="3633">
        <v>3827</v>
      </c>
      <c r="J645" s="3631">
        <v>4524</v>
      </c>
    </row>
    <row r="646" spans="1:10" ht="13.5">
      <c r="A646" s="3632">
        <v>32050</v>
      </c>
      <c r="B646" s="3631">
        <v>32100</v>
      </c>
      <c r="C646" s="3491">
        <v>0</v>
      </c>
      <c r="D646" s="3632">
        <v>1154</v>
      </c>
      <c r="E646" s="3633">
        <v>2648</v>
      </c>
      <c r="F646" s="3631">
        <v>3344</v>
      </c>
      <c r="G646" s="3491">
        <v>0</v>
      </c>
      <c r="H646" s="3633">
        <v>2041</v>
      </c>
      <c r="I646" s="3633">
        <v>3817</v>
      </c>
      <c r="J646" s="3631">
        <v>4513</v>
      </c>
    </row>
    <row r="647" spans="1:10" ht="13.5">
      <c r="A647" s="3632">
        <v>32100</v>
      </c>
      <c r="B647" s="3631">
        <v>32150</v>
      </c>
      <c r="C647" s="3491">
        <v>0</v>
      </c>
      <c r="D647" s="3632">
        <v>1146</v>
      </c>
      <c r="E647" s="3633">
        <v>2637</v>
      </c>
      <c r="F647" s="3631">
        <v>3334</v>
      </c>
      <c r="G647" s="3491">
        <v>0</v>
      </c>
      <c r="H647" s="3633">
        <v>2033</v>
      </c>
      <c r="I647" s="3633">
        <v>3806</v>
      </c>
      <c r="J647" s="3631">
        <v>4503</v>
      </c>
    </row>
    <row r="648" spans="1:10" ht="13.5">
      <c r="A648" s="3632">
        <v>32150</v>
      </c>
      <c r="B648" s="3631">
        <v>32200</v>
      </c>
      <c r="C648" s="3491">
        <v>0</v>
      </c>
      <c r="D648" s="3632">
        <v>1138</v>
      </c>
      <c r="E648" s="3633">
        <v>2627</v>
      </c>
      <c r="F648" s="3631">
        <v>3323</v>
      </c>
      <c r="G648" s="3491">
        <v>0</v>
      </c>
      <c r="H648" s="3633">
        <v>2025</v>
      </c>
      <c r="I648" s="3633">
        <v>3796</v>
      </c>
      <c r="J648" s="3631">
        <v>4492</v>
      </c>
    </row>
    <row r="649" spans="1:10" ht="13.5">
      <c r="A649" s="3632">
        <v>32200</v>
      </c>
      <c r="B649" s="3631">
        <v>32250</v>
      </c>
      <c r="C649" s="3491">
        <v>0</v>
      </c>
      <c r="D649" s="3632">
        <v>1130</v>
      </c>
      <c r="E649" s="3633">
        <v>2616</v>
      </c>
      <c r="F649" s="3631">
        <v>3313</v>
      </c>
      <c r="G649" s="3491">
        <v>0</v>
      </c>
      <c r="H649" s="3633">
        <v>2017</v>
      </c>
      <c r="I649" s="3633">
        <v>3785</v>
      </c>
      <c r="J649" s="3631">
        <v>4482</v>
      </c>
    </row>
    <row r="650" spans="1:10" ht="13.5">
      <c r="A650" s="3632">
        <v>32250</v>
      </c>
      <c r="B650" s="3631">
        <v>32300</v>
      </c>
      <c r="C650" s="3491">
        <v>0</v>
      </c>
      <c r="D650" s="3632">
        <v>1122</v>
      </c>
      <c r="E650" s="3633">
        <v>2606</v>
      </c>
      <c r="F650" s="3631">
        <v>3302</v>
      </c>
      <c r="G650" s="3491">
        <v>0</v>
      </c>
      <c r="H650" s="3633">
        <v>2009</v>
      </c>
      <c r="I650" s="3633">
        <v>3775</v>
      </c>
      <c r="J650" s="3631">
        <v>4471</v>
      </c>
    </row>
    <row r="651" spans="1:10" ht="13.5">
      <c r="A651" s="3632">
        <v>32300</v>
      </c>
      <c r="B651" s="3631">
        <v>32350</v>
      </c>
      <c r="C651" s="3491">
        <v>0</v>
      </c>
      <c r="D651" s="3632">
        <v>1114</v>
      </c>
      <c r="E651" s="3633">
        <v>2595</v>
      </c>
      <c r="F651" s="3631">
        <v>3292</v>
      </c>
      <c r="G651" s="3491">
        <v>0</v>
      </c>
      <c r="H651" s="3633">
        <v>2001</v>
      </c>
      <c r="I651" s="3633">
        <v>3764</v>
      </c>
      <c r="J651" s="3631">
        <v>4460</v>
      </c>
    </row>
    <row r="652" spans="1:10" ht="13.5">
      <c r="A652" s="3632">
        <v>32350</v>
      </c>
      <c r="B652" s="3631">
        <v>32400</v>
      </c>
      <c r="C652" s="3491">
        <v>0</v>
      </c>
      <c r="D652" s="3632">
        <v>1106</v>
      </c>
      <c r="E652" s="3633">
        <v>2585</v>
      </c>
      <c r="F652" s="3631">
        <v>3281</v>
      </c>
      <c r="G652" s="3491">
        <v>0</v>
      </c>
      <c r="H652" s="3633">
        <v>1993</v>
      </c>
      <c r="I652" s="3633">
        <v>3753</v>
      </c>
      <c r="J652" s="3631">
        <v>4450</v>
      </c>
    </row>
    <row r="653" spans="1:10" ht="13.5">
      <c r="A653" s="3632">
        <v>32400</v>
      </c>
      <c r="B653" s="3631">
        <v>32450</v>
      </c>
      <c r="C653" s="3491">
        <v>0</v>
      </c>
      <c r="D653" s="3632">
        <v>1098</v>
      </c>
      <c r="E653" s="3633">
        <v>2574</v>
      </c>
      <c r="F653" s="3631">
        <v>3271</v>
      </c>
      <c r="G653" s="3491">
        <v>0</v>
      </c>
      <c r="H653" s="3633">
        <v>1985</v>
      </c>
      <c r="I653" s="3633">
        <v>3743</v>
      </c>
      <c r="J653" s="3631">
        <v>4439</v>
      </c>
    </row>
    <row r="654" spans="1:10" ht="13.5">
      <c r="A654" s="3632">
        <v>32450</v>
      </c>
      <c r="B654" s="3631">
        <v>32500</v>
      </c>
      <c r="C654" s="3491">
        <v>0</v>
      </c>
      <c r="D654" s="3632">
        <v>1090</v>
      </c>
      <c r="E654" s="3633">
        <v>2564</v>
      </c>
      <c r="F654" s="3631">
        <v>3260</v>
      </c>
      <c r="G654" s="3491">
        <v>0</v>
      </c>
      <c r="H654" s="3633">
        <v>1977</v>
      </c>
      <c r="I654" s="3633">
        <v>3732</v>
      </c>
      <c r="J654" s="3631">
        <v>4429</v>
      </c>
    </row>
    <row r="655" spans="1:10" ht="13.5">
      <c r="A655" s="3632">
        <v>32500</v>
      </c>
      <c r="B655" s="3631">
        <v>32550</v>
      </c>
      <c r="C655" s="3491">
        <v>0</v>
      </c>
      <c r="D655" s="3632">
        <v>1082</v>
      </c>
      <c r="E655" s="3633">
        <v>2553</v>
      </c>
      <c r="F655" s="3631">
        <v>3250</v>
      </c>
      <c r="G655" s="3491">
        <v>0</v>
      </c>
      <c r="H655" s="3633">
        <v>1969</v>
      </c>
      <c r="I655" s="3633">
        <v>3722</v>
      </c>
      <c r="J655" s="3631">
        <v>4418</v>
      </c>
    </row>
    <row r="656" spans="1:10" ht="13.5">
      <c r="A656" s="3632">
        <v>32550</v>
      </c>
      <c r="B656" s="3631">
        <v>32600</v>
      </c>
      <c r="C656" s="3491">
        <v>0</v>
      </c>
      <c r="D656" s="3632">
        <v>1074</v>
      </c>
      <c r="E656" s="3633">
        <v>2543</v>
      </c>
      <c r="F656" s="3631">
        <v>3239</v>
      </c>
      <c r="G656" s="3491">
        <v>0</v>
      </c>
      <c r="H656" s="3633">
        <v>1961</v>
      </c>
      <c r="I656" s="3633">
        <v>3711</v>
      </c>
      <c r="J656" s="3631">
        <v>4408</v>
      </c>
    </row>
    <row r="657" spans="1:10" ht="13.5">
      <c r="A657" s="3632">
        <v>32600</v>
      </c>
      <c r="B657" s="3631">
        <v>32650</v>
      </c>
      <c r="C657" s="3491">
        <v>0</v>
      </c>
      <c r="D657" s="3632">
        <v>1066</v>
      </c>
      <c r="E657" s="3633">
        <v>2532</v>
      </c>
      <c r="F657" s="3631">
        <v>3228</v>
      </c>
      <c r="G657" s="3491">
        <v>0</v>
      </c>
      <c r="H657" s="3633">
        <v>1953</v>
      </c>
      <c r="I657" s="3633">
        <v>3701</v>
      </c>
      <c r="J657" s="3631">
        <v>4397</v>
      </c>
    </row>
    <row r="658" spans="1:10" ht="13.5">
      <c r="A658" s="3632">
        <v>32650</v>
      </c>
      <c r="B658" s="3631">
        <v>32700</v>
      </c>
      <c r="C658" s="3491">
        <v>0</v>
      </c>
      <c r="D658" s="3632">
        <v>1058</v>
      </c>
      <c r="E658" s="3633">
        <v>2521</v>
      </c>
      <c r="F658" s="3631">
        <v>3218</v>
      </c>
      <c r="G658" s="3491">
        <v>0</v>
      </c>
      <c r="H658" s="3633">
        <v>1945</v>
      </c>
      <c r="I658" s="3633">
        <v>3690</v>
      </c>
      <c r="J658" s="3631">
        <v>4387</v>
      </c>
    </row>
    <row r="659" spans="1:10" ht="13.5">
      <c r="A659" s="3632">
        <v>32700</v>
      </c>
      <c r="B659" s="3631">
        <v>32750</v>
      </c>
      <c r="C659" s="3491">
        <v>0</v>
      </c>
      <c r="D659" s="3632">
        <v>1050</v>
      </c>
      <c r="E659" s="3633">
        <v>2511</v>
      </c>
      <c r="F659" s="3631">
        <v>3207</v>
      </c>
      <c r="G659" s="3491">
        <v>0</v>
      </c>
      <c r="H659" s="3633">
        <v>1937</v>
      </c>
      <c r="I659" s="3633">
        <v>3680</v>
      </c>
      <c r="J659" s="3631">
        <v>4376</v>
      </c>
    </row>
    <row r="660" spans="1:10" ht="13.5">
      <c r="A660" s="3632">
        <v>32750</v>
      </c>
      <c r="B660" s="3631">
        <v>32800</v>
      </c>
      <c r="C660" s="3491">
        <v>0</v>
      </c>
      <c r="D660" s="3632">
        <v>1042</v>
      </c>
      <c r="E660" s="3633">
        <v>2500</v>
      </c>
      <c r="F660" s="3631">
        <v>3197</v>
      </c>
      <c r="G660" s="3491">
        <v>0</v>
      </c>
      <c r="H660" s="3633">
        <v>1929</v>
      </c>
      <c r="I660" s="3633">
        <v>3669</v>
      </c>
      <c r="J660" s="3631">
        <v>4366</v>
      </c>
    </row>
    <row r="661" spans="1:10" ht="13.5">
      <c r="A661" s="3632">
        <v>32800</v>
      </c>
      <c r="B661" s="3631">
        <v>32850</v>
      </c>
      <c r="C661" s="3491">
        <v>0</v>
      </c>
      <c r="D661" s="3632">
        <v>1034</v>
      </c>
      <c r="E661" s="3633">
        <v>2490</v>
      </c>
      <c r="F661" s="3631">
        <v>3186</v>
      </c>
      <c r="G661" s="3491">
        <v>0</v>
      </c>
      <c r="H661" s="3633">
        <v>1921</v>
      </c>
      <c r="I661" s="3633">
        <v>3659</v>
      </c>
      <c r="J661" s="3631">
        <v>4355</v>
      </c>
    </row>
    <row r="662" spans="1:10" ht="13.5">
      <c r="A662" s="3632">
        <v>32850</v>
      </c>
      <c r="B662" s="3631">
        <v>32900</v>
      </c>
      <c r="C662" s="3491">
        <v>0</v>
      </c>
      <c r="D662" s="3632">
        <v>1026</v>
      </c>
      <c r="E662" s="3633">
        <v>2479</v>
      </c>
      <c r="F662" s="3631">
        <v>3176</v>
      </c>
      <c r="G662" s="3491">
        <v>0</v>
      </c>
      <c r="H662" s="3633">
        <v>1913</v>
      </c>
      <c r="I662" s="3633">
        <v>3648</v>
      </c>
      <c r="J662" s="3631">
        <v>4345</v>
      </c>
    </row>
    <row r="663" spans="1:10" ht="13.5">
      <c r="A663" s="3632">
        <v>32900</v>
      </c>
      <c r="B663" s="3631">
        <v>32950</v>
      </c>
      <c r="C663" s="3491">
        <v>0</v>
      </c>
      <c r="D663" s="3632">
        <v>1018</v>
      </c>
      <c r="E663" s="3633">
        <v>2469</v>
      </c>
      <c r="F663" s="3631">
        <v>3165</v>
      </c>
      <c r="G663" s="3491">
        <v>0</v>
      </c>
      <c r="H663" s="3633">
        <v>1905</v>
      </c>
      <c r="I663" s="3633">
        <v>3638</v>
      </c>
      <c r="J663" s="3631">
        <v>4334</v>
      </c>
    </row>
    <row r="664" spans="1:10" ht="13.5">
      <c r="A664" s="3632">
        <v>32950</v>
      </c>
      <c r="B664" s="3631">
        <v>33000</v>
      </c>
      <c r="C664" s="3491">
        <v>0</v>
      </c>
      <c r="D664" s="3632">
        <v>1010</v>
      </c>
      <c r="E664" s="3633">
        <v>2458</v>
      </c>
      <c r="F664" s="3631">
        <v>3155</v>
      </c>
      <c r="G664" s="3491">
        <v>0</v>
      </c>
      <c r="H664" s="3633">
        <v>1897</v>
      </c>
      <c r="I664" s="3633">
        <v>3627</v>
      </c>
      <c r="J664" s="3631">
        <v>4324</v>
      </c>
    </row>
    <row r="665" spans="1:10" ht="13.5">
      <c r="A665" s="3632">
        <v>33000</v>
      </c>
      <c r="B665" s="3631">
        <v>33050</v>
      </c>
      <c r="C665" s="3491">
        <v>0</v>
      </c>
      <c r="D665" s="3632">
        <v>1002</v>
      </c>
      <c r="E665" s="3633">
        <v>2448</v>
      </c>
      <c r="F665" s="3631">
        <v>3144</v>
      </c>
      <c r="G665" s="3491">
        <v>0</v>
      </c>
      <c r="H665" s="3633">
        <v>1889</v>
      </c>
      <c r="I665" s="3633">
        <v>3617</v>
      </c>
      <c r="J665" s="3631">
        <v>4313</v>
      </c>
    </row>
    <row r="666" spans="1:10" ht="13.5">
      <c r="A666" s="3632">
        <v>33050</v>
      </c>
      <c r="B666" s="3631">
        <v>33100</v>
      </c>
      <c r="C666" s="3491">
        <v>0</v>
      </c>
      <c r="D666" s="3491">
        <v>994</v>
      </c>
      <c r="E666" s="3633">
        <v>2437</v>
      </c>
      <c r="F666" s="3631">
        <v>3134</v>
      </c>
      <c r="G666" s="3491">
        <v>0</v>
      </c>
      <c r="H666" s="3633">
        <v>1881</v>
      </c>
      <c r="I666" s="3633">
        <v>3606</v>
      </c>
      <c r="J666" s="3631">
        <v>4303</v>
      </c>
    </row>
    <row r="667" spans="1:10" ht="13.5">
      <c r="A667" s="3632">
        <v>33100</v>
      </c>
      <c r="B667" s="3631">
        <v>33150</v>
      </c>
      <c r="C667" s="3491">
        <v>0</v>
      </c>
      <c r="D667" s="3491">
        <v>986</v>
      </c>
      <c r="E667" s="3633">
        <v>2427</v>
      </c>
      <c r="F667" s="3631">
        <v>3123</v>
      </c>
      <c r="G667" s="3491">
        <v>0</v>
      </c>
      <c r="H667" s="3633">
        <v>1873</v>
      </c>
      <c r="I667" s="3633">
        <v>3596</v>
      </c>
      <c r="J667" s="3631">
        <v>4292</v>
      </c>
    </row>
    <row r="668" spans="1:10" ht="13.5">
      <c r="A668" s="3632">
        <v>33150</v>
      </c>
      <c r="B668" s="3631">
        <v>33200</v>
      </c>
      <c r="C668" s="3491">
        <v>0</v>
      </c>
      <c r="D668" s="3491">
        <v>978</v>
      </c>
      <c r="E668" s="3633">
        <v>2416</v>
      </c>
      <c r="F668" s="3631">
        <v>3113</v>
      </c>
      <c r="G668" s="3491">
        <v>0</v>
      </c>
      <c r="H668" s="3633">
        <v>1865</v>
      </c>
      <c r="I668" s="3633">
        <v>3585</v>
      </c>
      <c r="J668" s="3631">
        <v>4281</v>
      </c>
    </row>
    <row r="669" spans="1:10" ht="13.5">
      <c r="A669" s="3632">
        <v>33200</v>
      </c>
      <c r="B669" s="3631">
        <v>33250</v>
      </c>
      <c r="C669" s="3491">
        <v>0</v>
      </c>
      <c r="D669" s="3491">
        <v>970</v>
      </c>
      <c r="E669" s="3633">
        <v>2406</v>
      </c>
      <c r="F669" s="3631">
        <v>3102</v>
      </c>
      <c r="G669" s="3491">
        <v>0</v>
      </c>
      <c r="H669" s="3633">
        <v>1857</v>
      </c>
      <c r="I669" s="3633">
        <v>3574</v>
      </c>
      <c r="J669" s="3631">
        <v>4271</v>
      </c>
    </row>
    <row r="670" spans="1:10" ht="13.5">
      <c r="A670" s="3632">
        <v>33250</v>
      </c>
      <c r="B670" s="3631">
        <v>33300</v>
      </c>
      <c r="C670" s="3491">
        <v>0</v>
      </c>
      <c r="D670" s="3491">
        <v>962</v>
      </c>
      <c r="E670" s="3633">
        <v>2395</v>
      </c>
      <c r="F670" s="3631">
        <v>3092</v>
      </c>
      <c r="G670" s="3491">
        <v>0</v>
      </c>
      <c r="H670" s="3633">
        <v>1849</v>
      </c>
      <c r="I670" s="3633">
        <v>3564</v>
      </c>
      <c r="J670" s="3631">
        <v>4260</v>
      </c>
    </row>
    <row r="671" spans="1:10" ht="13.5">
      <c r="A671" s="3632">
        <v>33300</v>
      </c>
      <c r="B671" s="3631">
        <v>33350</v>
      </c>
      <c r="C671" s="3491">
        <v>0</v>
      </c>
      <c r="D671" s="3491">
        <v>954</v>
      </c>
      <c r="E671" s="3633">
        <v>2385</v>
      </c>
      <c r="F671" s="3631">
        <v>3081</v>
      </c>
      <c r="G671" s="3491">
        <v>0</v>
      </c>
      <c r="H671" s="3633">
        <v>1841</v>
      </c>
      <c r="I671" s="3633">
        <v>3553</v>
      </c>
      <c r="J671" s="3631">
        <v>4250</v>
      </c>
    </row>
    <row r="672" spans="1:10" ht="13.5">
      <c r="A672" s="3632">
        <v>33350</v>
      </c>
      <c r="B672" s="3631">
        <v>33400</v>
      </c>
      <c r="C672" s="3491">
        <v>0</v>
      </c>
      <c r="D672" s="3491">
        <v>946</v>
      </c>
      <c r="E672" s="3633">
        <v>2374</v>
      </c>
      <c r="F672" s="3631">
        <v>3071</v>
      </c>
      <c r="G672" s="3491">
        <v>0</v>
      </c>
      <c r="H672" s="3633">
        <v>1833</v>
      </c>
      <c r="I672" s="3633">
        <v>3543</v>
      </c>
      <c r="J672" s="3631">
        <v>4239</v>
      </c>
    </row>
    <row r="673" spans="1:10" ht="13.5">
      <c r="A673" s="3632">
        <v>33400</v>
      </c>
      <c r="B673" s="3631">
        <v>33450</v>
      </c>
      <c r="C673" s="3491">
        <v>0</v>
      </c>
      <c r="D673" s="3491">
        <v>938</v>
      </c>
      <c r="E673" s="3633">
        <v>2364</v>
      </c>
      <c r="F673" s="3631">
        <v>3060</v>
      </c>
      <c r="G673" s="3491">
        <v>0</v>
      </c>
      <c r="H673" s="3633">
        <v>1825</v>
      </c>
      <c r="I673" s="3633">
        <v>3532</v>
      </c>
      <c r="J673" s="3631">
        <v>4229</v>
      </c>
    </row>
    <row r="674" spans="1:10" ht="13.5">
      <c r="A674" s="3632">
        <v>33450</v>
      </c>
      <c r="B674" s="3631">
        <v>33500</v>
      </c>
      <c r="C674" s="3491">
        <v>0</v>
      </c>
      <c r="D674" s="3491">
        <v>930</v>
      </c>
      <c r="E674" s="3633">
        <v>2353</v>
      </c>
      <c r="F674" s="3631">
        <v>3049</v>
      </c>
      <c r="G674" s="3491">
        <v>0</v>
      </c>
      <c r="H674" s="3633">
        <v>1817</v>
      </c>
      <c r="I674" s="3633">
        <v>3522</v>
      </c>
      <c r="J674" s="3631">
        <v>4218</v>
      </c>
    </row>
    <row r="675" spans="1:10" ht="13.5">
      <c r="A675" s="3632">
        <v>33500</v>
      </c>
      <c r="B675" s="3631">
        <v>33550</v>
      </c>
      <c r="C675" s="3491">
        <v>0</v>
      </c>
      <c r="D675" s="3491">
        <v>922</v>
      </c>
      <c r="E675" s="3633">
        <v>2342</v>
      </c>
      <c r="F675" s="3631">
        <v>3039</v>
      </c>
      <c r="G675" s="3491">
        <v>0</v>
      </c>
      <c r="H675" s="3633">
        <v>1809</v>
      </c>
      <c r="I675" s="3633">
        <v>3511</v>
      </c>
      <c r="J675" s="3631">
        <v>4208</v>
      </c>
    </row>
    <row r="676" spans="1:10" ht="13.5">
      <c r="A676" s="3632">
        <v>33550</v>
      </c>
      <c r="B676" s="3631">
        <v>33600</v>
      </c>
      <c r="C676" s="3491">
        <v>0</v>
      </c>
      <c r="D676" s="3491">
        <v>914</v>
      </c>
      <c r="E676" s="3633">
        <v>2332</v>
      </c>
      <c r="F676" s="3631">
        <v>3028</v>
      </c>
      <c r="G676" s="3491">
        <v>0</v>
      </c>
      <c r="H676" s="3633">
        <v>1801</v>
      </c>
      <c r="I676" s="3633">
        <v>3501</v>
      </c>
      <c r="J676" s="3631">
        <v>4197</v>
      </c>
    </row>
    <row r="677" spans="1:10" ht="13.5">
      <c r="A677" s="3632">
        <v>33600</v>
      </c>
      <c r="B677" s="3631">
        <v>33650</v>
      </c>
      <c r="C677" s="3491">
        <v>0</v>
      </c>
      <c r="D677" s="3491">
        <v>906</v>
      </c>
      <c r="E677" s="3633">
        <v>2321</v>
      </c>
      <c r="F677" s="3631">
        <v>3018</v>
      </c>
      <c r="G677" s="3491">
        <v>0</v>
      </c>
      <c r="H677" s="3633">
        <v>1793</v>
      </c>
      <c r="I677" s="3633">
        <v>3490</v>
      </c>
      <c r="J677" s="3631">
        <v>4187</v>
      </c>
    </row>
    <row r="678" spans="1:10" ht="13.5">
      <c r="A678" s="3632">
        <v>33650</v>
      </c>
      <c r="B678" s="3631">
        <v>33700</v>
      </c>
      <c r="C678" s="3491">
        <v>0</v>
      </c>
      <c r="D678" s="3491">
        <v>898</v>
      </c>
      <c r="E678" s="3633">
        <v>2311</v>
      </c>
      <c r="F678" s="3631">
        <v>3007</v>
      </c>
      <c r="G678" s="3491">
        <v>0</v>
      </c>
      <c r="H678" s="3633">
        <v>1785</v>
      </c>
      <c r="I678" s="3633">
        <v>3480</v>
      </c>
      <c r="J678" s="3631">
        <v>4176</v>
      </c>
    </row>
    <row r="679" spans="1:10" ht="13.5">
      <c r="A679" s="3632">
        <v>33700</v>
      </c>
      <c r="B679" s="3631">
        <v>33750</v>
      </c>
      <c r="C679" s="3491">
        <v>0</v>
      </c>
      <c r="D679" s="3491">
        <v>890</v>
      </c>
      <c r="E679" s="3633">
        <v>2300</v>
      </c>
      <c r="F679" s="3631">
        <v>2997</v>
      </c>
      <c r="G679" s="3491">
        <v>0</v>
      </c>
      <c r="H679" s="3633">
        <v>1777</v>
      </c>
      <c r="I679" s="3633">
        <v>3469</v>
      </c>
      <c r="J679" s="3631">
        <v>4166</v>
      </c>
    </row>
    <row r="680" spans="1:10" ht="13.5">
      <c r="A680" s="3632">
        <v>33750</v>
      </c>
      <c r="B680" s="3631">
        <v>33800</v>
      </c>
      <c r="C680" s="3491">
        <v>0</v>
      </c>
      <c r="D680" s="3491">
        <v>882</v>
      </c>
      <c r="E680" s="3633">
        <v>2290</v>
      </c>
      <c r="F680" s="3631">
        <v>2986</v>
      </c>
      <c r="G680" s="3491">
        <v>0</v>
      </c>
      <c r="H680" s="3633">
        <v>1769</v>
      </c>
      <c r="I680" s="3633">
        <v>3459</v>
      </c>
      <c r="J680" s="3631">
        <v>4155</v>
      </c>
    </row>
    <row r="681" spans="1:10" ht="13.5">
      <c r="A681" s="3632">
        <v>33800</v>
      </c>
      <c r="B681" s="3631">
        <v>33850</v>
      </c>
      <c r="C681" s="3491">
        <v>0</v>
      </c>
      <c r="D681" s="3491">
        <v>874</v>
      </c>
      <c r="E681" s="3633">
        <v>2279</v>
      </c>
      <c r="F681" s="3631">
        <v>2976</v>
      </c>
      <c r="G681" s="3491">
        <v>0</v>
      </c>
      <c r="H681" s="3633">
        <v>1761</v>
      </c>
      <c r="I681" s="3633">
        <v>3448</v>
      </c>
      <c r="J681" s="3631">
        <v>4145</v>
      </c>
    </row>
    <row r="682" spans="1:10" ht="13.5">
      <c r="A682" s="3632">
        <v>33850</v>
      </c>
      <c r="B682" s="3631">
        <v>33900</v>
      </c>
      <c r="C682" s="3491">
        <v>0</v>
      </c>
      <c r="D682" s="3491">
        <v>866</v>
      </c>
      <c r="E682" s="3633">
        <v>2269</v>
      </c>
      <c r="F682" s="3631">
        <v>2965</v>
      </c>
      <c r="G682" s="3491">
        <v>0</v>
      </c>
      <c r="H682" s="3633">
        <v>1753</v>
      </c>
      <c r="I682" s="3633">
        <v>3438</v>
      </c>
      <c r="J682" s="3631">
        <v>4134</v>
      </c>
    </row>
    <row r="683" spans="1:10" ht="13.5">
      <c r="A683" s="3632">
        <v>33900</v>
      </c>
      <c r="B683" s="3631">
        <v>33950</v>
      </c>
      <c r="C683" s="3491">
        <v>0</v>
      </c>
      <c r="D683" s="3491">
        <v>858</v>
      </c>
      <c r="E683" s="3633">
        <v>2258</v>
      </c>
      <c r="F683" s="3631">
        <v>2955</v>
      </c>
      <c r="G683" s="3491">
        <v>0</v>
      </c>
      <c r="H683" s="3633">
        <v>1745</v>
      </c>
      <c r="I683" s="3633">
        <v>3427</v>
      </c>
      <c r="J683" s="3631">
        <v>4124</v>
      </c>
    </row>
    <row r="684" spans="1:10" ht="13.5">
      <c r="A684" s="3632">
        <v>33950</v>
      </c>
      <c r="B684" s="3631">
        <v>34000</v>
      </c>
      <c r="C684" s="3491">
        <v>0</v>
      </c>
      <c r="D684" s="3491">
        <v>850</v>
      </c>
      <c r="E684" s="3633">
        <v>2248</v>
      </c>
      <c r="F684" s="3631">
        <v>2944</v>
      </c>
      <c r="G684" s="3491">
        <v>0</v>
      </c>
      <c r="H684" s="3633">
        <v>1737</v>
      </c>
      <c r="I684" s="3633">
        <v>3417</v>
      </c>
      <c r="J684" s="3631">
        <v>4113</v>
      </c>
    </row>
    <row r="685" spans="1:10" ht="13.5">
      <c r="A685" s="3632">
        <v>34000</v>
      </c>
      <c r="B685" s="3631">
        <v>34050</v>
      </c>
      <c r="C685" s="3491">
        <v>0</v>
      </c>
      <c r="D685" s="3491">
        <v>842</v>
      </c>
      <c r="E685" s="3633">
        <v>2237</v>
      </c>
      <c r="F685" s="3631">
        <v>2934</v>
      </c>
      <c r="G685" s="3491">
        <v>0</v>
      </c>
      <c r="H685" s="3633">
        <v>1729</v>
      </c>
      <c r="I685" s="3633">
        <v>3406</v>
      </c>
      <c r="J685" s="3631">
        <v>4102</v>
      </c>
    </row>
    <row r="686" spans="1:10" ht="13.5">
      <c r="A686" s="3632">
        <v>34050</v>
      </c>
      <c r="B686" s="3631">
        <v>34100</v>
      </c>
      <c r="C686" s="3491">
        <v>0</v>
      </c>
      <c r="D686" s="3491">
        <v>834</v>
      </c>
      <c r="E686" s="3633">
        <v>2227</v>
      </c>
      <c r="F686" s="3631">
        <v>2923</v>
      </c>
      <c r="G686" s="3491">
        <v>0</v>
      </c>
      <c r="H686" s="3633">
        <v>1721</v>
      </c>
      <c r="I686" s="3633">
        <v>3395</v>
      </c>
      <c r="J686" s="3631">
        <v>4092</v>
      </c>
    </row>
    <row r="687" spans="1:10" ht="13.5">
      <c r="A687" s="3632">
        <v>34100</v>
      </c>
      <c r="B687" s="3631">
        <v>34150</v>
      </c>
      <c r="C687" s="3491">
        <v>0</v>
      </c>
      <c r="D687" s="3491">
        <v>826</v>
      </c>
      <c r="E687" s="3633">
        <v>2216</v>
      </c>
      <c r="F687" s="3631">
        <v>2913</v>
      </c>
      <c r="G687" s="3491">
        <v>0</v>
      </c>
      <c r="H687" s="3633">
        <v>1713</v>
      </c>
      <c r="I687" s="3633">
        <v>3385</v>
      </c>
      <c r="J687" s="3631">
        <v>4081</v>
      </c>
    </row>
    <row r="688" spans="1:10" ht="13.5">
      <c r="A688" s="3632">
        <v>34150</v>
      </c>
      <c r="B688" s="3631">
        <v>34200</v>
      </c>
      <c r="C688" s="3491">
        <v>0</v>
      </c>
      <c r="D688" s="3491">
        <v>818</v>
      </c>
      <c r="E688" s="3633">
        <v>2206</v>
      </c>
      <c r="F688" s="3631">
        <v>2902</v>
      </c>
      <c r="G688" s="3491">
        <v>0</v>
      </c>
      <c r="H688" s="3633">
        <v>1705</v>
      </c>
      <c r="I688" s="3633">
        <v>3374</v>
      </c>
      <c r="J688" s="3631">
        <v>4071</v>
      </c>
    </row>
    <row r="689" spans="1:10" ht="13.5">
      <c r="A689" s="3632">
        <v>34200</v>
      </c>
      <c r="B689" s="3631">
        <v>34250</v>
      </c>
      <c r="C689" s="3491">
        <v>0</v>
      </c>
      <c r="D689" s="3491">
        <v>810</v>
      </c>
      <c r="E689" s="3633">
        <v>2195</v>
      </c>
      <c r="F689" s="3631">
        <v>2892</v>
      </c>
      <c r="G689" s="3491">
        <v>0</v>
      </c>
      <c r="H689" s="3633">
        <v>1697</v>
      </c>
      <c r="I689" s="3633">
        <v>3364</v>
      </c>
      <c r="J689" s="3631">
        <v>4060</v>
      </c>
    </row>
    <row r="690" spans="1:10" ht="13.5">
      <c r="A690" s="3632">
        <v>34250</v>
      </c>
      <c r="B690" s="3631">
        <v>34300</v>
      </c>
      <c r="C690" s="3491">
        <v>0</v>
      </c>
      <c r="D690" s="3491">
        <v>802</v>
      </c>
      <c r="E690" s="3633">
        <v>2184</v>
      </c>
      <c r="F690" s="3631">
        <v>2881</v>
      </c>
      <c r="G690" s="3491">
        <v>0</v>
      </c>
      <c r="H690" s="3633">
        <v>1689</v>
      </c>
      <c r="I690" s="3633">
        <v>3353</v>
      </c>
      <c r="J690" s="3631">
        <v>4050</v>
      </c>
    </row>
    <row r="691" spans="1:10" ht="13.5">
      <c r="A691" s="3632">
        <v>34300</v>
      </c>
      <c r="B691" s="3631">
        <v>34350</v>
      </c>
      <c r="C691" s="3491">
        <v>0</v>
      </c>
      <c r="D691" s="3491">
        <v>794</v>
      </c>
      <c r="E691" s="3633">
        <v>2174</v>
      </c>
      <c r="F691" s="3631">
        <v>2870</v>
      </c>
      <c r="G691" s="3491">
        <v>0</v>
      </c>
      <c r="H691" s="3633">
        <v>1681</v>
      </c>
      <c r="I691" s="3633">
        <v>3343</v>
      </c>
      <c r="J691" s="3631">
        <v>4039</v>
      </c>
    </row>
    <row r="692" spans="1:10" ht="13.5">
      <c r="A692" s="3632">
        <v>34350</v>
      </c>
      <c r="B692" s="3631">
        <v>34400</v>
      </c>
      <c r="C692" s="3491">
        <v>0</v>
      </c>
      <c r="D692" s="3491">
        <v>786</v>
      </c>
      <c r="E692" s="3633">
        <v>2163</v>
      </c>
      <c r="F692" s="3631">
        <v>2860</v>
      </c>
      <c r="G692" s="3491">
        <v>0</v>
      </c>
      <c r="H692" s="3633">
        <v>1673</v>
      </c>
      <c r="I692" s="3633">
        <v>3332</v>
      </c>
      <c r="J692" s="3631">
        <v>4029</v>
      </c>
    </row>
    <row r="693" spans="1:10" ht="13.5">
      <c r="A693" s="3632">
        <v>34400</v>
      </c>
      <c r="B693" s="3631">
        <v>34450</v>
      </c>
      <c r="C693" s="3491">
        <v>0</v>
      </c>
      <c r="D693" s="3491">
        <v>778</v>
      </c>
      <c r="E693" s="3633">
        <v>2153</v>
      </c>
      <c r="F693" s="3631">
        <v>2849</v>
      </c>
      <c r="G693" s="3491">
        <v>0</v>
      </c>
      <c r="H693" s="3633">
        <v>1665</v>
      </c>
      <c r="I693" s="3633">
        <v>3322</v>
      </c>
      <c r="J693" s="3631">
        <v>4018</v>
      </c>
    </row>
    <row r="694" spans="1:10" ht="13.5">
      <c r="A694" s="3632">
        <v>34450</v>
      </c>
      <c r="B694" s="3631">
        <v>34500</v>
      </c>
      <c r="C694" s="3491">
        <v>0</v>
      </c>
      <c r="D694" s="3491">
        <v>770</v>
      </c>
      <c r="E694" s="3633">
        <v>2142</v>
      </c>
      <c r="F694" s="3631">
        <v>2839</v>
      </c>
      <c r="G694" s="3491">
        <v>0</v>
      </c>
      <c r="H694" s="3633">
        <v>1657</v>
      </c>
      <c r="I694" s="3633">
        <v>3311</v>
      </c>
      <c r="J694" s="3631">
        <v>4008</v>
      </c>
    </row>
    <row r="695" spans="1:10" ht="13.5">
      <c r="A695" s="3632">
        <v>34500</v>
      </c>
      <c r="B695" s="3631">
        <v>34550</v>
      </c>
      <c r="C695" s="3491">
        <v>0</v>
      </c>
      <c r="D695" s="3491">
        <v>762</v>
      </c>
      <c r="E695" s="3633">
        <v>2132</v>
      </c>
      <c r="F695" s="3631">
        <v>2828</v>
      </c>
      <c r="G695" s="3491">
        <v>0</v>
      </c>
      <c r="H695" s="3633">
        <v>1649</v>
      </c>
      <c r="I695" s="3633">
        <v>3301</v>
      </c>
      <c r="J695" s="3631">
        <v>3997</v>
      </c>
    </row>
    <row r="696" spans="1:10" ht="13.5">
      <c r="A696" s="3632">
        <v>34550</v>
      </c>
      <c r="B696" s="3631">
        <v>34600</v>
      </c>
      <c r="C696" s="3491">
        <v>0</v>
      </c>
      <c r="D696" s="3491">
        <v>754</v>
      </c>
      <c r="E696" s="3633">
        <v>2121</v>
      </c>
      <c r="F696" s="3631">
        <v>2818</v>
      </c>
      <c r="G696" s="3491">
        <v>0</v>
      </c>
      <c r="H696" s="3633">
        <v>1641</v>
      </c>
      <c r="I696" s="3633">
        <v>3290</v>
      </c>
      <c r="J696" s="3631">
        <v>3987</v>
      </c>
    </row>
    <row r="697" spans="1:10" ht="13.5">
      <c r="A697" s="3632">
        <v>34600</v>
      </c>
      <c r="B697" s="3631">
        <v>34650</v>
      </c>
      <c r="C697" s="3491">
        <v>0</v>
      </c>
      <c r="D697" s="3491">
        <v>746</v>
      </c>
      <c r="E697" s="3633">
        <v>2111</v>
      </c>
      <c r="F697" s="3631">
        <v>2807</v>
      </c>
      <c r="G697" s="3491">
        <v>0</v>
      </c>
      <c r="H697" s="3633">
        <v>1633</v>
      </c>
      <c r="I697" s="3633">
        <v>3280</v>
      </c>
      <c r="J697" s="3631">
        <v>3976</v>
      </c>
    </row>
    <row r="698" spans="1:10" ht="13.5">
      <c r="A698" s="3632">
        <v>34650</v>
      </c>
      <c r="B698" s="3631">
        <v>34700</v>
      </c>
      <c r="C698" s="3491">
        <v>0</v>
      </c>
      <c r="D698" s="3491">
        <v>738</v>
      </c>
      <c r="E698" s="3633">
        <v>2100</v>
      </c>
      <c r="F698" s="3631">
        <v>2797</v>
      </c>
      <c r="G698" s="3491">
        <v>0</v>
      </c>
      <c r="H698" s="3633">
        <v>1625</v>
      </c>
      <c r="I698" s="3633">
        <v>3269</v>
      </c>
      <c r="J698" s="3631">
        <v>3966</v>
      </c>
    </row>
    <row r="699" spans="1:10" ht="13.5">
      <c r="A699" s="3632">
        <v>34700</v>
      </c>
      <c r="B699" s="3631">
        <v>34750</v>
      </c>
      <c r="C699" s="3491">
        <v>0</v>
      </c>
      <c r="D699" s="3491">
        <v>731</v>
      </c>
      <c r="E699" s="3633">
        <v>2090</v>
      </c>
      <c r="F699" s="3631">
        <v>2786</v>
      </c>
      <c r="G699" s="3491">
        <v>0</v>
      </c>
      <c r="H699" s="3633">
        <v>1617</v>
      </c>
      <c r="I699" s="3633">
        <v>3259</v>
      </c>
      <c r="J699" s="3631">
        <v>3955</v>
      </c>
    </row>
    <row r="700" spans="1:10" ht="13.5">
      <c r="A700" s="3632">
        <v>34750</v>
      </c>
      <c r="B700" s="3631">
        <v>34800</v>
      </c>
      <c r="C700" s="3491">
        <v>0</v>
      </c>
      <c r="D700" s="3491">
        <v>723</v>
      </c>
      <c r="E700" s="3633">
        <v>2079</v>
      </c>
      <c r="F700" s="3631">
        <v>2776</v>
      </c>
      <c r="G700" s="3491">
        <v>0</v>
      </c>
      <c r="H700" s="3633">
        <v>1609</v>
      </c>
      <c r="I700" s="3633">
        <v>3248</v>
      </c>
      <c r="J700" s="3631">
        <v>3945</v>
      </c>
    </row>
    <row r="701" spans="1:10" ht="13.5">
      <c r="A701" s="3632">
        <v>34800</v>
      </c>
      <c r="B701" s="3631">
        <v>34850</v>
      </c>
      <c r="C701" s="3491">
        <v>0</v>
      </c>
      <c r="D701" s="3491">
        <v>715</v>
      </c>
      <c r="E701" s="3633">
        <v>2069</v>
      </c>
      <c r="F701" s="3631">
        <v>2765</v>
      </c>
      <c r="G701" s="3491">
        <v>0</v>
      </c>
      <c r="H701" s="3633">
        <v>1601</v>
      </c>
      <c r="I701" s="3633">
        <v>3237</v>
      </c>
      <c r="J701" s="3631">
        <v>3934</v>
      </c>
    </row>
    <row r="702" spans="1:10" ht="13.5">
      <c r="A702" s="3632">
        <v>34850</v>
      </c>
      <c r="B702" s="3631">
        <v>34900</v>
      </c>
      <c r="C702" s="3491">
        <v>0</v>
      </c>
      <c r="D702" s="3491">
        <v>707</v>
      </c>
      <c r="E702" s="3633">
        <v>2058</v>
      </c>
      <c r="F702" s="3631">
        <v>2755</v>
      </c>
      <c r="G702" s="3491">
        <v>0</v>
      </c>
      <c r="H702" s="3633">
        <v>1593</v>
      </c>
      <c r="I702" s="3633">
        <v>3227</v>
      </c>
      <c r="J702" s="3631">
        <v>3923</v>
      </c>
    </row>
    <row r="703" spans="1:10" ht="13.5">
      <c r="A703" s="3632">
        <v>34900</v>
      </c>
      <c r="B703" s="3631">
        <v>34950</v>
      </c>
      <c r="C703" s="3491">
        <v>0</v>
      </c>
      <c r="D703" s="3491">
        <v>699</v>
      </c>
      <c r="E703" s="3633">
        <v>2048</v>
      </c>
      <c r="F703" s="3631">
        <v>2744</v>
      </c>
      <c r="G703" s="3491">
        <v>0</v>
      </c>
      <c r="H703" s="3633">
        <v>1585</v>
      </c>
      <c r="I703" s="3633">
        <v>3216</v>
      </c>
      <c r="J703" s="3631">
        <v>3913</v>
      </c>
    </row>
    <row r="704" spans="1:10" ht="13.5">
      <c r="A704" s="3632">
        <v>34950</v>
      </c>
      <c r="B704" s="3631">
        <v>35000</v>
      </c>
      <c r="C704" s="3491">
        <v>0</v>
      </c>
      <c r="D704" s="3491">
        <v>691</v>
      </c>
      <c r="E704" s="3633">
        <v>2037</v>
      </c>
      <c r="F704" s="3631">
        <v>2734</v>
      </c>
      <c r="G704" s="3491">
        <v>0</v>
      </c>
      <c r="H704" s="3633">
        <v>1577</v>
      </c>
      <c r="I704" s="3633">
        <v>3206</v>
      </c>
      <c r="J704" s="3631">
        <v>3902</v>
      </c>
    </row>
    <row r="705" spans="1:10" ht="13.5">
      <c r="A705" s="3632">
        <v>35000</v>
      </c>
      <c r="B705" s="3631">
        <v>35050</v>
      </c>
      <c r="C705" s="3491">
        <v>0</v>
      </c>
      <c r="D705" s="3491">
        <v>683</v>
      </c>
      <c r="E705" s="3633">
        <v>2027</v>
      </c>
      <c r="F705" s="3631">
        <v>2723</v>
      </c>
      <c r="G705" s="3491">
        <v>0</v>
      </c>
      <c r="H705" s="3633">
        <v>1569</v>
      </c>
      <c r="I705" s="3633">
        <v>3195</v>
      </c>
      <c r="J705" s="3631">
        <v>3892</v>
      </c>
    </row>
    <row r="706" spans="1:10" ht="13.5">
      <c r="A706" s="3632">
        <v>35050</v>
      </c>
      <c r="B706" s="3631">
        <v>35100</v>
      </c>
      <c r="C706" s="3491">
        <v>0</v>
      </c>
      <c r="D706" s="3491">
        <v>675</v>
      </c>
      <c r="E706" s="3633">
        <v>2016</v>
      </c>
      <c r="F706" s="3631">
        <v>2713</v>
      </c>
      <c r="G706" s="3491">
        <v>0</v>
      </c>
      <c r="H706" s="3633">
        <v>1561</v>
      </c>
      <c r="I706" s="3633">
        <v>3185</v>
      </c>
      <c r="J706" s="3631">
        <v>3881</v>
      </c>
    </row>
    <row r="707" spans="1:10" ht="13.5">
      <c r="A707" s="3632">
        <v>35100</v>
      </c>
      <c r="B707" s="3631">
        <v>35150</v>
      </c>
      <c r="C707" s="3491">
        <v>0</v>
      </c>
      <c r="D707" s="3491">
        <v>667</v>
      </c>
      <c r="E707" s="3633">
        <v>2005</v>
      </c>
      <c r="F707" s="3631">
        <v>2702</v>
      </c>
      <c r="G707" s="3491">
        <v>0</v>
      </c>
      <c r="H707" s="3633">
        <v>1553</v>
      </c>
      <c r="I707" s="3633">
        <v>3174</v>
      </c>
      <c r="J707" s="3631">
        <v>3871</v>
      </c>
    </row>
    <row r="708" spans="1:10" ht="13.5">
      <c r="A708" s="3632">
        <v>35150</v>
      </c>
      <c r="B708" s="3631">
        <v>35200</v>
      </c>
      <c r="C708" s="3491">
        <v>0</v>
      </c>
      <c r="D708" s="3491">
        <v>659</v>
      </c>
      <c r="E708" s="3633">
        <v>1995</v>
      </c>
      <c r="F708" s="3631">
        <v>2691</v>
      </c>
      <c r="G708" s="3491">
        <v>0</v>
      </c>
      <c r="H708" s="3633">
        <v>1545</v>
      </c>
      <c r="I708" s="3633">
        <v>3164</v>
      </c>
      <c r="J708" s="3631">
        <v>3860</v>
      </c>
    </row>
    <row r="709" spans="1:10" ht="13.5">
      <c r="A709" s="3632">
        <v>35200</v>
      </c>
      <c r="B709" s="3631">
        <v>35250</v>
      </c>
      <c r="C709" s="3491">
        <v>0</v>
      </c>
      <c r="D709" s="3491">
        <v>651</v>
      </c>
      <c r="E709" s="3633">
        <v>1984</v>
      </c>
      <c r="F709" s="3631">
        <v>2681</v>
      </c>
      <c r="G709" s="3491">
        <v>0</v>
      </c>
      <c r="H709" s="3633">
        <v>1537</v>
      </c>
      <c r="I709" s="3633">
        <v>3153</v>
      </c>
      <c r="J709" s="3631">
        <v>3850</v>
      </c>
    </row>
    <row r="710" spans="1:10" ht="13.5">
      <c r="A710" s="3632">
        <v>35250</v>
      </c>
      <c r="B710" s="3631">
        <v>35300</v>
      </c>
      <c r="C710" s="3491">
        <v>0</v>
      </c>
      <c r="D710" s="3491">
        <v>643</v>
      </c>
      <c r="E710" s="3633">
        <v>1974</v>
      </c>
      <c r="F710" s="3631">
        <v>2670</v>
      </c>
      <c r="G710" s="3491">
        <v>0</v>
      </c>
      <c r="H710" s="3633">
        <v>1530</v>
      </c>
      <c r="I710" s="3633">
        <v>3143</v>
      </c>
      <c r="J710" s="3631">
        <v>3839</v>
      </c>
    </row>
    <row r="711" spans="1:10" ht="13.5">
      <c r="A711" s="3632">
        <v>35300</v>
      </c>
      <c r="B711" s="3631">
        <v>35350</v>
      </c>
      <c r="C711" s="3491">
        <v>0</v>
      </c>
      <c r="D711" s="3491">
        <v>635</v>
      </c>
      <c r="E711" s="3633">
        <v>1963</v>
      </c>
      <c r="F711" s="3631">
        <v>2660</v>
      </c>
      <c r="G711" s="3491">
        <v>0</v>
      </c>
      <c r="H711" s="3633">
        <v>1522</v>
      </c>
      <c r="I711" s="3633">
        <v>3132</v>
      </c>
      <c r="J711" s="3631">
        <v>3829</v>
      </c>
    </row>
    <row r="712" spans="1:10" ht="13.5">
      <c r="A712" s="3632">
        <v>35350</v>
      </c>
      <c r="B712" s="3631">
        <v>35400</v>
      </c>
      <c r="C712" s="3491">
        <v>0</v>
      </c>
      <c r="D712" s="3491">
        <v>627</v>
      </c>
      <c r="E712" s="3633">
        <v>1953</v>
      </c>
      <c r="F712" s="3631">
        <v>2649</v>
      </c>
      <c r="G712" s="3491">
        <v>0</v>
      </c>
      <c r="H712" s="3633">
        <v>1514</v>
      </c>
      <c r="I712" s="3633">
        <v>3122</v>
      </c>
      <c r="J712" s="3631">
        <v>3818</v>
      </c>
    </row>
    <row r="713" spans="1:10" ht="13.5">
      <c r="A713" s="3632">
        <v>35400</v>
      </c>
      <c r="B713" s="3631">
        <v>35450</v>
      </c>
      <c r="C713" s="3491">
        <v>0</v>
      </c>
      <c r="D713" s="3491">
        <v>619</v>
      </c>
      <c r="E713" s="3633">
        <v>1942</v>
      </c>
      <c r="F713" s="3631">
        <v>2639</v>
      </c>
      <c r="G713" s="3491">
        <v>0</v>
      </c>
      <c r="H713" s="3633">
        <v>1506</v>
      </c>
      <c r="I713" s="3633">
        <v>3111</v>
      </c>
      <c r="J713" s="3631">
        <v>3808</v>
      </c>
    </row>
    <row r="714" spans="1:10" ht="13.5">
      <c r="A714" s="3632">
        <v>35450</v>
      </c>
      <c r="B714" s="3631">
        <v>35500</v>
      </c>
      <c r="C714" s="3491">
        <v>0</v>
      </c>
      <c r="D714" s="3491">
        <v>611</v>
      </c>
      <c r="E714" s="3633">
        <v>1932</v>
      </c>
      <c r="F714" s="3631">
        <v>2628</v>
      </c>
      <c r="G714" s="3491">
        <v>0</v>
      </c>
      <c r="H714" s="3633">
        <v>1498</v>
      </c>
      <c r="I714" s="3633">
        <v>3101</v>
      </c>
      <c r="J714" s="3631">
        <v>3797</v>
      </c>
    </row>
    <row r="715" spans="1:10" ht="13.5">
      <c r="A715" s="3632">
        <v>35500</v>
      </c>
      <c r="B715" s="3631">
        <v>35550</v>
      </c>
      <c r="C715" s="3491">
        <v>0</v>
      </c>
      <c r="D715" s="3491">
        <v>603</v>
      </c>
      <c r="E715" s="3633">
        <v>1921</v>
      </c>
      <c r="F715" s="3631">
        <v>2618</v>
      </c>
      <c r="G715" s="3491">
        <v>0</v>
      </c>
      <c r="H715" s="3633">
        <v>1490</v>
      </c>
      <c r="I715" s="3633">
        <v>3090</v>
      </c>
      <c r="J715" s="3631">
        <v>3787</v>
      </c>
    </row>
    <row r="716" spans="1:10" ht="13.5">
      <c r="A716" s="3632">
        <v>35550</v>
      </c>
      <c r="B716" s="3631">
        <v>35600</v>
      </c>
      <c r="C716" s="3491">
        <v>0</v>
      </c>
      <c r="D716" s="3491">
        <v>595</v>
      </c>
      <c r="E716" s="3633">
        <v>1911</v>
      </c>
      <c r="F716" s="3631">
        <v>2607</v>
      </c>
      <c r="G716" s="3491">
        <v>0</v>
      </c>
      <c r="H716" s="3633">
        <v>1482</v>
      </c>
      <c r="I716" s="3633">
        <v>3080</v>
      </c>
      <c r="J716" s="3631">
        <v>3776</v>
      </c>
    </row>
    <row r="717" spans="1:10" ht="13.5">
      <c r="A717" s="3632">
        <v>35600</v>
      </c>
      <c r="B717" s="3631">
        <v>35650</v>
      </c>
      <c r="C717" s="3491">
        <v>0</v>
      </c>
      <c r="D717" s="3491">
        <v>587</v>
      </c>
      <c r="E717" s="3633">
        <v>1900</v>
      </c>
      <c r="F717" s="3631">
        <v>2597</v>
      </c>
      <c r="G717" s="3491">
        <v>0</v>
      </c>
      <c r="H717" s="3633">
        <v>1474</v>
      </c>
      <c r="I717" s="3633">
        <v>3069</v>
      </c>
      <c r="J717" s="3631">
        <v>3766</v>
      </c>
    </row>
    <row r="718" spans="1:10" ht="13.5">
      <c r="A718" s="3632">
        <v>35650</v>
      </c>
      <c r="B718" s="3631">
        <v>35700</v>
      </c>
      <c r="C718" s="3491">
        <v>0</v>
      </c>
      <c r="D718" s="3491">
        <v>579</v>
      </c>
      <c r="E718" s="3633">
        <v>1890</v>
      </c>
      <c r="F718" s="3631">
        <v>2586</v>
      </c>
      <c r="G718" s="3491">
        <v>0</v>
      </c>
      <c r="H718" s="3633">
        <v>1466</v>
      </c>
      <c r="I718" s="3633">
        <v>3058</v>
      </c>
      <c r="J718" s="3631">
        <v>3755</v>
      </c>
    </row>
    <row r="719" spans="1:10" ht="13.5">
      <c r="A719" s="3632">
        <v>35700</v>
      </c>
      <c r="B719" s="3631">
        <v>35750</v>
      </c>
      <c r="C719" s="3491">
        <v>0</v>
      </c>
      <c r="D719" s="3491">
        <v>571</v>
      </c>
      <c r="E719" s="3633">
        <v>1879</v>
      </c>
      <c r="F719" s="3631">
        <v>2576</v>
      </c>
      <c r="G719" s="3491">
        <v>0</v>
      </c>
      <c r="H719" s="3633">
        <v>1458</v>
      </c>
      <c r="I719" s="3633">
        <v>3048</v>
      </c>
      <c r="J719" s="3631">
        <v>3744</v>
      </c>
    </row>
    <row r="720" spans="1:10" ht="13.5">
      <c r="A720" s="3632">
        <v>35750</v>
      </c>
      <c r="B720" s="3631">
        <v>35800</v>
      </c>
      <c r="C720" s="3491">
        <v>0</v>
      </c>
      <c r="D720" s="3491">
        <v>563</v>
      </c>
      <c r="E720" s="3633">
        <v>1869</v>
      </c>
      <c r="F720" s="3631">
        <v>2565</v>
      </c>
      <c r="G720" s="3491">
        <v>0</v>
      </c>
      <c r="H720" s="3633">
        <v>1450</v>
      </c>
      <c r="I720" s="3633">
        <v>3037</v>
      </c>
      <c r="J720" s="3631">
        <v>3734</v>
      </c>
    </row>
    <row r="721" spans="1:10" ht="13.5">
      <c r="A721" s="3632">
        <v>35800</v>
      </c>
      <c r="B721" s="3631">
        <v>35850</v>
      </c>
      <c r="C721" s="3491">
        <v>0</v>
      </c>
      <c r="D721" s="3491">
        <v>555</v>
      </c>
      <c r="E721" s="3633">
        <v>1858</v>
      </c>
      <c r="F721" s="3631">
        <v>2555</v>
      </c>
      <c r="G721" s="3491">
        <v>0</v>
      </c>
      <c r="H721" s="3633">
        <v>1442</v>
      </c>
      <c r="I721" s="3633">
        <v>3027</v>
      </c>
      <c r="J721" s="3631">
        <v>3723</v>
      </c>
    </row>
    <row r="722" spans="1:10" ht="13.5">
      <c r="A722" s="3632">
        <v>35850</v>
      </c>
      <c r="B722" s="3631">
        <v>35900</v>
      </c>
      <c r="C722" s="3491">
        <v>0</v>
      </c>
      <c r="D722" s="3491">
        <v>547</v>
      </c>
      <c r="E722" s="3633">
        <v>1848</v>
      </c>
      <c r="F722" s="3631">
        <v>2544</v>
      </c>
      <c r="G722" s="3491">
        <v>0</v>
      </c>
      <c r="H722" s="3633">
        <v>1434</v>
      </c>
      <c r="I722" s="3633">
        <v>3016</v>
      </c>
      <c r="J722" s="3631">
        <v>3713</v>
      </c>
    </row>
    <row r="723" spans="1:10" ht="13.5">
      <c r="A723" s="3632">
        <v>35900</v>
      </c>
      <c r="B723" s="3631">
        <v>35950</v>
      </c>
      <c r="C723" s="3491">
        <v>0</v>
      </c>
      <c r="D723" s="3491">
        <v>539</v>
      </c>
      <c r="E723" s="3633">
        <v>1837</v>
      </c>
      <c r="F723" s="3631">
        <v>2534</v>
      </c>
      <c r="G723" s="3491">
        <v>0</v>
      </c>
      <c r="H723" s="3633">
        <v>1426</v>
      </c>
      <c r="I723" s="3633">
        <v>3006</v>
      </c>
      <c r="J723" s="3631">
        <v>3702</v>
      </c>
    </row>
    <row r="724" spans="1:10" ht="13.5">
      <c r="A724" s="3632">
        <v>35950</v>
      </c>
      <c r="B724" s="3631">
        <v>36000</v>
      </c>
      <c r="C724" s="3491">
        <v>0</v>
      </c>
      <c r="D724" s="3491">
        <v>531</v>
      </c>
      <c r="E724" s="3633">
        <v>1826</v>
      </c>
      <c r="F724" s="3631">
        <v>2523</v>
      </c>
      <c r="G724" s="3491">
        <v>0</v>
      </c>
      <c r="H724" s="3633">
        <v>1418</v>
      </c>
      <c r="I724" s="3633">
        <v>2995</v>
      </c>
      <c r="J724" s="3631">
        <v>3692</v>
      </c>
    </row>
    <row r="725" spans="1:10" ht="13.5">
      <c r="A725" s="3632">
        <v>36000</v>
      </c>
      <c r="B725" s="3631">
        <v>36050</v>
      </c>
      <c r="C725" s="3491">
        <v>0</v>
      </c>
      <c r="D725" s="3491">
        <v>523</v>
      </c>
      <c r="E725" s="3633">
        <v>1816</v>
      </c>
      <c r="F725" s="3631">
        <v>2512</v>
      </c>
      <c r="G725" s="3491">
        <v>0</v>
      </c>
      <c r="H725" s="3633">
        <v>1410</v>
      </c>
      <c r="I725" s="3633">
        <v>2985</v>
      </c>
      <c r="J725" s="3631">
        <v>3681</v>
      </c>
    </row>
    <row r="726" spans="1:10" ht="13.5">
      <c r="A726" s="3632">
        <v>36050</v>
      </c>
      <c r="B726" s="3631">
        <v>36100</v>
      </c>
      <c r="C726" s="3491">
        <v>0</v>
      </c>
      <c r="D726" s="3491">
        <v>515</v>
      </c>
      <c r="E726" s="3633">
        <v>1805</v>
      </c>
      <c r="F726" s="3631">
        <v>2502</v>
      </c>
      <c r="G726" s="3491">
        <v>0</v>
      </c>
      <c r="H726" s="3633">
        <v>1402</v>
      </c>
      <c r="I726" s="3633">
        <v>2974</v>
      </c>
      <c r="J726" s="3631">
        <v>3671</v>
      </c>
    </row>
    <row r="727" spans="1:10" ht="13.5">
      <c r="A727" s="3632">
        <v>36100</v>
      </c>
      <c r="B727" s="3631">
        <v>36150</v>
      </c>
      <c r="C727" s="3491">
        <v>0</v>
      </c>
      <c r="D727" s="3491">
        <v>507</v>
      </c>
      <c r="E727" s="3633">
        <v>1795</v>
      </c>
      <c r="F727" s="3631">
        <v>2491</v>
      </c>
      <c r="G727" s="3491">
        <v>0</v>
      </c>
      <c r="H727" s="3633">
        <v>1394</v>
      </c>
      <c r="I727" s="3633">
        <v>2964</v>
      </c>
      <c r="J727" s="3631">
        <v>3660</v>
      </c>
    </row>
    <row r="728" spans="1:10" ht="13.5">
      <c r="A728" s="3632">
        <v>36150</v>
      </c>
      <c r="B728" s="3631">
        <v>36200</v>
      </c>
      <c r="C728" s="3491">
        <v>0</v>
      </c>
      <c r="D728" s="3491">
        <v>499</v>
      </c>
      <c r="E728" s="3633">
        <v>1784</v>
      </c>
      <c r="F728" s="3631">
        <v>2481</v>
      </c>
      <c r="G728" s="3491">
        <v>0</v>
      </c>
      <c r="H728" s="3633">
        <v>1386</v>
      </c>
      <c r="I728" s="3633">
        <v>2953</v>
      </c>
      <c r="J728" s="3631">
        <v>3650</v>
      </c>
    </row>
    <row r="729" spans="1:10" ht="13.5">
      <c r="A729" s="3632">
        <v>36200</v>
      </c>
      <c r="B729" s="3631">
        <v>36250</v>
      </c>
      <c r="C729" s="3491">
        <v>0</v>
      </c>
      <c r="D729" s="3491">
        <v>491</v>
      </c>
      <c r="E729" s="3633">
        <v>1774</v>
      </c>
      <c r="F729" s="3631">
        <v>2470</v>
      </c>
      <c r="G729" s="3491">
        <v>0</v>
      </c>
      <c r="H729" s="3633">
        <v>1378</v>
      </c>
      <c r="I729" s="3633">
        <v>2943</v>
      </c>
      <c r="J729" s="3631">
        <v>3639</v>
      </c>
    </row>
    <row r="730" spans="1:10" ht="13.5">
      <c r="A730" s="3632">
        <v>36250</v>
      </c>
      <c r="B730" s="3631">
        <v>36300</v>
      </c>
      <c r="C730" s="3491">
        <v>0</v>
      </c>
      <c r="D730" s="3491">
        <v>483</v>
      </c>
      <c r="E730" s="3633">
        <v>1763</v>
      </c>
      <c r="F730" s="3631">
        <v>2460</v>
      </c>
      <c r="G730" s="3491">
        <v>0</v>
      </c>
      <c r="H730" s="3633">
        <v>1370</v>
      </c>
      <c r="I730" s="3633">
        <v>2932</v>
      </c>
      <c r="J730" s="3631">
        <v>3629</v>
      </c>
    </row>
    <row r="731" spans="1:10" ht="13.5">
      <c r="A731" s="3632">
        <v>36300</v>
      </c>
      <c r="B731" s="3631">
        <v>36350</v>
      </c>
      <c r="C731" s="3491">
        <v>0</v>
      </c>
      <c r="D731" s="3491">
        <v>475</v>
      </c>
      <c r="E731" s="3633">
        <v>1753</v>
      </c>
      <c r="F731" s="3631">
        <v>2449</v>
      </c>
      <c r="G731" s="3491">
        <v>0</v>
      </c>
      <c r="H731" s="3633">
        <v>1362</v>
      </c>
      <c r="I731" s="3633">
        <v>2922</v>
      </c>
      <c r="J731" s="3631">
        <v>3618</v>
      </c>
    </row>
    <row r="732" spans="1:10" ht="13.5">
      <c r="A732" s="3632">
        <v>36350</v>
      </c>
      <c r="B732" s="3631">
        <v>36400</v>
      </c>
      <c r="C732" s="3491">
        <v>0</v>
      </c>
      <c r="D732" s="3491">
        <v>467</v>
      </c>
      <c r="E732" s="3633">
        <v>1742</v>
      </c>
      <c r="F732" s="3631">
        <v>2439</v>
      </c>
      <c r="G732" s="3491">
        <v>0</v>
      </c>
      <c r="H732" s="3633">
        <v>1354</v>
      </c>
      <c r="I732" s="3633">
        <v>2911</v>
      </c>
      <c r="J732" s="3631">
        <v>3608</v>
      </c>
    </row>
    <row r="733" spans="1:10" ht="13.5">
      <c r="A733" s="3632">
        <v>36400</v>
      </c>
      <c r="B733" s="3631">
        <v>36450</v>
      </c>
      <c r="C733" s="3491">
        <v>0</v>
      </c>
      <c r="D733" s="3491">
        <v>459</v>
      </c>
      <c r="E733" s="3633">
        <v>1732</v>
      </c>
      <c r="F733" s="3631">
        <v>2428</v>
      </c>
      <c r="G733" s="3491">
        <v>0</v>
      </c>
      <c r="H733" s="3633">
        <v>1346</v>
      </c>
      <c r="I733" s="3633">
        <v>2901</v>
      </c>
      <c r="J733" s="3631">
        <v>3597</v>
      </c>
    </row>
    <row r="734" spans="1:10" ht="13.5">
      <c r="A734" s="3632">
        <v>36450</v>
      </c>
      <c r="B734" s="3631">
        <v>36500</v>
      </c>
      <c r="C734" s="3491">
        <v>0</v>
      </c>
      <c r="D734" s="3491">
        <v>451</v>
      </c>
      <c r="E734" s="3633">
        <v>1721</v>
      </c>
      <c r="F734" s="3631">
        <v>2418</v>
      </c>
      <c r="G734" s="3491">
        <v>0</v>
      </c>
      <c r="H734" s="3633">
        <v>1338</v>
      </c>
      <c r="I734" s="3633">
        <v>2890</v>
      </c>
      <c r="J734" s="3631">
        <v>3587</v>
      </c>
    </row>
    <row r="735" spans="1:10" ht="13.5">
      <c r="A735" s="3632">
        <v>36500</v>
      </c>
      <c r="B735" s="3631">
        <v>36550</v>
      </c>
      <c r="C735" s="3491">
        <v>0</v>
      </c>
      <c r="D735" s="3491">
        <v>443</v>
      </c>
      <c r="E735" s="3633">
        <v>1711</v>
      </c>
      <c r="F735" s="3631">
        <v>2407</v>
      </c>
      <c r="G735" s="3491">
        <v>0</v>
      </c>
      <c r="H735" s="3633">
        <v>1330</v>
      </c>
      <c r="I735" s="3633">
        <v>2879</v>
      </c>
      <c r="J735" s="3631">
        <v>3576</v>
      </c>
    </row>
    <row r="736" spans="1:10" ht="13.5">
      <c r="A736" s="3632">
        <v>36550</v>
      </c>
      <c r="B736" s="3631">
        <v>36600</v>
      </c>
      <c r="C736" s="3491">
        <v>0</v>
      </c>
      <c r="D736" s="3491">
        <v>435</v>
      </c>
      <c r="E736" s="3633">
        <v>1700</v>
      </c>
      <c r="F736" s="3631">
        <v>2397</v>
      </c>
      <c r="G736" s="3491">
        <v>0</v>
      </c>
      <c r="H736" s="3633">
        <v>1322</v>
      </c>
      <c r="I736" s="3633">
        <v>2869</v>
      </c>
      <c r="J736" s="3631">
        <v>3565</v>
      </c>
    </row>
    <row r="737" spans="1:10" ht="13.5">
      <c r="A737" s="3632">
        <v>36600</v>
      </c>
      <c r="B737" s="3631">
        <v>36650</v>
      </c>
      <c r="C737" s="3491">
        <v>0</v>
      </c>
      <c r="D737" s="3491">
        <v>427</v>
      </c>
      <c r="E737" s="3633">
        <v>1690</v>
      </c>
      <c r="F737" s="3631">
        <v>2386</v>
      </c>
      <c r="G737" s="3491">
        <v>0</v>
      </c>
      <c r="H737" s="3633">
        <v>1314</v>
      </c>
      <c r="I737" s="3633">
        <v>2858</v>
      </c>
      <c r="J737" s="3631">
        <v>3555</v>
      </c>
    </row>
    <row r="738" spans="1:10" ht="13.5">
      <c r="A738" s="3632">
        <v>36650</v>
      </c>
      <c r="B738" s="3631">
        <v>36700</v>
      </c>
      <c r="C738" s="3491">
        <v>0</v>
      </c>
      <c r="D738" s="3491">
        <v>419</v>
      </c>
      <c r="E738" s="3633">
        <v>1679</v>
      </c>
      <c r="F738" s="3631">
        <v>2376</v>
      </c>
      <c r="G738" s="3491">
        <v>0</v>
      </c>
      <c r="H738" s="3633">
        <v>1306</v>
      </c>
      <c r="I738" s="3633">
        <v>2848</v>
      </c>
      <c r="J738" s="3631">
        <v>3544</v>
      </c>
    </row>
    <row r="739" spans="1:10" ht="13.5">
      <c r="A739" s="3632">
        <v>36700</v>
      </c>
      <c r="B739" s="3631">
        <v>36750</v>
      </c>
      <c r="C739" s="3491">
        <v>0</v>
      </c>
      <c r="D739" s="3491">
        <v>411</v>
      </c>
      <c r="E739" s="3633">
        <v>1669</v>
      </c>
      <c r="F739" s="3631">
        <v>2365</v>
      </c>
      <c r="G739" s="3491">
        <v>0</v>
      </c>
      <c r="H739" s="3633">
        <v>1298</v>
      </c>
      <c r="I739" s="3633">
        <v>2837</v>
      </c>
      <c r="J739" s="3631">
        <v>3534</v>
      </c>
    </row>
    <row r="740" spans="1:10" ht="13.5">
      <c r="A740" s="3632">
        <v>36750</v>
      </c>
      <c r="B740" s="3631">
        <v>36800</v>
      </c>
      <c r="C740" s="3491">
        <v>0</v>
      </c>
      <c r="D740" s="3491">
        <v>403</v>
      </c>
      <c r="E740" s="3633">
        <v>1658</v>
      </c>
      <c r="F740" s="3631">
        <v>2354</v>
      </c>
      <c r="G740" s="3491">
        <v>0</v>
      </c>
      <c r="H740" s="3633">
        <v>1290</v>
      </c>
      <c r="I740" s="3633">
        <v>2827</v>
      </c>
      <c r="J740" s="3631">
        <v>3523</v>
      </c>
    </row>
    <row r="741" spans="1:10" ht="13.5">
      <c r="A741" s="3632">
        <v>36800</v>
      </c>
      <c r="B741" s="3631">
        <v>36850</v>
      </c>
      <c r="C741" s="3491">
        <v>0</v>
      </c>
      <c r="D741" s="3491">
        <v>395</v>
      </c>
      <c r="E741" s="3633">
        <v>1647</v>
      </c>
      <c r="F741" s="3631">
        <v>2344</v>
      </c>
      <c r="G741" s="3491">
        <v>0</v>
      </c>
      <c r="H741" s="3633">
        <v>1282</v>
      </c>
      <c r="I741" s="3633">
        <v>2816</v>
      </c>
      <c r="J741" s="3631">
        <v>3513</v>
      </c>
    </row>
    <row r="742" spans="1:10" ht="13.5">
      <c r="A742" s="3632">
        <v>36850</v>
      </c>
      <c r="B742" s="3631">
        <v>36900</v>
      </c>
      <c r="C742" s="3491">
        <v>0</v>
      </c>
      <c r="D742" s="3491">
        <v>387</v>
      </c>
      <c r="E742" s="3633">
        <v>1637</v>
      </c>
      <c r="F742" s="3631">
        <v>2333</v>
      </c>
      <c r="G742" s="3491">
        <v>0</v>
      </c>
      <c r="H742" s="3633">
        <v>1274</v>
      </c>
      <c r="I742" s="3633">
        <v>2806</v>
      </c>
      <c r="J742" s="3631">
        <v>3502</v>
      </c>
    </row>
    <row r="743" spans="1:10" ht="13.5">
      <c r="A743" s="3632">
        <v>36900</v>
      </c>
      <c r="B743" s="3631">
        <v>36950</v>
      </c>
      <c r="C743" s="3491">
        <v>0</v>
      </c>
      <c r="D743" s="3491">
        <v>379</v>
      </c>
      <c r="E743" s="3633">
        <v>1626</v>
      </c>
      <c r="F743" s="3631">
        <v>2323</v>
      </c>
      <c r="G743" s="3491">
        <v>0</v>
      </c>
      <c r="H743" s="3633">
        <v>1266</v>
      </c>
      <c r="I743" s="3633">
        <v>2795</v>
      </c>
      <c r="J743" s="3631">
        <v>3492</v>
      </c>
    </row>
    <row r="744" spans="1:10" ht="13.5">
      <c r="A744" s="3632">
        <v>36950</v>
      </c>
      <c r="B744" s="3631">
        <v>37000</v>
      </c>
      <c r="C744" s="3491">
        <v>0</v>
      </c>
      <c r="D744" s="3491">
        <v>371</v>
      </c>
      <c r="E744" s="3633">
        <v>1616</v>
      </c>
      <c r="F744" s="3631">
        <v>2312</v>
      </c>
      <c r="G744" s="3491">
        <v>0</v>
      </c>
      <c r="H744" s="3633">
        <v>1258</v>
      </c>
      <c r="I744" s="3633">
        <v>2785</v>
      </c>
      <c r="J744" s="3631">
        <v>3481</v>
      </c>
    </row>
    <row r="745" spans="1:10" ht="13.5">
      <c r="A745" s="3632">
        <v>37000</v>
      </c>
      <c r="B745" s="3631">
        <v>37050</v>
      </c>
      <c r="C745" s="3491">
        <v>0</v>
      </c>
      <c r="D745" s="3491">
        <v>363</v>
      </c>
      <c r="E745" s="3633">
        <v>1605</v>
      </c>
      <c r="F745" s="3631">
        <v>2302</v>
      </c>
      <c r="G745" s="3491">
        <v>0</v>
      </c>
      <c r="H745" s="3633">
        <v>1250</v>
      </c>
      <c r="I745" s="3633">
        <v>2774</v>
      </c>
      <c r="J745" s="3631">
        <v>3471</v>
      </c>
    </row>
    <row r="746" spans="1:10" ht="13.5">
      <c r="A746" s="3632">
        <v>37050</v>
      </c>
      <c r="B746" s="3631">
        <v>37100</v>
      </c>
      <c r="C746" s="3491">
        <v>0</v>
      </c>
      <c r="D746" s="3491">
        <v>355</v>
      </c>
      <c r="E746" s="3633">
        <v>1595</v>
      </c>
      <c r="F746" s="3631">
        <v>2291</v>
      </c>
      <c r="G746" s="3491">
        <v>0</v>
      </c>
      <c r="H746" s="3633">
        <v>1242</v>
      </c>
      <c r="I746" s="3633">
        <v>2764</v>
      </c>
      <c r="J746" s="3631">
        <v>3460</v>
      </c>
    </row>
    <row r="747" spans="1:10" ht="13.5">
      <c r="A747" s="3632">
        <v>37100</v>
      </c>
      <c r="B747" s="3631">
        <v>37150</v>
      </c>
      <c r="C747" s="3491">
        <v>0</v>
      </c>
      <c r="D747" s="3491">
        <v>347</v>
      </c>
      <c r="E747" s="3633">
        <v>1584</v>
      </c>
      <c r="F747" s="3631">
        <v>2281</v>
      </c>
      <c r="G747" s="3491">
        <v>0</v>
      </c>
      <c r="H747" s="3633">
        <v>1234</v>
      </c>
      <c r="I747" s="3633">
        <v>2753</v>
      </c>
      <c r="J747" s="3631">
        <v>3450</v>
      </c>
    </row>
    <row r="748" spans="1:10" ht="13.5">
      <c r="A748" s="3632">
        <v>37150</v>
      </c>
      <c r="B748" s="3631">
        <v>37200</v>
      </c>
      <c r="C748" s="3491">
        <v>0</v>
      </c>
      <c r="D748" s="3491">
        <v>339</v>
      </c>
      <c r="E748" s="3633">
        <v>1574</v>
      </c>
      <c r="F748" s="3631">
        <v>2270</v>
      </c>
      <c r="G748" s="3491">
        <v>0</v>
      </c>
      <c r="H748" s="3633">
        <v>1226</v>
      </c>
      <c r="I748" s="3633">
        <v>2743</v>
      </c>
      <c r="J748" s="3631">
        <v>3439</v>
      </c>
    </row>
    <row r="749" spans="1:10" ht="13.5">
      <c r="A749" s="3632">
        <v>37200</v>
      </c>
      <c r="B749" s="3631">
        <v>37250</v>
      </c>
      <c r="C749" s="3491">
        <v>0</v>
      </c>
      <c r="D749" s="3491">
        <v>331</v>
      </c>
      <c r="E749" s="3633">
        <v>1563</v>
      </c>
      <c r="F749" s="3631">
        <v>2260</v>
      </c>
      <c r="G749" s="3491">
        <v>0</v>
      </c>
      <c r="H749" s="3633">
        <v>1218</v>
      </c>
      <c r="I749" s="3633">
        <v>2732</v>
      </c>
      <c r="J749" s="3631">
        <v>3429</v>
      </c>
    </row>
    <row r="750" spans="1:10" ht="13.5">
      <c r="A750" s="3632">
        <v>37250</v>
      </c>
      <c r="B750" s="3631">
        <v>37300</v>
      </c>
      <c r="C750" s="3491">
        <v>0</v>
      </c>
      <c r="D750" s="3491">
        <v>323</v>
      </c>
      <c r="E750" s="3633">
        <v>1553</v>
      </c>
      <c r="F750" s="3631">
        <v>2249</v>
      </c>
      <c r="G750" s="3491">
        <v>0</v>
      </c>
      <c r="H750" s="3633">
        <v>1210</v>
      </c>
      <c r="I750" s="3633">
        <v>2722</v>
      </c>
      <c r="J750" s="3631">
        <v>3418</v>
      </c>
    </row>
    <row r="751" spans="1:10" ht="13.5">
      <c r="A751" s="3632">
        <v>37300</v>
      </c>
      <c r="B751" s="3631">
        <v>37350</v>
      </c>
      <c r="C751" s="3491">
        <v>0</v>
      </c>
      <c r="D751" s="3491">
        <v>315</v>
      </c>
      <c r="E751" s="3633">
        <v>1542</v>
      </c>
      <c r="F751" s="3631">
        <v>2239</v>
      </c>
      <c r="G751" s="3491">
        <v>0</v>
      </c>
      <c r="H751" s="3633">
        <v>1202</v>
      </c>
      <c r="I751" s="3633">
        <v>2711</v>
      </c>
      <c r="J751" s="3631">
        <v>3407</v>
      </c>
    </row>
    <row r="752" spans="1:10" ht="13.5">
      <c r="A752" s="3632">
        <v>37350</v>
      </c>
      <c r="B752" s="3631">
        <v>37400</v>
      </c>
      <c r="C752" s="3491">
        <v>0</v>
      </c>
      <c r="D752" s="3491">
        <v>307</v>
      </c>
      <c r="E752" s="3633">
        <v>1532</v>
      </c>
      <c r="F752" s="3631">
        <v>2228</v>
      </c>
      <c r="G752" s="3491">
        <v>0</v>
      </c>
      <c r="H752" s="3633">
        <v>1194</v>
      </c>
      <c r="I752" s="3633">
        <v>2700</v>
      </c>
      <c r="J752" s="3631">
        <v>3397</v>
      </c>
    </row>
    <row r="753" spans="1:11" ht="13.5">
      <c r="A753" s="3632">
        <v>37400</v>
      </c>
      <c r="B753" s="3631">
        <v>37450</v>
      </c>
      <c r="C753" s="3491">
        <v>0</v>
      </c>
      <c r="D753" s="3491">
        <v>299</v>
      </c>
      <c r="E753" s="3633">
        <v>1521</v>
      </c>
      <c r="F753" s="3631">
        <v>2218</v>
      </c>
      <c r="G753" s="3491">
        <v>0</v>
      </c>
      <c r="H753" s="3633">
        <v>1186</v>
      </c>
      <c r="I753" s="3633">
        <v>2690</v>
      </c>
      <c r="J753" s="3631">
        <v>3386</v>
      </c>
    </row>
    <row r="754" spans="1:11" ht="13.5">
      <c r="A754" s="3632">
        <v>37450</v>
      </c>
      <c r="B754" s="3631">
        <v>37500</v>
      </c>
      <c r="C754" s="3491">
        <v>0</v>
      </c>
      <c r="D754" s="3491">
        <v>291</v>
      </c>
      <c r="E754" s="3633">
        <v>1511</v>
      </c>
      <c r="F754" s="3631">
        <v>2207</v>
      </c>
      <c r="G754" s="3491">
        <v>0</v>
      </c>
      <c r="H754" s="3633">
        <v>1178</v>
      </c>
      <c r="I754" s="3633">
        <v>2679</v>
      </c>
      <c r="J754" s="3631">
        <v>3376</v>
      </c>
    </row>
    <row r="755" spans="1:11" ht="13.5">
      <c r="A755" s="3632">
        <v>37500</v>
      </c>
      <c r="B755" s="3631">
        <v>37550</v>
      </c>
      <c r="C755" s="3491">
        <v>0</v>
      </c>
      <c r="D755" s="3491">
        <v>283</v>
      </c>
      <c r="E755" s="3633">
        <v>1500</v>
      </c>
      <c r="F755" s="3631">
        <v>2197</v>
      </c>
      <c r="G755" s="3491">
        <v>0</v>
      </c>
      <c r="H755" s="3633">
        <v>1170</v>
      </c>
      <c r="I755" s="3633">
        <v>2669</v>
      </c>
      <c r="J755" s="3631">
        <v>3365</v>
      </c>
    </row>
    <row r="756" spans="1:11" ht="13.5">
      <c r="A756" s="3632">
        <v>37550</v>
      </c>
      <c r="B756" s="3631">
        <v>37600</v>
      </c>
      <c r="C756" s="3491">
        <v>0</v>
      </c>
      <c r="D756" s="3491">
        <v>275</v>
      </c>
      <c r="E756" s="3633">
        <v>1490</v>
      </c>
      <c r="F756" s="3631">
        <v>2186</v>
      </c>
      <c r="G756" s="3491">
        <v>0</v>
      </c>
      <c r="H756" s="3633">
        <v>1162</v>
      </c>
      <c r="I756" s="3633">
        <v>2658</v>
      </c>
      <c r="J756" s="3631">
        <v>3355</v>
      </c>
    </row>
    <row r="757" spans="1:11" ht="13.5">
      <c r="A757" s="3632">
        <v>37600</v>
      </c>
      <c r="B757" s="3631">
        <v>37650</v>
      </c>
      <c r="C757" s="3491">
        <v>0</v>
      </c>
      <c r="D757" s="3491">
        <v>267</v>
      </c>
      <c r="E757" s="3633">
        <v>1479</v>
      </c>
      <c r="F757" s="3631">
        <v>2175</v>
      </c>
      <c r="G757" s="3491">
        <v>0</v>
      </c>
      <c r="H757" s="3633">
        <v>1154</v>
      </c>
      <c r="I757" s="3633">
        <v>2648</v>
      </c>
      <c r="J757" s="3631">
        <v>3344</v>
      </c>
    </row>
    <row r="758" spans="1:11" ht="13.5">
      <c r="A758" s="3632">
        <v>37650</v>
      </c>
      <c r="B758" s="3631">
        <v>37700</v>
      </c>
      <c r="C758" s="3491">
        <v>0</v>
      </c>
      <c r="D758" s="3491">
        <v>259</v>
      </c>
      <c r="E758" s="3633">
        <v>1468</v>
      </c>
      <c r="F758" s="3631">
        <v>2165</v>
      </c>
      <c r="G758" s="3491">
        <v>0</v>
      </c>
      <c r="H758" s="3633">
        <v>1146</v>
      </c>
      <c r="I758" s="3633">
        <v>2637</v>
      </c>
      <c r="J758" s="3631">
        <v>3334</v>
      </c>
    </row>
    <row r="759" spans="1:11" ht="13.5">
      <c r="A759" s="3632">
        <v>37700</v>
      </c>
      <c r="B759" s="3631">
        <v>37750</v>
      </c>
      <c r="C759" s="3491">
        <v>0</v>
      </c>
      <c r="D759" s="3491">
        <v>251</v>
      </c>
      <c r="E759" s="3633">
        <v>1458</v>
      </c>
      <c r="F759" s="3631">
        <v>2154</v>
      </c>
      <c r="G759" s="3491">
        <v>0</v>
      </c>
      <c r="H759" s="3633">
        <v>1138</v>
      </c>
      <c r="I759" s="3633">
        <v>2627</v>
      </c>
      <c r="J759" s="3631">
        <v>3323</v>
      </c>
    </row>
    <row r="760" spans="1:11" ht="13.5">
      <c r="A760" s="3632">
        <v>37750</v>
      </c>
      <c r="B760" s="3631">
        <v>37800</v>
      </c>
      <c r="C760" s="3491">
        <v>0</v>
      </c>
      <c r="D760" s="3491">
        <v>243</v>
      </c>
      <c r="E760" s="3633">
        <v>1447</v>
      </c>
      <c r="F760" s="3631">
        <v>2144</v>
      </c>
      <c r="G760" s="3491">
        <v>0</v>
      </c>
      <c r="H760" s="3633">
        <v>1130</v>
      </c>
      <c r="I760" s="3633">
        <v>2616</v>
      </c>
      <c r="J760" s="3631">
        <v>3313</v>
      </c>
    </row>
    <row r="761" spans="1:11" ht="13.5">
      <c r="A761" s="3632">
        <v>37800</v>
      </c>
      <c r="B761" s="3631">
        <v>37850</v>
      </c>
      <c r="C761" s="3491">
        <v>0</v>
      </c>
      <c r="D761" s="3491">
        <v>235</v>
      </c>
      <c r="E761" s="3633">
        <v>1437</v>
      </c>
      <c r="F761" s="3631">
        <v>2133</v>
      </c>
      <c r="G761" s="3491">
        <v>0</v>
      </c>
      <c r="H761" s="3633">
        <v>1122</v>
      </c>
      <c r="I761" s="3633">
        <v>2606</v>
      </c>
      <c r="J761" s="3631">
        <v>3302</v>
      </c>
    </row>
    <row r="762" spans="1:11" ht="13.5">
      <c r="A762" s="3632">
        <v>37850</v>
      </c>
      <c r="B762" s="3631">
        <v>37900</v>
      </c>
      <c r="C762" s="3491">
        <v>0</v>
      </c>
      <c r="D762" s="3491">
        <v>227</v>
      </c>
      <c r="E762" s="3633">
        <v>1426</v>
      </c>
      <c r="F762" s="3631">
        <v>2123</v>
      </c>
      <c r="G762" s="3491">
        <v>0</v>
      </c>
      <c r="H762" s="3633">
        <v>1114</v>
      </c>
      <c r="I762" s="3633">
        <v>2595</v>
      </c>
      <c r="J762" s="3631">
        <v>3292</v>
      </c>
    </row>
    <row r="763" spans="1:11" ht="13.5">
      <c r="A763" s="3632">
        <v>37900</v>
      </c>
      <c r="B763" s="3631">
        <v>37950</v>
      </c>
      <c r="C763" s="3491">
        <v>0</v>
      </c>
      <c r="D763" s="3491">
        <v>219</v>
      </c>
      <c r="E763" s="3633">
        <v>1416</v>
      </c>
      <c r="F763" s="3631">
        <v>2112</v>
      </c>
      <c r="G763" s="3491">
        <v>0</v>
      </c>
      <c r="H763" s="3633">
        <v>1106</v>
      </c>
      <c r="I763" s="3633">
        <v>2585</v>
      </c>
      <c r="J763" s="3631">
        <v>3281</v>
      </c>
    </row>
    <row r="764" spans="1:11" ht="13.5">
      <c r="A764" s="3632">
        <v>37950</v>
      </c>
      <c r="B764" s="3631">
        <v>38000</v>
      </c>
      <c r="C764" s="3491">
        <v>0</v>
      </c>
      <c r="D764" s="3491">
        <v>211</v>
      </c>
      <c r="E764" s="3633">
        <v>1405</v>
      </c>
      <c r="F764" s="3631">
        <v>2102</v>
      </c>
      <c r="G764" s="3491">
        <v>0</v>
      </c>
      <c r="H764" s="3633">
        <v>1098</v>
      </c>
      <c r="I764" s="3633">
        <v>2574</v>
      </c>
      <c r="J764" s="3631">
        <v>3271</v>
      </c>
    </row>
    <row r="765" spans="1:11" ht="13.5">
      <c r="A765" s="3632">
        <v>38000</v>
      </c>
      <c r="B765" s="3631">
        <v>38050</v>
      </c>
      <c r="C765" s="3491">
        <v>0</v>
      </c>
      <c r="D765" s="3491">
        <v>203</v>
      </c>
      <c r="E765" s="3633">
        <v>1395</v>
      </c>
      <c r="F765" s="3631">
        <v>2091</v>
      </c>
      <c r="G765" s="3491">
        <v>0</v>
      </c>
      <c r="H765" s="3633">
        <v>1090</v>
      </c>
      <c r="I765" s="3633">
        <v>2564</v>
      </c>
      <c r="J765" s="3631">
        <v>3260</v>
      </c>
    </row>
    <row r="766" spans="1:11" ht="13.5">
      <c r="A766" s="3632">
        <v>38050</v>
      </c>
      <c r="B766" s="3631">
        <v>38100</v>
      </c>
      <c r="C766" s="3491">
        <v>0</v>
      </c>
      <c r="D766" s="3491">
        <v>195</v>
      </c>
      <c r="E766" s="3633">
        <v>1384</v>
      </c>
      <c r="F766" s="3631">
        <v>2081</v>
      </c>
      <c r="G766" s="3491">
        <v>0</v>
      </c>
      <c r="H766" s="3633">
        <v>1082</v>
      </c>
      <c r="I766" s="3633">
        <v>2553</v>
      </c>
      <c r="J766" s="3631">
        <v>3250</v>
      </c>
    </row>
    <row r="767" spans="1:11" ht="13.5">
      <c r="A767" s="3632">
        <v>38100</v>
      </c>
      <c r="B767" s="3631">
        <v>38150</v>
      </c>
      <c r="C767" s="3491">
        <v>0</v>
      </c>
      <c r="D767" s="3491">
        <v>187</v>
      </c>
      <c r="E767" s="3633">
        <v>1374</v>
      </c>
      <c r="F767" s="3631">
        <v>2070</v>
      </c>
      <c r="G767" s="3491">
        <v>0</v>
      </c>
      <c r="H767" s="3633">
        <v>1074</v>
      </c>
      <c r="I767" s="3633">
        <v>2543</v>
      </c>
      <c r="J767" s="3631">
        <v>3239</v>
      </c>
    </row>
    <row r="768" spans="1:11" s="3419" customFormat="1" ht="13.5">
      <c r="A768" s="3633">
        <v>38150</v>
      </c>
      <c r="B768" s="3631">
        <v>38200</v>
      </c>
      <c r="C768" s="3494">
        <v>0</v>
      </c>
      <c r="D768" s="3494">
        <v>179</v>
      </c>
      <c r="E768" s="3633">
        <v>1363</v>
      </c>
      <c r="F768" s="3631">
        <v>2060</v>
      </c>
      <c r="G768" s="3494">
        <v>0</v>
      </c>
      <c r="H768" s="3633">
        <v>1066</v>
      </c>
      <c r="I768" s="3633">
        <v>2532</v>
      </c>
      <c r="J768" s="3631">
        <v>3228</v>
      </c>
      <c r="K768" s="3495"/>
    </row>
    <row r="769" spans="1:11" s="3419" customFormat="1" ht="13.5">
      <c r="A769" s="3633">
        <v>38200</v>
      </c>
      <c r="B769" s="3631">
        <v>38250</v>
      </c>
      <c r="C769" s="3494">
        <v>0</v>
      </c>
      <c r="D769" s="3494">
        <v>171</v>
      </c>
      <c r="E769" s="3633">
        <v>1353</v>
      </c>
      <c r="F769" s="3631">
        <v>2049</v>
      </c>
      <c r="G769" s="3494">
        <v>0</v>
      </c>
      <c r="H769" s="3633">
        <v>1058</v>
      </c>
      <c r="I769" s="3633">
        <v>2521</v>
      </c>
      <c r="J769" s="3631">
        <v>3218</v>
      </c>
      <c r="K769" s="3495"/>
    </row>
    <row r="770" spans="1:11" ht="13.5">
      <c r="A770" s="3632">
        <v>38250</v>
      </c>
      <c r="B770" s="3631">
        <v>38300</v>
      </c>
      <c r="C770" s="3491">
        <v>0</v>
      </c>
      <c r="D770" s="3491">
        <v>163</v>
      </c>
      <c r="E770" s="3633">
        <v>1342</v>
      </c>
      <c r="F770" s="3631">
        <v>2039</v>
      </c>
      <c r="G770" s="3491">
        <v>0</v>
      </c>
      <c r="H770" s="3633">
        <v>1050</v>
      </c>
      <c r="I770" s="3633">
        <v>2511</v>
      </c>
      <c r="J770" s="3631">
        <v>3207</v>
      </c>
    </row>
    <row r="771" spans="1:11" ht="13.5">
      <c r="A771" s="3632">
        <v>38300</v>
      </c>
      <c r="B771" s="3631">
        <v>38350</v>
      </c>
      <c r="C771" s="3491">
        <v>0</v>
      </c>
      <c r="D771" s="3491">
        <v>155</v>
      </c>
      <c r="E771" s="3633">
        <v>1332</v>
      </c>
      <c r="F771" s="3631">
        <v>2028</v>
      </c>
      <c r="G771" s="3491">
        <v>0</v>
      </c>
      <c r="H771" s="3633">
        <v>1042</v>
      </c>
      <c r="I771" s="3633">
        <v>2500</v>
      </c>
      <c r="J771" s="3631">
        <v>3197</v>
      </c>
    </row>
    <row r="772" spans="1:11" ht="13.5">
      <c r="A772" s="3632">
        <v>38350</v>
      </c>
      <c r="B772" s="3631">
        <v>38400</v>
      </c>
      <c r="C772" s="3491">
        <v>0</v>
      </c>
      <c r="D772" s="3491">
        <v>147</v>
      </c>
      <c r="E772" s="3633">
        <v>1321</v>
      </c>
      <c r="F772" s="3631">
        <v>2018</v>
      </c>
      <c r="G772" s="3491">
        <v>0</v>
      </c>
      <c r="H772" s="3633">
        <v>1034</v>
      </c>
      <c r="I772" s="3633">
        <v>2490</v>
      </c>
      <c r="J772" s="3631">
        <v>3186</v>
      </c>
    </row>
    <row r="773" spans="1:11" ht="13.5">
      <c r="A773" s="3632">
        <v>38400</v>
      </c>
      <c r="B773" s="3631">
        <v>38450</v>
      </c>
      <c r="C773" s="3491">
        <v>0</v>
      </c>
      <c r="D773" s="3491">
        <v>139</v>
      </c>
      <c r="E773" s="3633">
        <v>1311</v>
      </c>
      <c r="F773" s="3631">
        <v>2007</v>
      </c>
      <c r="G773" s="3491">
        <v>0</v>
      </c>
      <c r="H773" s="3633">
        <v>1026</v>
      </c>
      <c r="I773" s="3633">
        <v>2479</v>
      </c>
      <c r="J773" s="3631">
        <v>3176</v>
      </c>
    </row>
    <row r="774" spans="1:11" ht="13.5">
      <c r="A774" s="3632">
        <v>38450</v>
      </c>
      <c r="B774" s="3631">
        <v>38500</v>
      </c>
      <c r="C774" s="3491">
        <v>0</v>
      </c>
      <c r="D774" s="3491">
        <v>131</v>
      </c>
      <c r="E774" s="3633">
        <v>1300</v>
      </c>
      <c r="F774" s="3631">
        <v>1996</v>
      </c>
      <c r="G774" s="3491">
        <v>0</v>
      </c>
      <c r="H774" s="3633">
        <v>1018</v>
      </c>
      <c r="I774" s="3633">
        <v>2469</v>
      </c>
      <c r="J774" s="3631">
        <v>3165</v>
      </c>
    </row>
    <row r="775" spans="1:11" ht="13.5">
      <c r="A775" s="3632">
        <v>38500</v>
      </c>
      <c r="B775" s="3631">
        <v>38550</v>
      </c>
      <c r="C775" s="3491">
        <v>0</v>
      </c>
      <c r="D775" s="3491">
        <v>123</v>
      </c>
      <c r="E775" s="3633">
        <v>1289</v>
      </c>
      <c r="F775" s="3631">
        <v>1986</v>
      </c>
      <c r="G775" s="3491">
        <v>0</v>
      </c>
      <c r="H775" s="3633">
        <v>1010</v>
      </c>
      <c r="I775" s="3633">
        <v>2458</v>
      </c>
      <c r="J775" s="3631">
        <v>3155</v>
      </c>
    </row>
    <row r="776" spans="1:11" ht="13.5">
      <c r="A776" s="3632">
        <v>38550</v>
      </c>
      <c r="B776" s="3631">
        <v>38600</v>
      </c>
      <c r="C776" s="3491">
        <v>0</v>
      </c>
      <c r="D776" s="3491">
        <v>115</v>
      </c>
      <c r="E776" s="3633">
        <v>1279</v>
      </c>
      <c r="F776" s="3631">
        <v>1975</v>
      </c>
      <c r="G776" s="3491">
        <v>0</v>
      </c>
      <c r="H776" s="3633">
        <v>1002</v>
      </c>
      <c r="I776" s="3633">
        <v>2448</v>
      </c>
      <c r="J776" s="3631">
        <v>3144</v>
      </c>
    </row>
    <row r="777" spans="1:11" ht="13.5">
      <c r="A777" s="3632">
        <v>38600</v>
      </c>
      <c r="B777" s="3631">
        <v>38650</v>
      </c>
      <c r="C777" s="3491">
        <v>0</v>
      </c>
      <c r="D777" s="3491">
        <v>107</v>
      </c>
      <c r="E777" s="3633">
        <v>1268</v>
      </c>
      <c r="F777" s="3631">
        <v>1965</v>
      </c>
      <c r="G777" s="3491">
        <v>0</v>
      </c>
      <c r="H777" s="3494">
        <v>994</v>
      </c>
      <c r="I777" s="3633">
        <v>2437</v>
      </c>
      <c r="J777" s="3631">
        <v>3134</v>
      </c>
    </row>
    <row r="778" spans="1:11" ht="13.5">
      <c r="A778" s="3632">
        <v>38650</v>
      </c>
      <c r="B778" s="3631">
        <v>38700</v>
      </c>
      <c r="C778" s="3491">
        <v>0</v>
      </c>
      <c r="D778" s="3491">
        <v>99</v>
      </c>
      <c r="E778" s="3633">
        <v>1258</v>
      </c>
      <c r="F778" s="3631">
        <v>1954</v>
      </c>
      <c r="G778" s="3491">
        <v>0</v>
      </c>
      <c r="H778" s="3494">
        <v>986</v>
      </c>
      <c r="I778" s="3633">
        <v>2427</v>
      </c>
      <c r="J778" s="3631">
        <v>3123</v>
      </c>
    </row>
    <row r="779" spans="1:11" ht="13.5">
      <c r="A779" s="3632">
        <v>38700</v>
      </c>
      <c r="B779" s="3631">
        <v>38750</v>
      </c>
      <c r="C779" s="3491">
        <v>0</v>
      </c>
      <c r="D779" s="3491">
        <v>91</v>
      </c>
      <c r="E779" s="3633">
        <v>1247</v>
      </c>
      <c r="F779" s="3631">
        <v>1944</v>
      </c>
      <c r="G779" s="3491">
        <v>0</v>
      </c>
      <c r="H779" s="3494">
        <v>978</v>
      </c>
      <c r="I779" s="3633">
        <v>2416</v>
      </c>
      <c r="J779" s="3631">
        <v>3113</v>
      </c>
    </row>
    <row r="780" spans="1:11" ht="13.5">
      <c r="A780" s="3632">
        <v>38750</v>
      </c>
      <c r="B780" s="3631">
        <v>38800</v>
      </c>
      <c r="C780" s="3491">
        <v>0</v>
      </c>
      <c r="D780" s="3491">
        <v>83</v>
      </c>
      <c r="E780" s="3633">
        <v>1237</v>
      </c>
      <c r="F780" s="3631">
        <v>1933</v>
      </c>
      <c r="G780" s="3491">
        <v>0</v>
      </c>
      <c r="H780" s="3494">
        <v>970</v>
      </c>
      <c r="I780" s="3633">
        <v>2406</v>
      </c>
      <c r="J780" s="3631">
        <v>3102</v>
      </c>
    </row>
    <row r="781" spans="1:11" ht="13.5">
      <c r="A781" s="3632">
        <v>38800</v>
      </c>
      <c r="B781" s="3631">
        <v>38850</v>
      </c>
      <c r="C781" s="3491">
        <v>0</v>
      </c>
      <c r="D781" s="3491">
        <v>75</v>
      </c>
      <c r="E781" s="3633">
        <v>1226</v>
      </c>
      <c r="F781" s="3631">
        <v>1923</v>
      </c>
      <c r="G781" s="3491">
        <v>0</v>
      </c>
      <c r="H781" s="3494">
        <v>962</v>
      </c>
      <c r="I781" s="3633">
        <v>2395</v>
      </c>
      <c r="J781" s="3631">
        <v>3092</v>
      </c>
    </row>
    <row r="782" spans="1:11" ht="13.5">
      <c r="A782" s="3632">
        <v>38850</v>
      </c>
      <c r="B782" s="3631">
        <v>38900</v>
      </c>
      <c r="C782" s="3491">
        <v>0</v>
      </c>
      <c r="D782" s="3491">
        <v>67</v>
      </c>
      <c r="E782" s="3633">
        <v>1216</v>
      </c>
      <c r="F782" s="3631">
        <v>1912</v>
      </c>
      <c r="G782" s="3491">
        <v>0</v>
      </c>
      <c r="H782" s="3494">
        <v>954</v>
      </c>
      <c r="I782" s="3633">
        <v>2385</v>
      </c>
      <c r="J782" s="3631">
        <v>3081</v>
      </c>
    </row>
    <row r="783" spans="1:11" ht="13.5">
      <c r="A783" s="3632">
        <v>38900</v>
      </c>
      <c r="B783" s="3631">
        <v>38950</v>
      </c>
      <c r="C783" s="3491">
        <v>0</v>
      </c>
      <c r="D783" s="3491">
        <v>59</v>
      </c>
      <c r="E783" s="3633">
        <v>1205</v>
      </c>
      <c r="F783" s="3631">
        <v>1902</v>
      </c>
      <c r="G783" s="3491">
        <v>0</v>
      </c>
      <c r="H783" s="3494">
        <v>946</v>
      </c>
      <c r="I783" s="3633">
        <v>2374</v>
      </c>
      <c r="J783" s="3631">
        <v>3071</v>
      </c>
    </row>
    <row r="784" spans="1:11" ht="13.5">
      <c r="A784" s="3632">
        <v>38950</v>
      </c>
      <c r="B784" s="3631">
        <v>39000</v>
      </c>
      <c r="C784" s="3491">
        <v>0</v>
      </c>
      <c r="D784" s="3491">
        <v>51</v>
      </c>
      <c r="E784" s="3633">
        <v>1195</v>
      </c>
      <c r="F784" s="3631">
        <v>1891</v>
      </c>
      <c r="G784" s="3491">
        <v>0</v>
      </c>
      <c r="H784" s="3494">
        <v>938</v>
      </c>
      <c r="I784" s="3633">
        <v>2364</v>
      </c>
      <c r="J784" s="3631">
        <v>3060</v>
      </c>
    </row>
    <row r="785" spans="1:11" ht="13.5">
      <c r="A785" s="3632">
        <v>39000</v>
      </c>
      <c r="B785" s="3631">
        <v>39050</v>
      </c>
      <c r="C785" s="3491">
        <v>0</v>
      </c>
      <c r="D785" s="3491">
        <v>43</v>
      </c>
      <c r="E785" s="3633">
        <v>1184</v>
      </c>
      <c r="F785" s="3631">
        <v>1881</v>
      </c>
      <c r="G785" s="3491">
        <v>0</v>
      </c>
      <c r="H785" s="3494">
        <v>930</v>
      </c>
      <c r="I785" s="3633">
        <v>2353</v>
      </c>
      <c r="J785" s="3631">
        <v>3049</v>
      </c>
    </row>
    <row r="786" spans="1:11" ht="13.5">
      <c r="A786" s="3632">
        <v>39050</v>
      </c>
      <c r="B786" s="3631">
        <v>39100</v>
      </c>
      <c r="C786" s="3491">
        <v>0</v>
      </c>
      <c r="D786" s="3491">
        <v>35</v>
      </c>
      <c r="E786" s="3633">
        <v>1174</v>
      </c>
      <c r="F786" s="3631">
        <v>1870</v>
      </c>
      <c r="G786" s="3491">
        <v>0</v>
      </c>
      <c r="H786" s="3494">
        <v>922</v>
      </c>
      <c r="I786" s="3633">
        <v>2342</v>
      </c>
      <c r="J786" s="3631">
        <v>3039</v>
      </c>
    </row>
    <row r="787" spans="1:11" ht="13.5">
      <c r="A787" s="3632">
        <v>39100</v>
      </c>
      <c r="B787" s="3631">
        <v>39150</v>
      </c>
      <c r="C787" s="3491">
        <v>0</v>
      </c>
      <c r="D787" s="3491">
        <v>27</v>
      </c>
      <c r="E787" s="3633">
        <v>1163</v>
      </c>
      <c r="F787" s="3631">
        <v>1860</v>
      </c>
      <c r="G787" s="3491">
        <v>0</v>
      </c>
      <c r="H787" s="3494">
        <v>914</v>
      </c>
      <c r="I787" s="3633">
        <v>2332</v>
      </c>
      <c r="J787" s="3631">
        <v>3028</v>
      </c>
      <c r="K787" s="3634"/>
    </row>
    <row r="788" spans="1:11" ht="13.5">
      <c r="A788" s="3632">
        <v>39150</v>
      </c>
      <c r="B788" s="3631">
        <v>39200</v>
      </c>
      <c r="C788" s="3491">
        <v>0</v>
      </c>
      <c r="D788" s="3491">
        <v>19</v>
      </c>
      <c r="E788" s="3633">
        <v>1153</v>
      </c>
      <c r="F788" s="3631">
        <v>1849</v>
      </c>
      <c r="G788" s="3491">
        <v>0</v>
      </c>
      <c r="H788" s="3494">
        <v>906</v>
      </c>
      <c r="I788" s="3633">
        <v>2321</v>
      </c>
      <c r="J788" s="3631">
        <v>3018</v>
      </c>
      <c r="K788" s="3634"/>
    </row>
    <row r="789" spans="1:11" ht="13.5">
      <c r="A789" s="3632">
        <v>39200</v>
      </c>
      <c r="B789" s="3631">
        <v>39296</v>
      </c>
      <c r="C789" s="3491">
        <v>0</v>
      </c>
      <c r="D789" s="3491">
        <v>11</v>
      </c>
      <c r="E789" s="3633">
        <v>1142</v>
      </c>
      <c r="F789" s="3631">
        <v>1839</v>
      </c>
      <c r="G789" s="3491">
        <v>0</v>
      </c>
      <c r="H789" s="3494">
        <v>898</v>
      </c>
      <c r="I789" s="3633">
        <v>2311</v>
      </c>
      <c r="J789" s="3631">
        <v>3007</v>
      </c>
    </row>
    <row r="790" spans="1:11" ht="13.5">
      <c r="A790" s="3632">
        <v>39296</v>
      </c>
      <c r="B790" s="3631">
        <v>39300</v>
      </c>
      <c r="C790" s="3491">
        <v>0</v>
      </c>
      <c r="D790" s="3491">
        <v>4</v>
      </c>
      <c r="E790" s="3633">
        <v>1131</v>
      </c>
      <c r="F790" s="3631">
        <v>1828</v>
      </c>
      <c r="G790" s="3491">
        <v>0</v>
      </c>
      <c r="H790" s="3494">
        <v>890</v>
      </c>
      <c r="I790" s="3633">
        <v>2300</v>
      </c>
      <c r="J790" s="3631">
        <v>2997</v>
      </c>
    </row>
    <row r="791" spans="1:11" ht="13.5">
      <c r="A791" s="3632">
        <v>39250</v>
      </c>
      <c r="B791" s="3631">
        <v>39300</v>
      </c>
      <c r="C791" s="3491">
        <v>0</v>
      </c>
      <c r="D791" s="3491">
        <v>0</v>
      </c>
      <c r="E791" s="3633">
        <v>1131</v>
      </c>
      <c r="F791" s="3631">
        <v>1828</v>
      </c>
      <c r="G791" s="3491">
        <v>0</v>
      </c>
      <c r="H791" s="3494">
        <v>890</v>
      </c>
      <c r="I791" s="3633">
        <v>2300</v>
      </c>
      <c r="J791" s="3631">
        <v>2997</v>
      </c>
    </row>
    <row r="792" spans="1:11" ht="13.5">
      <c r="A792" s="3632">
        <v>39300</v>
      </c>
      <c r="B792" s="3631">
        <v>39350</v>
      </c>
      <c r="C792" s="3491">
        <v>0</v>
      </c>
      <c r="D792" s="3491">
        <v>0</v>
      </c>
      <c r="E792" s="3633">
        <v>1121</v>
      </c>
      <c r="F792" s="3631">
        <v>1817</v>
      </c>
      <c r="G792" s="3491">
        <v>0</v>
      </c>
      <c r="H792" s="3494">
        <v>882</v>
      </c>
      <c r="I792" s="3633">
        <v>2290</v>
      </c>
      <c r="J792" s="3631">
        <v>2986</v>
      </c>
    </row>
    <row r="793" spans="1:11" ht="13.5">
      <c r="A793" s="3632">
        <v>39350</v>
      </c>
      <c r="B793" s="3631">
        <v>39400</v>
      </c>
      <c r="C793" s="3491">
        <v>0</v>
      </c>
      <c r="D793" s="3491">
        <v>0</v>
      </c>
      <c r="E793" s="3633">
        <v>1110</v>
      </c>
      <c r="F793" s="3631">
        <v>1807</v>
      </c>
      <c r="G793" s="3491">
        <v>0</v>
      </c>
      <c r="H793" s="3494">
        <v>874</v>
      </c>
      <c r="I793" s="3633">
        <v>2279</v>
      </c>
      <c r="J793" s="3631">
        <v>2976</v>
      </c>
    </row>
    <row r="794" spans="1:11" ht="13.5">
      <c r="A794" s="3632">
        <v>39400</v>
      </c>
      <c r="B794" s="3631">
        <v>39450</v>
      </c>
      <c r="C794" s="3491">
        <v>0</v>
      </c>
      <c r="D794" s="3491">
        <v>0</v>
      </c>
      <c r="E794" s="3633">
        <v>1100</v>
      </c>
      <c r="F794" s="3631">
        <v>1796</v>
      </c>
      <c r="G794" s="3491">
        <v>0</v>
      </c>
      <c r="H794" s="3494">
        <v>866</v>
      </c>
      <c r="I794" s="3633">
        <v>2269</v>
      </c>
      <c r="J794" s="3631">
        <v>2965</v>
      </c>
    </row>
    <row r="795" spans="1:11" ht="13.5">
      <c r="A795" s="3632">
        <v>39450</v>
      </c>
      <c r="B795" s="3631">
        <v>39500</v>
      </c>
      <c r="C795" s="3491">
        <v>0</v>
      </c>
      <c r="D795" s="3491">
        <v>0</v>
      </c>
      <c r="E795" s="3633">
        <v>1089</v>
      </c>
      <c r="F795" s="3631">
        <v>1786</v>
      </c>
      <c r="G795" s="3491">
        <v>0</v>
      </c>
      <c r="H795" s="3494">
        <v>858</v>
      </c>
      <c r="I795" s="3633">
        <v>2258</v>
      </c>
      <c r="J795" s="3631">
        <v>2955</v>
      </c>
    </row>
    <row r="796" spans="1:11" ht="13.5">
      <c r="A796" s="3632">
        <v>39500</v>
      </c>
      <c r="B796" s="3631">
        <v>39550</v>
      </c>
      <c r="C796" s="3491">
        <v>0</v>
      </c>
      <c r="D796" s="3491">
        <v>0</v>
      </c>
      <c r="E796" s="3633">
        <v>1079</v>
      </c>
      <c r="F796" s="3631">
        <v>1775</v>
      </c>
      <c r="G796" s="3491">
        <v>0</v>
      </c>
      <c r="H796" s="3494">
        <v>850</v>
      </c>
      <c r="I796" s="3633">
        <v>2248</v>
      </c>
      <c r="J796" s="3631">
        <v>2944</v>
      </c>
    </row>
    <row r="797" spans="1:11" ht="13.5">
      <c r="A797" s="3632">
        <v>39550</v>
      </c>
      <c r="B797" s="3631">
        <v>39600</v>
      </c>
      <c r="C797" s="3491">
        <v>0</v>
      </c>
      <c r="D797" s="3491">
        <v>0</v>
      </c>
      <c r="E797" s="3633">
        <v>1068</v>
      </c>
      <c r="F797" s="3631">
        <v>1765</v>
      </c>
      <c r="G797" s="3491">
        <v>0</v>
      </c>
      <c r="H797" s="3494">
        <v>842</v>
      </c>
      <c r="I797" s="3633">
        <v>2237</v>
      </c>
      <c r="J797" s="3631">
        <v>2934</v>
      </c>
    </row>
    <row r="798" spans="1:11" ht="13.5">
      <c r="A798" s="3632">
        <v>39600</v>
      </c>
      <c r="B798" s="3631">
        <v>39650</v>
      </c>
      <c r="C798" s="3491">
        <v>0</v>
      </c>
      <c r="D798" s="3491">
        <v>0</v>
      </c>
      <c r="E798" s="3633">
        <v>1058</v>
      </c>
      <c r="F798" s="3631">
        <v>1754</v>
      </c>
      <c r="G798" s="3491">
        <v>0</v>
      </c>
      <c r="H798" s="3494">
        <v>834</v>
      </c>
      <c r="I798" s="3633">
        <v>2227</v>
      </c>
      <c r="J798" s="3631">
        <v>2923</v>
      </c>
    </row>
    <row r="799" spans="1:11" ht="13.5">
      <c r="A799" s="3632">
        <v>39650</v>
      </c>
      <c r="B799" s="3631">
        <v>39700</v>
      </c>
      <c r="C799" s="3491">
        <v>0</v>
      </c>
      <c r="D799" s="3491">
        <v>0</v>
      </c>
      <c r="E799" s="3633">
        <v>1047</v>
      </c>
      <c r="F799" s="3631">
        <v>1744</v>
      </c>
      <c r="G799" s="3491">
        <v>0</v>
      </c>
      <c r="H799" s="3494">
        <v>826</v>
      </c>
      <c r="I799" s="3633">
        <v>2216</v>
      </c>
      <c r="J799" s="3631">
        <v>2913</v>
      </c>
    </row>
    <row r="800" spans="1:11" ht="13.5">
      <c r="A800" s="3632">
        <v>39700</v>
      </c>
      <c r="B800" s="3631">
        <v>39750</v>
      </c>
      <c r="C800" s="3491">
        <v>0</v>
      </c>
      <c r="D800" s="3491">
        <v>0</v>
      </c>
      <c r="E800" s="3633">
        <v>1037</v>
      </c>
      <c r="F800" s="3631">
        <v>1733</v>
      </c>
      <c r="G800" s="3491">
        <v>0</v>
      </c>
      <c r="H800" s="3494">
        <v>818</v>
      </c>
      <c r="I800" s="3633">
        <v>2206</v>
      </c>
      <c r="J800" s="3631">
        <v>2902</v>
      </c>
    </row>
    <row r="801" spans="1:10" ht="13.5">
      <c r="A801" s="3632">
        <v>39750</v>
      </c>
      <c r="B801" s="3631">
        <v>39800</v>
      </c>
      <c r="C801" s="3491">
        <v>0</v>
      </c>
      <c r="D801" s="3491">
        <v>0</v>
      </c>
      <c r="E801" s="3633">
        <v>1026</v>
      </c>
      <c r="F801" s="3631">
        <v>1723</v>
      </c>
      <c r="G801" s="3491">
        <v>0</v>
      </c>
      <c r="H801" s="3494">
        <v>810</v>
      </c>
      <c r="I801" s="3633">
        <v>2195</v>
      </c>
      <c r="J801" s="3631">
        <v>2892</v>
      </c>
    </row>
    <row r="802" spans="1:10" ht="13.5">
      <c r="A802" s="3632">
        <v>39800</v>
      </c>
      <c r="B802" s="3631">
        <v>39850</v>
      </c>
      <c r="C802" s="3491">
        <v>0</v>
      </c>
      <c r="D802" s="3491">
        <v>0</v>
      </c>
      <c r="E802" s="3633">
        <v>1016</v>
      </c>
      <c r="F802" s="3631">
        <v>1712</v>
      </c>
      <c r="G802" s="3491">
        <v>0</v>
      </c>
      <c r="H802" s="3494">
        <v>802</v>
      </c>
      <c r="I802" s="3633">
        <v>2184</v>
      </c>
      <c r="J802" s="3631">
        <v>2881</v>
      </c>
    </row>
    <row r="803" spans="1:10" ht="13.5">
      <c r="A803" s="3632">
        <v>39850</v>
      </c>
      <c r="B803" s="3631">
        <v>39900</v>
      </c>
      <c r="C803" s="3491">
        <v>0</v>
      </c>
      <c r="D803" s="3491">
        <v>0</v>
      </c>
      <c r="E803" s="3633">
        <v>1005</v>
      </c>
      <c r="F803" s="3631">
        <v>1702</v>
      </c>
      <c r="G803" s="3491">
        <v>0</v>
      </c>
      <c r="H803" s="3494">
        <v>794</v>
      </c>
      <c r="I803" s="3633">
        <v>2174</v>
      </c>
      <c r="J803" s="3631">
        <v>2870</v>
      </c>
    </row>
    <row r="804" spans="1:10" ht="13.5">
      <c r="A804" s="3632">
        <v>39900</v>
      </c>
      <c r="B804" s="3631">
        <v>39950</v>
      </c>
      <c r="C804" s="3491">
        <v>0</v>
      </c>
      <c r="D804" s="3491">
        <v>0</v>
      </c>
      <c r="E804" s="3494">
        <v>995</v>
      </c>
      <c r="F804" s="3631">
        <v>1691</v>
      </c>
      <c r="G804" s="3491">
        <v>0</v>
      </c>
      <c r="H804" s="3494">
        <v>786</v>
      </c>
      <c r="I804" s="3633">
        <v>2163</v>
      </c>
      <c r="J804" s="3631">
        <v>2860</v>
      </c>
    </row>
    <row r="805" spans="1:10" ht="13.5">
      <c r="A805" s="3632">
        <v>39950</v>
      </c>
      <c r="B805" s="3631">
        <v>40000</v>
      </c>
      <c r="C805" s="3491">
        <v>0</v>
      </c>
      <c r="D805" s="3491">
        <v>0</v>
      </c>
      <c r="E805" s="3494">
        <v>984</v>
      </c>
      <c r="F805" s="3631">
        <v>1681</v>
      </c>
      <c r="G805" s="3491">
        <v>0</v>
      </c>
      <c r="H805" s="3494">
        <v>778</v>
      </c>
      <c r="I805" s="3633">
        <v>2153</v>
      </c>
      <c r="J805" s="3631">
        <v>2849</v>
      </c>
    </row>
    <row r="806" spans="1:10" ht="13.5">
      <c r="A806" s="3632">
        <v>40000</v>
      </c>
      <c r="B806" s="3631">
        <v>40050</v>
      </c>
      <c r="C806" s="3491">
        <v>0</v>
      </c>
      <c r="D806" s="3491">
        <v>0</v>
      </c>
      <c r="E806" s="3494">
        <v>974</v>
      </c>
      <c r="F806" s="3631">
        <v>1670</v>
      </c>
      <c r="G806" s="3491">
        <v>0</v>
      </c>
      <c r="H806" s="3494">
        <v>770</v>
      </c>
      <c r="I806" s="3633">
        <v>2142</v>
      </c>
      <c r="J806" s="3631">
        <v>2839</v>
      </c>
    </row>
    <row r="807" spans="1:10" ht="13.5">
      <c r="A807" s="3632">
        <v>40050</v>
      </c>
      <c r="B807" s="3631">
        <v>40100</v>
      </c>
      <c r="C807" s="3491">
        <v>0</v>
      </c>
      <c r="D807" s="3491">
        <v>0</v>
      </c>
      <c r="E807" s="3494">
        <v>963</v>
      </c>
      <c r="F807" s="3631">
        <v>1660</v>
      </c>
      <c r="G807" s="3491">
        <v>0</v>
      </c>
      <c r="H807" s="3494">
        <v>762</v>
      </c>
      <c r="I807" s="3633">
        <v>2132</v>
      </c>
      <c r="J807" s="3631">
        <v>2828</v>
      </c>
    </row>
    <row r="808" spans="1:10" ht="13.5">
      <c r="A808" s="3632">
        <v>40100</v>
      </c>
      <c r="B808" s="3631">
        <v>40150</v>
      </c>
      <c r="C808" s="3491">
        <v>0</v>
      </c>
      <c r="D808" s="3491">
        <v>0</v>
      </c>
      <c r="E808" s="3494">
        <v>952</v>
      </c>
      <c r="F808" s="3631">
        <v>1649</v>
      </c>
      <c r="G808" s="3491">
        <v>0</v>
      </c>
      <c r="H808" s="3494">
        <v>754</v>
      </c>
      <c r="I808" s="3633">
        <v>2121</v>
      </c>
      <c r="J808" s="3631">
        <v>2818</v>
      </c>
    </row>
    <row r="809" spans="1:10" ht="13.5">
      <c r="A809" s="3632">
        <v>40150</v>
      </c>
      <c r="B809" s="3631">
        <v>40200</v>
      </c>
      <c r="C809" s="3491">
        <v>0</v>
      </c>
      <c r="D809" s="3491">
        <v>0</v>
      </c>
      <c r="E809" s="3494">
        <v>942</v>
      </c>
      <c r="F809" s="3631">
        <v>1638</v>
      </c>
      <c r="G809" s="3491">
        <v>0</v>
      </c>
      <c r="H809" s="3494">
        <v>746</v>
      </c>
      <c r="I809" s="3633">
        <v>2111</v>
      </c>
      <c r="J809" s="3631">
        <v>2807</v>
      </c>
    </row>
    <row r="810" spans="1:10" ht="13.5">
      <c r="A810" s="3632">
        <v>40200</v>
      </c>
      <c r="B810" s="3631">
        <v>40250</v>
      </c>
      <c r="C810" s="3491">
        <v>0</v>
      </c>
      <c r="D810" s="3491">
        <v>0</v>
      </c>
      <c r="E810" s="3494">
        <v>931</v>
      </c>
      <c r="F810" s="3631">
        <v>1628</v>
      </c>
      <c r="G810" s="3491">
        <v>0</v>
      </c>
      <c r="H810" s="3494">
        <v>738</v>
      </c>
      <c r="I810" s="3633">
        <v>2100</v>
      </c>
      <c r="J810" s="3631">
        <v>2797</v>
      </c>
    </row>
    <row r="811" spans="1:10" ht="13.5">
      <c r="A811" s="3632">
        <v>40250</v>
      </c>
      <c r="B811" s="3631">
        <v>40300</v>
      </c>
      <c r="C811" s="3491">
        <v>0</v>
      </c>
      <c r="D811" s="3491">
        <v>0</v>
      </c>
      <c r="E811" s="3494">
        <v>921</v>
      </c>
      <c r="F811" s="3631">
        <v>1617</v>
      </c>
      <c r="G811" s="3491">
        <v>0</v>
      </c>
      <c r="H811" s="3494">
        <v>731</v>
      </c>
      <c r="I811" s="3633">
        <v>2090</v>
      </c>
      <c r="J811" s="3631">
        <v>2786</v>
      </c>
    </row>
    <row r="812" spans="1:10" ht="13.5">
      <c r="A812" s="3632">
        <v>40300</v>
      </c>
      <c r="B812" s="3631">
        <v>40350</v>
      </c>
      <c r="C812" s="3491">
        <v>0</v>
      </c>
      <c r="D812" s="3491">
        <v>0</v>
      </c>
      <c r="E812" s="3494">
        <v>910</v>
      </c>
      <c r="F812" s="3631">
        <v>1607</v>
      </c>
      <c r="G812" s="3491">
        <v>0</v>
      </c>
      <c r="H812" s="3494">
        <v>723</v>
      </c>
      <c r="I812" s="3633">
        <v>2079</v>
      </c>
      <c r="J812" s="3631">
        <v>2776</v>
      </c>
    </row>
    <row r="813" spans="1:10" ht="13.5">
      <c r="A813" s="3632">
        <v>40350</v>
      </c>
      <c r="B813" s="3631">
        <v>40400</v>
      </c>
      <c r="C813" s="3491">
        <v>0</v>
      </c>
      <c r="D813" s="3491">
        <v>0</v>
      </c>
      <c r="E813" s="3494">
        <v>900</v>
      </c>
      <c r="F813" s="3631">
        <v>1596</v>
      </c>
      <c r="G813" s="3491">
        <v>0</v>
      </c>
      <c r="H813" s="3494">
        <v>715</v>
      </c>
      <c r="I813" s="3633">
        <v>2069</v>
      </c>
      <c r="J813" s="3631">
        <v>2765</v>
      </c>
    </row>
    <row r="814" spans="1:10" ht="13.5">
      <c r="A814" s="3632">
        <v>40400</v>
      </c>
      <c r="B814" s="3631">
        <v>40450</v>
      </c>
      <c r="C814" s="3491">
        <v>0</v>
      </c>
      <c r="D814" s="3491">
        <v>0</v>
      </c>
      <c r="E814" s="3494">
        <v>889</v>
      </c>
      <c r="F814" s="3631">
        <v>1586</v>
      </c>
      <c r="G814" s="3491">
        <v>0</v>
      </c>
      <c r="H814" s="3494">
        <v>707</v>
      </c>
      <c r="I814" s="3633">
        <v>2058</v>
      </c>
      <c r="J814" s="3631">
        <v>2755</v>
      </c>
    </row>
    <row r="815" spans="1:10" ht="13.5">
      <c r="A815" s="3632">
        <v>40450</v>
      </c>
      <c r="B815" s="3631">
        <v>40500</v>
      </c>
      <c r="C815" s="3491">
        <v>0</v>
      </c>
      <c r="D815" s="3491">
        <v>0</v>
      </c>
      <c r="E815" s="3494">
        <v>879</v>
      </c>
      <c r="F815" s="3631">
        <v>1575</v>
      </c>
      <c r="G815" s="3491">
        <v>0</v>
      </c>
      <c r="H815" s="3494">
        <v>699</v>
      </c>
      <c r="I815" s="3633">
        <v>2048</v>
      </c>
      <c r="J815" s="3631">
        <v>2744</v>
      </c>
    </row>
    <row r="816" spans="1:10" ht="13.5">
      <c r="A816" s="3632">
        <v>40500</v>
      </c>
      <c r="B816" s="3631">
        <v>40550</v>
      </c>
      <c r="C816" s="3491">
        <v>0</v>
      </c>
      <c r="D816" s="3491">
        <v>0</v>
      </c>
      <c r="E816" s="3494">
        <v>868</v>
      </c>
      <c r="F816" s="3631">
        <v>1565</v>
      </c>
      <c r="G816" s="3491">
        <v>0</v>
      </c>
      <c r="H816" s="3494">
        <v>691</v>
      </c>
      <c r="I816" s="3633">
        <v>2037</v>
      </c>
      <c r="J816" s="3631">
        <v>2734</v>
      </c>
    </row>
    <row r="817" spans="1:10" ht="13.5">
      <c r="A817" s="3632">
        <v>40550</v>
      </c>
      <c r="B817" s="3631">
        <v>40600</v>
      </c>
      <c r="C817" s="3491">
        <v>0</v>
      </c>
      <c r="D817" s="3491">
        <v>0</v>
      </c>
      <c r="E817" s="3494">
        <v>858</v>
      </c>
      <c r="F817" s="3631">
        <v>1554</v>
      </c>
      <c r="G817" s="3491">
        <v>0</v>
      </c>
      <c r="H817" s="3494">
        <v>683</v>
      </c>
      <c r="I817" s="3633">
        <v>2027</v>
      </c>
      <c r="J817" s="3631">
        <v>2723</v>
      </c>
    </row>
    <row r="818" spans="1:10" ht="13.5">
      <c r="A818" s="3632">
        <v>40600</v>
      </c>
      <c r="B818" s="3631">
        <v>40650</v>
      </c>
      <c r="C818" s="3491">
        <v>0</v>
      </c>
      <c r="D818" s="3491">
        <v>0</v>
      </c>
      <c r="E818" s="3494">
        <v>847</v>
      </c>
      <c r="F818" s="3631">
        <v>1544</v>
      </c>
      <c r="G818" s="3491">
        <v>0</v>
      </c>
      <c r="H818" s="3494">
        <v>675</v>
      </c>
      <c r="I818" s="3633">
        <v>2016</v>
      </c>
      <c r="J818" s="3631">
        <v>2713</v>
      </c>
    </row>
    <row r="819" spans="1:10" ht="13.5">
      <c r="A819" s="3632">
        <v>40650</v>
      </c>
      <c r="B819" s="3631">
        <v>40700</v>
      </c>
      <c r="C819" s="3491">
        <v>0</v>
      </c>
      <c r="D819" s="3491">
        <v>0</v>
      </c>
      <c r="E819" s="3494">
        <v>837</v>
      </c>
      <c r="F819" s="3631">
        <v>1533</v>
      </c>
      <c r="G819" s="3491">
        <v>0</v>
      </c>
      <c r="H819" s="3494">
        <v>667</v>
      </c>
      <c r="I819" s="3633">
        <v>2005</v>
      </c>
      <c r="J819" s="3631">
        <v>2702</v>
      </c>
    </row>
    <row r="820" spans="1:10" ht="13.5">
      <c r="A820" s="3632">
        <v>40700</v>
      </c>
      <c r="B820" s="3631">
        <v>40750</v>
      </c>
      <c r="C820" s="3491">
        <v>0</v>
      </c>
      <c r="D820" s="3491">
        <v>0</v>
      </c>
      <c r="E820" s="3494">
        <v>826</v>
      </c>
      <c r="F820" s="3631">
        <v>1523</v>
      </c>
      <c r="G820" s="3491">
        <v>0</v>
      </c>
      <c r="H820" s="3494">
        <v>659</v>
      </c>
      <c r="I820" s="3633">
        <v>1995</v>
      </c>
      <c r="J820" s="3631">
        <v>2691</v>
      </c>
    </row>
    <row r="821" spans="1:10" ht="13.5">
      <c r="A821" s="3632">
        <v>40750</v>
      </c>
      <c r="B821" s="3631">
        <v>40800</v>
      </c>
      <c r="C821" s="3491">
        <v>0</v>
      </c>
      <c r="D821" s="3491">
        <v>0</v>
      </c>
      <c r="E821" s="3494">
        <v>816</v>
      </c>
      <c r="F821" s="3631">
        <v>1512</v>
      </c>
      <c r="G821" s="3491">
        <v>0</v>
      </c>
      <c r="H821" s="3494">
        <v>651</v>
      </c>
      <c r="I821" s="3633">
        <v>1984</v>
      </c>
      <c r="J821" s="3631">
        <v>2681</v>
      </c>
    </row>
    <row r="822" spans="1:10" ht="13.5">
      <c r="A822" s="3632">
        <v>40800</v>
      </c>
      <c r="B822" s="3631">
        <v>40850</v>
      </c>
      <c r="C822" s="3491">
        <v>0</v>
      </c>
      <c r="D822" s="3491">
        <v>0</v>
      </c>
      <c r="E822" s="3494">
        <v>805</v>
      </c>
      <c r="F822" s="3631">
        <v>1502</v>
      </c>
      <c r="G822" s="3491">
        <v>0</v>
      </c>
      <c r="H822" s="3494">
        <v>643</v>
      </c>
      <c r="I822" s="3633">
        <v>1974</v>
      </c>
      <c r="J822" s="3631">
        <v>2670</v>
      </c>
    </row>
    <row r="823" spans="1:10" ht="13.5">
      <c r="A823" s="3632">
        <v>40850</v>
      </c>
      <c r="B823" s="3631">
        <v>40900</v>
      </c>
      <c r="C823" s="3491">
        <v>0</v>
      </c>
      <c r="D823" s="3491">
        <v>0</v>
      </c>
      <c r="E823" s="3494">
        <v>795</v>
      </c>
      <c r="F823" s="3631">
        <v>1491</v>
      </c>
      <c r="G823" s="3491">
        <v>0</v>
      </c>
      <c r="H823" s="3494">
        <v>635</v>
      </c>
      <c r="I823" s="3633">
        <v>1963</v>
      </c>
      <c r="J823" s="3631">
        <v>2660</v>
      </c>
    </row>
    <row r="824" spans="1:10" ht="13.5">
      <c r="A824" s="3632">
        <v>40900</v>
      </c>
      <c r="B824" s="3631">
        <v>40950</v>
      </c>
      <c r="C824" s="3491">
        <v>0</v>
      </c>
      <c r="D824" s="3491">
        <v>0</v>
      </c>
      <c r="E824" s="3494">
        <v>784</v>
      </c>
      <c r="F824" s="3631">
        <v>1481</v>
      </c>
      <c r="G824" s="3491">
        <v>0</v>
      </c>
      <c r="H824" s="3494">
        <v>627</v>
      </c>
      <c r="I824" s="3633">
        <v>1953</v>
      </c>
      <c r="J824" s="3631">
        <v>2649</v>
      </c>
    </row>
    <row r="825" spans="1:10" ht="13.5">
      <c r="A825" s="3632">
        <v>40950</v>
      </c>
      <c r="B825" s="3631">
        <v>41000</v>
      </c>
      <c r="C825" s="3491">
        <v>0</v>
      </c>
      <c r="D825" s="3491">
        <v>0</v>
      </c>
      <c r="E825" s="3494">
        <v>773</v>
      </c>
      <c r="F825" s="3631">
        <v>1470</v>
      </c>
      <c r="G825" s="3491">
        <v>0</v>
      </c>
      <c r="H825" s="3494">
        <v>619</v>
      </c>
      <c r="I825" s="3633">
        <v>1942</v>
      </c>
      <c r="J825" s="3631">
        <v>2639</v>
      </c>
    </row>
    <row r="826" spans="1:10" ht="13.5">
      <c r="A826" s="3632">
        <v>41000</v>
      </c>
      <c r="B826" s="3631">
        <v>41050</v>
      </c>
      <c r="C826" s="3491">
        <v>0</v>
      </c>
      <c r="D826" s="3491">
        <v>0</v>
      </c>
      <c r="E826" s="3494">
        <v>763</v>
      </c>
      <c r="F826" s="3631">
        <v>1459</v>
      </c>
      <c r="G826" s="3491">
        <v>0</v>
      </c>
      <c r="H826" s="3494">
        <v>611</v>
      </c>
      <c r="I826" s="3633">
        <v>1932</v>
      </c>
      <c r="J826" s="3631">
        <v>2628</v>
      </c>
    </row>
    <row r="827" spans="1:10" ht="13.5">
      <c r="A827" s="3632">
        <v>41050</v>
      </c>
      <c r="B827" s="3631">
        <v>41100</v>
      </c>
      <c r="C827" s="3491">
        <v>0</v>
      </c>
      <c r="D827" s="3491">
        <v>0</v>
      </c>
      <c r="E827" s="3494">
        <v>752</v>
      </c>
      <c r="F827" s="3631">
        <v>1449</v>
      </c>
      <c r="G827" s="3491">
        <v>0</v>
      </c>
      <c r="H827" s="3494">
        <v>603</v>
      </c>
      <c r="I827" s="3633">
        <v>1921</v>
      </c>
      <c r="J827" s="3631">
        <v>2618</v>
      </c>
    </row>
    <row r="828" spans="1:10" ht="13.5">
      <c r="A828" s="3632">
        <v>41100</v>
      </c>
      <c r="B828" s="3631">
        <v>41150</v>
      </c>
      <c r="C828" s="3491">
        <v>0</v>
      </c>
      <c r="D828" s="3491">
        <v>0</v>
      </c>
      <c r="E828" s="3494">
        <v>742</v>
      </c>
      <c r="F828" s="3631">
        <v>1438</v>
      </c>
      <c r="G828" s="3491">
        <v>0</v>
      </c>
      <c r="H828" s="3494">
        <v>595</v>
      </c>
      <c r="I828" s="3633">
        <v>1911</v>
      </c>
      <c r="J828" s="3631">
        <v>2607</v>
      </c>
    </row>
    <row r="829" spans="1:10" ht="13.5">
      <c r="A829" s="3632">
        <v>41150</v>
      </c>
      <c r="B829" s="3631">
        <v>41200</v>
      </c>
      <c r="C829" s="3491">
        <v>0</v>
      </c>
      <c r="D829" s="3491">
        <v>0</v>
      </c>
      <c r="E829" s="3494">
        <v>731</v>
      </c>
      <c r="F829" s="3631">
        <v>1428</v>
      </c>
      <c r="G829" s="3491">
        <v>0</v>
      </c>
      <c r="H829" s="3494">
        <v>587</v>
      </c>
      <c r="I829" s="3633">
        <v>1900</v>
      </c>
      <c r="J829" s="3631">
        <v>2597</v>
      </c>
    </row>
    <row r="830" spans="1:10" ht="13.5">
      <c r="A830" s="3632">
        <v>41200</v>
      </c>
      <c r="B830" s="3631">
        <v>41250</v>
      </c>
      <c r="C830" s="3491">
        <v>0</v>
      </c>
      <c r="D830" s="3491">
        <v>0</v>
      </c>
      <c r="E830" s="3494">
        <v>721</v>
      </c>
      <c r="F830" s="3631">
        <v>1417</v>
      </c>
      <c r="G830" s="3491">
        <v>0</v>
      </c>
      <c r="H830" s="3494">
        <v>579</v>
      </c>
      <c r="I830" s="3633">
        <v>1890</v>
      </c>
      <c r="J830" s="3631">
        <v>2586</v>
      </c>
    </row>
    <row r="831" spans="1:10" ht="13.5">
      <c r="A831" s="3632">
        <v>41250</v>
      </c>
      <c r="B831" s="3631">
        <v>41300</v>
      </c>
      <c r="C831" s="3491">
        <v>0</v>
      </c>
      <c r="D831" s="3491">
        <v>0</v>
      </c>
      <c r="E831" s="3494">
        <v>710</v>
      </c>
      <c r="F831" s="3631">
        <v>1407</v>
      </c>
      <c r="G831" s="3491">
        <v>0</v>
      </c>
      <c r="H831" s="3494">
        <v>571</v>
      </c>
      <c r="I831" s="3633">
        <v>1879</v>
      </c>
      <c r="J831" s="3631">
        <v>2576</v>
      </c>
    </row>
    <row r="832" spans="1:10" ht="13.5">
      <c r="A832" s="3632">
        <v>41300</v>
      </c>
      <c r="B832" s="3631">
        <v>41350</v>
      </c>
      <c r="C832" s="3491">
        <v>0</v>
      </c>
      <c r="D832" s="3491">
        <v>0</v>
      </c>
      <c r="E832" s="3494">
        <v>700</v>
      </c>
      <c r="F832" s="3631">
        <v>1396</v>
      </c>
      <c r="G832" s="3491">
        <v>0</v>
      </c>
      <c r="H832" s="3494">
        <v>563</v>
      </c>
      <c r="I832" s="3633">
        <v>1869</v>
      </c>
      <c r="J832" s="3631">
        <v>2565</v>
      </c>
    </row>
    <row r="833" spans="1:11" ht="13.5">
      <c r="A833" s="3632">
        <v>41350</v>
      </c>
      <c r="B833" s="3631">
        <v>41400</v>
      </c>
      <c r="C833" s="3491">
        <v>0</v>
      </c>
      <c r="D833" s="3491">
        <v>0</v>
      </c>
      <c r="E833" s="3494">
        <v>689</v>
      </c>
      <c r="F833" s="3631">
        <v>1386</v>
      </c>
      <c r="G833" s="3491">
        <v>0</v>
      </c>
      <c r="H833" s="3494">
        <v>555</v>
      </c>
      <c r="I833" s="3633">
        <v>1858</v>
      </c>
      <c r="J833" s="3631">
        <v>2555</v>
      </c>
    </row>
    <row r="834" spans="1:11" ht="13.5">
      <c r="A834" s="3632">
        <v>41400</v>
      </c>
      <c r="B834" s="3631">
        <v>41450</v>
      </c>
      <c r="C834" s="3491">
        <v>0</v>
      </c>
      <c r="D834" s="3491">
        <v>0</v>
      </c>
      <c r="E834" s="3494">
        <v>679</v>
      </c>
      <c r="F834" s="3631">
        <v>1375</v>
      </c>
      <c r="G834" s="3491">
        <v>0</v>
      </c>
      <c r="H834" s="3494">
        <v>547</v>
      </c>
      <c r="I834" s="3633">
        <v>1848</v>
      </c>
      <c r="J834" s="3631">
        <v>2544</v>
      </c>
    </row>
    <row r="835" spans="1:11" ht="13.5">
      <c r="A835" s="3632">
        <v>41450</v>
      </c>
      <c r="B835" s="3631">
        <v>41500</v>
      </c>
      <c r="C835" s="3491">
        <v>0</v>
      </c>
      <c r="D835" s="3491">
        <v>0</v>
      </c>
      <c r="E835" s="3494">
        <v>668</v>
      </c>
      <c r="F835" s="3631">
        <v>1365</v>
      </c>
      <c r="G835" s="3491">
        <v>0</v>
      </c>
      <c r="H835" s="3494">
        <v>539</v>
      </c>
      <c r="I835" s="3633">
        <v>1837</v>
      </c>
      <c r="J835" s="3631">
        <v>2534</v>
      </c>
    </row>
    <row r="836" spans="1:11" ht="13.5">
      <c r="A836" s="3632">
        <v>41500</v>
      </c>
      <c r="B836" s="3631">
        <v>41550</v>
      </c>
      <c r="C836" s="3491">
        <v>0</v>
      </c>
      <c r="D836" s="3491">
        <v>0</v>
      </c>
      <c r="E836" s="3494">
        <v>658</v>
      </c>
      <c r="F836" s="3631">
        <v>1354</v>
      </c>
      <c r="G836" s="3491">
        <v>0</v>
      </c>
      <c r="H836" s="3494">
        <v>531</v>
      </c>
      <c r="I836" s="3633">
        <v>1826</v>
      </c>
      <c r="J836" s="3631">
        <v>2523</v>
      </c>
    </row>
    <row r="837" spans="1:11" ht="13.5">
      <c r="A837" s="3632">
        <v>41550</v>
      </c>
      <c r="B837" s="3631">
        <v>41600</v>
      </c>
      <c r="C837" s="3491">
        <v>0</v>
      </c>
      <c r="D837" s="3491">
        <v>0</v>
      </c>
      <c r="E837" s="3494">
        <v>647</v>
      </c>
      <c r="F837" s="3631">
        <v>1344</v>
      </c>
      <c r="G837" s="3491">
        <v>0</v>
      </c>
      <c r="H837" s="3494">
        <v>523</v>
      </c>
      <c r="I837" s="3633">
        <v>1816</v>
      </c>
      <c r="J837" s="3631">
        <v>2512</v>
      </c>
    </row>
    <row r="838" spans="1:11" ht="13.5">
      <c r="A838" s="3632">
        <v>41600</v>
      </c>
      <c r="B838" s="3631">
        <v>41650</v>
      </c>
      <c r="C838" s="3491">
        <v>0</v>
      </c>
      <c r="D838" s="3491">
        <v>0</v>
      </c>
      <c r="E838" s="3494">
        <v>637</v>
      </c>
      <c r="F838" s="3631">
        <v>1333</v>
      </c>
      <c r="G838" s="3491">
        <v>0</v>
      </c>
      <c r="H838" s="3494">
        <v>515</v>
      </c>
      <c r="I838" s="3633">
        <v>1805</v>
      </c>
      <c r="J838" s="3631">
        <v>2502</v>
      </c>
    </row>
    <row r="839" spans="1:11" ht="13.5">
      <c r="A839" s="3632">
        <v>41650</v>
      </c>
      <c r="B839" s="3631">
        <v>41700</v>
      </c>
      <c r="C839" s="3491">
        <v>0</v>
      </c>
      <c r="D839" s="3491">
        <v>0</v>
      </c>
      <c r="E839" s="3494">
        <v>626</v>
      </c>
      <c r="F839" s="3631">
        <v>1323</v>
      </c>
      <c r="G839" s="3491">
        <v>0</v>
      </c>
      <c r="H839" s="3494">
        <v>507</v>
      </c>
      <c r="I839" s="3633">
        <v>1795</v>
      </c>
      <c r="J839" s="3631">
        <v>2491</v>
      </c>
    </row>
    <row r="840" spans="1:11" ht="13.5">
      <c r="A840" s="3632">
        <v>41700</v>
      </c>
      <c r="B840" s="3631">
        <v>41750</v>
      </c>
      <c r="C840" s="3491">
        <v>0</v>
      </c>
      <c r="D840" s="3491">
        <v>0</v>
      </c>
      <c r="E840" s="3494">
        <v>616</v>
      </c>
      <c r="F840" s="3631">
        <v>1312</v>
      </c>
      <c r="G840" s="3491">
        <v>0</v>
      </c>
      <c r="H840" s="3494">
        <v>499</v>
      </c>
      <c r="I840" s="3633">
        <v>1784</v>
      </c>
      <c r="J840" s="3631">
        <v>2481</v>
      </c>
    </row>
    <row r="841" spans="1:11" ht="13.5">
      <c r="A841" s="3632">
        <v>41750</v>
      </c>
      <c r="B841" s="3631">
        <v>41800</v>
      </c>
      <c r="C841" s="3491">
        <v>0</v>
      </c>
      <c r="D841" s="3491">
        <v>0</v>
      </c>
      <c r="E841" s="3494">
        <v>605</v>
      </c>
      <c r="F841" s="3631">
        <v>1301</v>
      </c>
      <c r="G841" s="3491">
        <v>0</v>
      </c>
      <c r="H841" s="3494">
        <v>491</v>
      </c>
      <c r="I841" s="3633">
        <v>1774</v>
      </c>
      <c r="J841" s="3631">
        <v>2470</v>
      </c>
    </row>
    <row r="842" spans="1:11" ht="13.5">
      <c r="A842" s="3632">
        <v>41800</v>
      </c>
      <c r="B842" s="3631">
        <v>41850</v>
      </c>
      <c r="C842" s="3491">
        <v>0</v>
      </c>
      <c r="D842" s="3491">
        <v>0</v>
      </c>
      <c r="E842" s="3494">
        <v>594</v>
      </c>
      <c r="F842" s="3631">
        <v>1291</v>
      </c>
      <c r="G842" s="3491">
        <v>0</v>
      </c>
      <c r="H842" s="3494">
        <v>483</v>
      </c>
      <c r="I842" s="3633">
        <v>1763</v>
      </c>
      <c r="J842" s="3631">
        <v>2460</v>
      </c>
    </row>
    <row r="843" spans="1:11" ht="13.5">
      <c r="A843" s="3632">
        <v>41850</v>
      </c>
      <c r="B843" s="3631">
        <v>41900</v>
      </c>
      <c r="C843" s="3491">
        <v>0</v>
      </c>
      <c r="D843" s="3491">
        <v>0</v>
      </c>
      <c r="E843" s="3494">
        <v>584</v>
      </c>
      <c r="F843" s="3631">
        <v>1280</v>
      </c>
      <c r="G843" s="3491">
        <v>0</v>
      </c>
      <c r="H843" s="3494">
        <v>475</v>
      </c>
      <c r="I843" s="3633">
        <v>1753</v>
      </c>
      <c r="J843" s="3631">
        <v>2449</v>
      </c>
    </row>
    <row r="844" spans="1:11" ht="13.5">
      <c r="A844" s="3632">
        <v>41900</v>
      </c>
      <c r="B844" s="3631">
        <v>41950</v>
      </c>
      <c r="C844" s="3491">
        <v>0</v>
      </c>
      <c r="D844" s="3491">
        <v>0</v>
      </c>
      <c r="E844" s="3494">
        <v>573</v>
      </c>
      <c r="F844" s="3631">
        <v>1270</v>
      </c>
      <c r="G844" s="3491">
        <v>0</v>
      </c>
      <c r="H844" s="3494">
        <v>467</v>
      </c>
      <c r="I844" s="3633">
        <v>1742</v>
      </c>
      <c r="J844" s="3631">
        <v>2439</v>
      </c>
      <c r="K844" s="3624"/>
    </row>
    <row r="845" spans="1:11" ht="13.5">
      <c r="A845" s="3632">
        <v>41950</v>
      </c>
      <c r="B845" s="3631">
        <v>42000</v>
      </c>
      <c r="C845" s="3491">
        <v>0</v>
      </c>
      <c r="D845" s="3491">
        <v>0</v>
      </c>
      <c r="E845" s="3494">
        <v>563</v>
      </c>
      <c r="F845" s="3631">
        <v>1259</v>
      </c>
      <c r="G845" s="3491">
        <v>0</v>
      </c>
      <c r="H845" s="3494">
        <v>459</v>
      </c>
      <c r="I845" s="3633">
        <v>1732</v>
      </c>
      <c r="J845" s="3631">
        <v>2428</v>
      </c>
      <c r="K845" s="3624"/>
    </row>
    <row r="846" spans="1:11" ht="13.5">
      <c r="A846" s="3632">
        <v>42000</v>
      </c>
      <c r="B846" s="3631">
        <v>42050</v>
      </c>
      <c r="C846" s="3491">
        <v>0</v>
      </c>
      <c r="D846" s="3491">
        <v>0</v>
      </c>
      <c r="E846" s="3494">
        <v>552</v>
      </c>
      <c r="F846" s="3631">
        <v>1249</v>
      </c>
      <c r="G846" s="3491">
        <v>0</v>
      </c>
      <c r="H846" s="3494">
        <v>451</v>
      </c>
      <c r="I846" s="3633">
        <v>1721</v>
      </c>
      <c r="J846" s="3631">
        <v>2418</v>
      </c>
      <c r="K846" s="3624"/>
    </row>
    <row r="847" spans="1:11" ht="13.5">
      <c r="A847" s="3632">
        <v>42050</v>
      </c>
      <c r="B847" s="3631">
        <v>42100</v>
      </c>
      <c r="C847" s="3491">
        <v>0</v>
      </c>
      <c r="D847" s="3491">
        <v>0</v>
      </c>
      <c r="E847" s="3494">
        <v>542</v>
      </c>
      <c r="F847" s="3631">
        <v>1238</v>
      </c>
      <c r="G847" s="3491">
        <v>0</v>
      </c>
      <c r="H847" s="3494">
        <v>443</v>
      </c>
      <c r="I847" s="3633">
        <v>1711</v>
      </c>
      <c r="J847" s="3631">
        <v>2407</v>
      </c>
      <c r="K847" s="3624"/>
    </row>
    <row r="848" spans="1:11" ht="13.5">
      <c r="A848" s="3632">
        <v>42100</v>
      </c>
      <c r="B848" s="3631">
        <v>42150</v>
      </c>
      <c r="C848" s="3491">
        <v>0</v>
      </c>
      <c r="D848" s="3491">
        <v>0</v>
      </c>
      <c r="E848" s="3494">
        <v>531</v>
      </c>
      <c r="F848" s="3631">
        <v>1228</v>
      </c>
      <c r="G848" s="3491">
        <v>0</v>
      </c>
      <c r="H848" s="3494">
        <v>435</v>
      </c>
      <c r="I848" s="3633">
        <v>1700</v>
      </c>
      <c r="J848" s="3631">
        <v>2397</v>
      </c>
      <c r="K848" s="3624"/>
    </row>
    <row r="849" spans="1:11" ht="13.5">
      <c r="A849" s="3632">
        <v>42150</v>
      </c>
      <c r="B849" s="3631">
        <v>42200</v>
      </c>
      <c r="C849" s="3491">
        <v>0</v>
      </c>
      <c r="D849" s="3491">
        <v>0</v>
      </c>
      <c r="E849" s="3494">
        <v>521</v>
      </c>
      <c r="F849" s="3631">
        <v>1217</v>
      </c>
      <c r="G849" s="3491">
        <v>0</v>
      </c>
      <c r="H849" s="3494">
        <v>427</v>
      </c>
      <c r="I849" s="3633">
        <v>1690</v>
      </c>
      <c r="J849" s="3631">
        <v>2386</v>
      </c>
      <c r="K849" s="3624"/>
    </row>
    <row r="850" spans="1:11" ht="13.5">
      <c r="A850" s="3632">
        <v>42200</v>
      </c>
      <c r="B850" s="3631">
        <v>42250</v>
      </c>
      <c r="C850" s="3491">
        <v>0</v>
      </c>
      <c r="D850" s="3491">
        <v>0</v>
      </c>
      <c r="E850" s="3494">
        <v>510</v>
      </c>
      <c r="F850" s="3631">
        <v>1207</v>
      </c>
      <c r="G850" s="3491">
        <v>0</v>
      </c>
      <c r="H850" s="3494">
        <v>419</v>
      </c>
      <c r="I850" s="3633">
        <v>1679</v>
      </c>
      <c r="J850" s="3631">
        <v>2376</v>
      </c>
      <c r="K850" s="3624"/>
    </row>
    <row r="851" spans="1:11" ht="13.5">
      <c r="A851" s="3632">
        <v>42250</v>
      </c>
      <c r="B851" s="3631">
        <v>42300</v>
      </c>
      <c r="C851" s="3491">
        <v>0</v>
      </c>
      <c r="D851" s="3491">
        <v>0</v>
      </c>
      <c r="E851" s="3494">
        <v>500</v>
      </c>
      <c r="F851" s="3631">
        <v>1196</v>
      </c>
      <c r="G851" s="3491">
        <v>0</v>
      </c>
      <c r="H851" s="3494">
        <v>411</v>
      </c>
      <c r="I851" s="3633">
        <v>1669</v>
      </c>
      <c r="J851" s="3631">
        <v>2365</v>
      </c>
      <c r="K851" s="3624"/>
    </row>
    <row r="852" spans="1:11" ht="13.5">
      <c r="A852" s="3632">
        <v>42300</v>
      </c>
      <c r="B852" s="3631">
        <v>42350</v>
      </c>
      <c r="C852" s="3491">
        <v>0</v>
      </c>
      <c r="D852" s="3491">
        <v>0</v>
      </c>
      <c r="E852" s="3494">
        <v>489</v>
      </c>
      <c r="F852" s="3631">
        <v>1186</v>
      </c>
      <c r="G852" s="3491">
        <v>0</v>
      </c>
      <c r="H852" s="3494">
        <v>403</v>
      </c>
      <c r="I852" s="3633">
        <v>1658</v>
      </c>
      <c r="J852" s="3631">
        <v>2354</v>
      </c>
      <c r="K852" s="3624"/>
    </row>
    <row r="853" spans="1:11" ht="13.5">
      <c r="A853" s="3632">
        <v>42350</v>
      </c>
      <c r="B853" s="3631">
        <v>42400</v>
      </c>
      <c r="C853" s="3491">
        <v>0</v>
      </c>
      <c r="D853" s="3491">
        <v>0</v>
      </c>
      <c r="E853" s="3494">
        <v>479</v>
      </c>
      <c r="F853" s="3631">
        <v>1175</v>
      </c>
      <c r="G853" s="3491">
        <v>0</v>
      </c>
      <c r="H853" s="3494">
        <v>395</v>
      </c>
      <c r="I853" s="3633">
        <v>1647</v>
      </c>
      <c r="J853" s="3631">
        <v>2344</v>
      </c>
      <c r="K853" s="3624"/>
    </row>
    <row r="854" spans="1:11" ht="13.5">
      <c r="A854" s="3632">
        <v>42400</v>
      </c>
      <c r="B854" s="3631">
        <v>42450</v>
      </c>
      <c r="C854" s="3491">
        <v>0</v>
      </c>
      <c r="D854" s="3491">
        <v>0</v>
      </c>
      <c r="E854" s="3494">
        <v>468</v>
      </c>
      <c r="F854" s="3631">
        <v>1165</v>
      </c>
      <c r="G854" s="3491">
        <v>0</v>
      </c>
      <c r="H854" s="3494">
        <v>387</v>
      </c>
      <c r="I854" s="3633">
        <v>1637</v>
      </c>
      <c r="J854" s="3631">
        <v>2333</v>
      </c>
      <c r="K854" s="3624"/>
    </row>
    <row r="855" spans="1:11" ht="13.5">
      <c r="A855" s="3632">
        <v>42450</v>
      </c>
      <c r="B855" s="3631">
        <v>42500</v>
      </c>
      <c r="C855" s="3491">
        <v>0</v>
      </c>
      <c r="D855" s="3491">
        <v>0</v>
      </c>
      <c r="E855" s="3494">
        <v>458</v>
      </c>
      <c r="F855" s="3631">
        <v>1154</v>
      </c>
      <c r="G855" s="3491">
        <v>0</v>
      </c>
      <c r="H855" s="3494">
        <v>379</v>
      </c>
      <c r="I855" s="3633">
        <v>1626</v>
      </c>
      <c r="J855" s="3631">
        <v>2323</v>
      </c>
      <c r="K855" s="3624"/>
    </row>
    <row r="856" spans="1:11" ht="13.5">
      <c r="A856" s="3632">
        <v>42500</v>
      </c>
      <c r="B856" s="3631">
        <v>42550</v>
      </c>
      <c r="C856" s="3491">
        <v>0</v>
      </c>
      <c r="D856" s="3491">
        <v>0</v>
      </c>
      <c r="E856" s="3494">
        <v>447</v>
      </c>
      <c r="F856" s="3631">
        <v>1144</v>
      </c>
      <c r="G856" s="3491">
        <v>0</v>
      </c>
      <c r="H856" s="3494">
        <v>371</v>
      </c>
      <c r="I856" s="3633">
        <v>1616</v>
      </c>
      <c r="J856" s="3631">
        <v>2312</v>
      </c>
      <c r="K856" s="3624"/>
    </row>
    <row r="857" spans="1:11" ht="13.5">
      <c r="A857" s="3632">
        <v>42550</v>
      </c>
      <c r="B857" s="3631">
        <v>42600</v>
      </c>
      <c r="C857" s="3491">
        <v>0</v>
      </c>
      <c r="D857" s="3491">
        <v>0</v>
      </c>
      <c r="E857" s="3494">
        <v>437</v>
      </c>
      <c r="F857" s="3631">
        <v>1133</v>
      </c>
      <c r="G857" s="3491">
        <v>0</v>
      </c>
      <c r="H857" s="3494">
        <v>363</v>
      </c>
      <c r="I857" s="3633">
        <v>1605</v>
      </c>
      <c r="J857" s="3631">
        <v>2302</v>
      </c>
      <c r="K857" s="3624"/>
    </row>
    <row r="858" spans="1:11" ht="13.5">
      <c r="A858" s="3632">
        <v>42600</v>
      </c>
      <c r="B858" s="3631">
        <v>42650</v>
      </c>
      <c r="C858" s="3491">
        <v>0</v>
      </c>
      <c r="D858" s="3491">
        <v>0</v>
      </c>
      <c r="E858" s="3494">
        <v>426</v>
      </c>
      <c r="F858" s="3631">
        <v>1122</v>
      </c>
      <c r="G858" s="3491">
        <v>0</v>
      </c>
      <c r="H858" s="3494">
        <v>355</v>
      </c>
      <c r="I858" s="3633">
        <v>1595</v>
      </c>
      <c r="J858" s="3631">
        <v>2291</v>
      </c>
      <c r="K858" s="3624"/>
    </row>
    <row r="859" spans="1:11" ht="13.5">
      <c r="A859" s="3632">
        <v>42650</v>
      </c>
      <c r="B859" s="3631">
        <v>42700</v>
      </c>
      <c r="C859" s="3491">
        <v>0</v>
      </c>
      <c r="D859" s="3491">
        <v>0</v>
      </c>
      <c r="E859" s="3494">
        <v>415</v>
      </c>
      <c r="F859" s="3631">
        <v>1112</v>
      </c>
      <c r="G859" s="3491">
        <v>0</v>
      </c>
      <c r="H859" s="3494">
        <v>347</v>
      </c>
      <c r="I859" s="3633">
        <v>1584</v>
      </c>
      <c r="J859" s="3631">
        <v>2281</v>
      </c>
      <c r="K859" s="3624"/>
    </row>
    <row r="860" spans="1:11" ht="13.5">
      <c r="A860" s="3632">
        <v>42700</v>
      </c>
      <c r="B860" s="3631">
        <v>42750</v>
      </c>
      <c r="C860" s="3491">
        <v>0</v>
      </c>
      <c r="D860" s="3491">
        <v>0</v>
      </c>
      <c r="E860" s="3494">
        <v>405</v>
      </c>
      <c r="F860" s="3631">
        <v>1101</v>
      </c>
      <c r="G860" s="3491">
        <v>0</v>
      </c>
      <c r="H860" s="3494">
        <v>339</v>
      </c>
      <c r="I860" s="3633">
        <v>1574</v>
      </c>
      <c r="J860" s="3631">
        <v>2270</v>
      </c>
      <c r="K860" s="3624"/>
    </row>
    <row r="861" spans="1:11" ht="13.5">
      <c r="A861" s="3632">
        <v>42750</v>
      </c>
      <c r="B861" s="3631">
        <v>42800</v>
      </c>
      <c r="C861" s="3491">
        <v>0</v>
      </c>
      <c r="D861" s="3491">
        <v>0</v>
      </c>
      <c r="E861" s="3494">
        <v>394</v>
      </c>
      <c r="F861" s="3631">
        <v>1091</v>
      </c>
      <c r="G861" s="3491">
        <v>0</v>
      </c>
      <c r="H861" s="3494">
        <v>331</v>
      </c>
      <c r="I861" s="3633">
        <v>1563</v>
      </c>
      <c r="J861" s="3631">
        <v>2260</v>
      </c>
      <c r="K861" s="3624"/>
    </row>
    <row r="862" spans="1:11" ht="13.5">
      <c r="A862" s="3632">
        <v>42800</v>
      </c>
      <c r="B862" s="3631">
        <v>42850</v>
      </c>
      <c r="C862" s="3491">
        <v>0</v>
      </c>
      <c r="D862" s="3491">
        <v>0</v>
      </c>
      <c r="E862" s="3494">
        <v>384</v>
      </c>
      <c r="F862" s="3631">
        <v>1080</v>
      </c>
      <c r="G862" s="3491">
        <v>0</v>
      </c>
      <c r="H862" s="3494">
        <v>323</v>
      </c>
      <c r="I862" s="3633">
        <v>1553</v>
      </c>
      <c r="J862" s="3631">
        <v>2249</v>
      </c>
      <c r="K862" s="3624"/>
    </row>
    <row r="863" spans="1:11" ht="13.5">
      <c r="A863" s="3632">
        <v>42850</v>
      </c>
      <c r="B863" s="3631">
        <v>42900</v>
      </c>
      <c r="C863" s="3491">
        <v>0</v>
      </c>
      <c r="D863" s="3491">
        <v>0</v>
      </c>
      <c r="E863" s="3494">
        <v>373</v>
      </c>
      <c r="F863" s="3631">
        <v>1070</v>
      </c>
      <c r="G863" s="3491">
        <v>0</v>
      </c>
      <c r="H863" s="3494">
        <v>315</v>
      </c>
      <c r="I863" s="3633">
        <v>1542</v>
      </c>
      <c r="J863" s="3631">
        <v>2239</v>
      </c>
      <c r="K863" s="3624"/>
    </row>
    <row r="864" spans="1:11" ht="13.5">
      <c r="A864" s="3632">
        <v>42900</v>
      </c>
      <c r="B864" s="3631">
        <v>42950</v>
      </c>
      <c r="C864" s="3491">
        <v>0</v>
      </c>
      <c r="D864" s="3491">
        <v>0</v>
      </c>
      <c r="E864" s="3494">
        <v>363</v>
      </c>
      <c r="F864" s="3631">
        <v>1059</v>
      </c>
      <c r="G864" s="3491">
        <v>0</v>
      </c>
      <c r="H864" s="3494">
        <v>307</v>
      </c>
      <c r="I864" s="3633">
        <v>1532</v>
      </c>
      <c r="J864" s="3631">
        <v>2228</v>
      </c>
      <c r="K864" s="3624"/>
    </row>
    <row r="865" spans="1:11" ht="13.5">
      <c r="A865" s="3632">
        <v>42950</v>
      </c>
      <c r="B865" s="3631">
        <v>43000</v>
      </c>
      <c r="C865" s="3491">
        <v>0</v>
      </c>
      <c r="D865" s="3491">
        <v>0</v>
      </c>
      <c r="E865" s="3494">
        <v>352</v>
      </c>
      <c r="F865" s="3631">
        <v>1049</v>
      </c>
      <c r="G865" s="3491">
        <v>0</v>
      </c>
      <c r="H865" s="3494">
        <v>299</v>
      </c>
      <c r="I865" s="3633">
        <v>1521</v>
      </c>
      <c r="J865" s="3631">
        <v>2218</v>
      </c>
      <c r="K865" s="3624"/>
    </row>
    <row r="866" spans="1:11" ht="13.5">
      <c r="A866" s="3632">
        <v>43000</v>
      </c>
      <c r="B866" s="3631">
        <v>43050</v>
      </c>
      <c r="C866" s="3491">
        <v>0</v>
      </c>
      <c r="D866" s="3491">
        <v>0</v>
      </c>
      <c r="E866" s="3494">
        <v>342</v>
      </c>
      <c r="F866" s="3631">
        <v>1038</v>
      </c>
      <c r="G866" s="3491">
        <v>0</v>
      </c>
      <c r="H866" s="3494">
        <v>291</v>
      </c>
      <c r="I866" s="3633">
        <v>1511</v>
      </c>
      <c r="J866" s="3631">
        <v>2207</v>
      </c>
      <c r="K866" s="3624"/>
    </row>
    <row r="867" spans="1:11" ht="13.5">
      <c r="A867" s="3632">
        <v>43050</v>
      </c>
      <c r="B867" s="3631">
        <v>43100</v>
      </c>
      <c r="C867" s="3491">
        <v>0</v>
      </c>
      <c r="D867" s="3491">
        <v>0</v>
      </c>
      <c r="E867" s="3494">
        <v>331</v>
      </c>
      <c r="F867" s="3631">
        <v>1028</v>
      </c>
      <c r="G867" s="3491">
        <v>0</v>
      </c>
      <c r="H867" s="3494">
        <v>283</v>
      </c>
      <c r="I867" s="3633">
        <v>1500</v>
      </c>
      <c r="J867" s="3631">
        <v>2197</v>
      </c>
      <c r="K867" s="3624"/>
    </row>
    <row r="868" spans="1:11" ht="13.5">
      <c r="A868" s="3632">
        <v>43100</v>
      </c>
      <c r="B868" s="3631">
        <v>43150</v>
      </c>
      <c r="C868" s="3491">
        <v>0</v>
      </c>
      <c r="D868" s="3491">
        <v>0</v>
      </c>
      <c r="E868" s="3494">
        <v>321</v>
      </c>
      <c r="F868" s="3631">
        <v>1017</v>
      </c>
      <c r="G868" s="3491">
        <v>0</v>
      </c>
      <c r="H868" s="3494">
        <v>275</v>
      </c>
      <c r="I868" s="3633">
        <v>1490</v>
      </c>
      <c r="J868" s="3631">
        <v>2186</v>
      </c>
      <c r="K868" s="3624"/>
    </row>
    <row r="869" spans="1:11" ht="13.5">
      <c r="A869" s="3632">
        <v>43150</v>
      </c>
      <c r="B869" s="3631">
        <v>43200</v>
      </c>
      <c r="C869" s="3491">
        <v>0</v>
      </c>
      <c r="D869" s="3491">
        <v>0</v>
      </c>
      <c r="E869" s="3494">
        <v>310</v>
      </c>
      <c r="F869" s="3631">
        <v>1007</v>
      </c>
      <c r="G869" s="3491">
        <v>0</v>
      </c>
      <c r="H869" s="3494">
        <v>267</v>
      </c>
      <c r="I869" s="3633">
        <v>1479</v>
      </c>
      <c r="J869" s="3631">
        <v>2175</v>
      </c>
      <c r="K869" s="3624"/>
    </row>
    <row r="870" spans="1:11" ht="13.5">
      <c r="A870" s="3632">
        <v>43200</v>
      </c>
      <c r="B870" s="3631">
        <v>43250</v>
      </c>
      <c r="C870" s="3491">
        <v>0</v>
      </c>
      <c r="D870" s="3491">
        <v>0</v>
      </c>
      <c r="E870" s="3494">
        <v>300</v>
      </c>
      <c r="F870" s="3631">
        <v>996</v>
      </c>
      <c r="G870" s="3491">
        <v>0</v>
      </c>
      <c r="H870" s="3494">
        <v>259</v>
      </c>
      <c r="I870" s="3633">
        <v>1468</v>
      </c>
      <c r="J870" s="3631">
        <v>2165</v>
      </c>
      <c r="K870" s="3624"/>
    </row>
    <row r="871" spans="1:11" ht="13.5">
      <c r="A871" s="3632">
        <v>43250</v>
      </c>
      <c r="B871" s="3631">
        <v>43300</v>
      </c>
      <c r="C871" s="3491">
        <v>0</v>
      </c>
      <c r="D871" s="3491">
        <v>0</v>
      </c>
      <c r="E871" s="3494">
        <v>289</v>
      </c>
      <c r="F871" s="3631">
        <v>986</v>
      </c>
      <c r="G871" s="3491">
        <v>0</v>
      </c>
      <c r="H871" s="3494">
        <v>251</v>
      </c>
      <c r="I871" s="3633">
        <v>1458</v>
      </c>
      <c r="J871" s="3631">
        <v>2154</v>
      </c>
      <c r="K871" s="3624"/>
    </row>
    <row r="872" spans="1:11" ht="13.5">
      <c r="A872" s="3632">
        <v>43300</v>
      </c>
      <c r="B872" s="3631">
        <v>43350</v>
      </c>
      <c r="C872" s="3491">
        <v>0</v>
      </c>
      <c r="D872" s="3491">
        <v>0</v>
      </c>
      <c r="E872" s="3494">
        <v>279</v>
      </c>
      <c r="F872" s="3631">
        <v>975</v>
      </c>
      <c r="G872" s="3491">
        <v>0</v>
      </c>
      <c r="H872" s="3494">
        <v>243</v>
      </c>
      <c r="I872" s="3633">
        <v>1447</v>
      </c>
      <c r="J872" s="3631">
        <v>2144</v>
      </c>
      <c r="K872" s="3624"/>
    </row>
    <row r="873" spans="1:11" ht="13.5">
      <c r="A873" s="3632">
        <v>43350</v>
      </c>
      <c r="B873" s="3631">
        <v>43400</v>
      </c>
      <c r="C873" s="3491">
        <v>0</v>
      </c>
      <c r="D873" s="3491">
        <v>0</v>
      </c>
      <c r="E873" s="3494">
        <v>268</v>
      </c>
      <c r="F873" s="3631">
        <v>965</v>
      </c>
      <c r="G873" s="3491">
        <v>0</v>
      </c>
      <c r="H873" s="3494">
        <v>235</v>
      </c>
      <c r="I873" s="3633">
        <v>1437</v>
      </c>
      <c r="J873" s="3631">
        <v>2133</v>
      </c>
      <c r="K873" s="3624"/>
    </row>
    <row r="874" spans="1:11" ht="13.5">
      <c r="A874" s="3632">
        <v>43400</v>
      </c>
      <c r="B874" s="3631">
        <v>43450</v>
      </c>
      <c r="C874" s="3491">
        <v>0</v>
      </c>
      <c r="D874" s="3491">
        <v>0</v>
      </c>
      <c r="E874" s="3494">
        <v>258</v>
      </c>
      <c r="F874" s="3631">
        <v>954</v>
      </c>
      <c r="G874" s="3491">
        <v>0</v>
      </c>
      <c r="H874" s="3494">
        <v>227</v>
      </c>
      <c r="I874" s="3633">
        <v>1426</v>
      </c>
      <c r="J874" s="3631">
        <v>2123</v>
      </c>
      <c r="K874" s="3624"/>
    </row>
    <row r="875" spans="1:11" ht="13.5">
      <c r="A875" s="3632">
        <v>43450</v>
      </c>
      <c r="B875" s="3631">
        <v>43500</v>
      </c>
      <c r="C875" s="3491">
        <v>0</v>
      </c>
      <c r="D875" s="3491">
        <v>0</v>
      </c>
      <c r="E875" s="3494">
        <v>247</v>
      </c>
      <c r="F875" s="3631">
        <v>943</v>
      </c>
      <c r="G875" s="3491">
        <v>0</v>
      </c>
      <c r="H875" s="3494">
        <v>219</v>
      </c>
      <c r="I875" s="3633">
        <v>1416</v>
      </c>
      <c r="J875" s="3631">
        <v>2112</v>
      </c>
      <c r="K875" s="3624"/>
    </row>
    <row r="876" spans="1:11" ht="13.5">
      <c r="A876" s="3632">
        <v>43500</v>
      </c>
      <c r="B876" s="3631">
        <v>43550</v>
      </c>
      <c r="C876" s="3491">
        <v>0</v>
      </c>
      <c r="D876" s="3491">
        <v>0</v>
      </c>
      <c r="E876" s="3494">
        <v>236</v>
      </c>
      <c r="F876" s="3631">
        <v>933</v>
      </c>
      <c r="G876" s="3491">
        <v>0</v>
      </c>
      <c r="H876" s="3494">
        <v>211</v>
      </c>
      <c r="I876" s="3633">
        <v>1405</v>
      </c>
      <c r="J876" s="3631">
        <v>2102</v>
      </c>
      <c r="K876" s="3624"/>
    </row>
    <row r="877" spans="1:11" ht="13.5">
      <c r="A877" s="3632">
        <v>43550</v>
      </c>
      <c r="B877" s="3631">
        <v>43600</v>
      </c>
      <c r="C877" s="3491">
        <v>0</v>
      </c>
      <c r="D877" s="3491">
        <v>0</v>
      </c>
      <c r="E877" s="3494">
        <v>226</v>
      </c>
      <c r="F877" s="3631">
        <v>922</v>
      </c>
      <c r="G877" s="3491">
        <v>0</v>
      </c>
      <c r="H877" s="3494">
        <v>203</v>
      </c>
      <c r="I877" s="3633">
        <v>1395</v>
      </c>
      <c r="J877" s="3631">
        <v>2091</v>
      </c>
      <c r="K877" s="3624"/>
    </row>
    <row r="878" spans="1:11" ht="13.5">
      <c r="A878" s="3632">
        <v>43600</v>
      </c>
      <c r="B878" s="3631">
        <v>43650</v>
      </c>
      <c r="C878" s="3491">
        <v>0</v>
      </c>
      <c r="D878" s="3491">
        <v>0</v>
      </c>
      <c r="E878" s="3494">
        <v>215</v>
      </c>
      <c r="F878" s="3631">
        <v>912</v>
      </c>
      <c r="G878" s="3491">
        <v>0</v>
      </c>
      <c r="H878" s="3494">
        <v>195</v>
      </c>
      <c r="I878" s="3633">
        <v>1384</v>
      </c>
      <c r="J878" s="3631">
        <v>2081</v>
      </c>
      <c r="K878" s="3624"/>
    </row>
    <row r="879" spans="1:11" ht="13.5">
      <c r="A879" s="3632">
        <v>43650</v>
      </c>
      <c r="B879" s="3631">
        <v>43700</v>
      </c>
      <c r="C879" s="3491">
        <v>0</v>
      </c>
      <c r="D879" s="3491">
        <v>0</v>
      </c>
      <c r="E879" s="3494">
        <v>205</v>
      </c>
      <c r="F879" s="3631">
        <v>901</v>
      </c>
      <c r="G879" s="3491">
        <v>0</v>
      </c>
      <c r="H879" s="3494">
        <v>187</v>
      </c>
      <c r="I879" s="3633">
        <v>1374</v>
      </c>
      <c r="J879" s="3631">
        <v>2070</v>
      </c>
      <c r="K879" s="3624"/>
    </row>
    <row r="880" spans="1:11" ht="13.5">
      <c r="A880" s="3632">
        <v>43700</v>
      </c>
      <c r="B880" s="3631">
        <v>43750</v>
      </c>
      <c r="C880" s="3491">
        <v>0</v>
      </c>
      <c r="D880" s="3491">
        <v>0</v>
      </c>
      <c r="E880" s="3494">
        <v>194</v>
      </c>
      <c r="F880" s="3631">
        <v>891</v>
      </c>
      <c r="G880" s="3491">
        <v>0</v>
      </c>
      <c r="H880" s="3494">
        <v>179</v>
      </c>
      <c r="I880" s="3633">
        <v>1363</v>
      </c>
      <c r="J880" s="3631">
        <v>2060</v>
      </c>
      <c r="K880" s="3624"/>
    </row>
    <row r="881" spans="1:11" ht="13.5">
      <c r="A881" s="3632">
        <v>43750</v>
      </c>
      <c r="B881" s="3631">
        <v>43800</v>
      </c>
      <c r="C881" s="3491">
        <v>0</v>
      </c>
      <c r="D881" s="3491">
        <v>0</v>
      </c>
      <c r="E881" s="3494">
        <v>184</v>
      </c>
      <c r="F881" s="3631">
        <v>880</v>
      </c>
      <c r="G881" s="3491">
        <v>0</v>
      </c>
      <c r="H881" s="3494">
        <v>171</v>
      </c>
      <c r="I881" s="3633">
        <v>1353</v>
      </c>
      <c r="J881" s="3631">
        <v>2049</v>
      </c>
      <c r="K881" s="3624"/>
    </row>
    <row r="882" spans="1:11" ht="13.5">
      <c r="A882" s="3632">
        <v>43800</v>
      </c>
      <c r="B882" s="3631">
        <v>43850</v>
      </c>
      <c r="C882" s="3491">
        <v>0</v>
      </c>
      <c r="D882" s="3491">
        <v>0</v>
      </c>
      <c r="E882" s="3494">
        <v>173</v>
      </c>
      <c r="F882" s="3631">
        <v>870</v>
      </c>
      <c r="G882" s="3491">
        <v>0</v>
      </c>
      <c r="H882" s="3494">
        <v>163</v>
      </c>
      <c r="I882" s="3633">
        <v>1342</v>
      </c>
      <c r="J882" s="3631">
        <v>2039</v>
      </c>
      <c r="K882" s="3624"/>
    </row>
    <row r="883" spans="1:11" ht="13.5">
      <c r="A883" s="3632">
        <v>43850</v>
      </c>
      <c r="B883" s="3631">
        <v>43900</v>
      </c>
      <c r="C883" s="3491">
        <v>0</v>
      </c>
      <c r="D883" s="3491">
        <v>0</v>
      </c>
      <c r="E883" s="3494">
        <v>163</v>
      </c>
      <c r="F883" s="3631">
        <v>859</v>
      </c>
      <c r="G883" s="3491">
        <v>0</v>
      </c>
      <c r="H883" s="3494">
        <v>155</v>
      </c>
      <c r="I883" s="3633">
        <v>1332</v>
      </c>
      <c r="J883" s="3631">
        <v>2028</v>
      </c>
      <c r="K883" s="3624"/>
    </row>
    <row r="884" spans="1:11" ht="13.5">
      <c r="A884" s="3632">
        <v>43900</v>
      </c>
      <c r="B884" s="3631">
        <v>43950</v>
      </c>
      <c r="C884" s="3491">
        <v>0</v>
      </c>
      <c r="D884" s="3491">
        <v>0</v>
      </c>
      <c r="E884" s="3494">
        <v>152</v>
      </c>
      <c r="F884" s="3631">
        <v>849</v>
      </c>
      <c r="G884" s="3491">
        <v>0</v>
      </c>
      <c r="H884" s="3494">
        <v>147</v>
      </c>
      <c r="I884" s="3633">
        <v>1321</v>
      </c>
      <c r="J884" s="3631">
        <v>2018</v>
      </c>
      <c r="K884" s="3624"/>
    </row>
    <row r="885" spans="1:11" ht="13.5">
      <c r="A885" s="3632">
        <v>43950</v>
      </c>
      <c r="B885" s="3631">
        <v>44000</v>
      </c>
      <c r="C885" s="3491">
        <v>0</v>
      </c>
      <c r="D885" s="3491">
        <v>0</v>
      </c>
      <c r="E885" s="3494">
        <v>142</v>
      </c>
      <c r="F885" s="3631">
        <v>838</v>
      </c>
      <c r="G885" s="3491">
        <v>0</v>
      </c>
      <c r="H885" s="3494">
        <v>139</v>
      </c>
      <c r="I885" s="3633">
        <v>1311</v>
      </c>
      <c r="J885" s="3631">
        <v>2007</v>
      </c>
      <c r="K885" s="3624"/>
    </row>
    <row r="886" spans="1:11" ht="13.5">
      <c r="A886" s="3632">
        <v>44000</v>
      </c>
      <c r="B886" s="3631">
        <v>44050</v>
      </c>
      <c r="C886" s="3491">
        <v>0</v>
      </c>
      <c r="D886" s="3491">
        <v>0</v>
      </c>
      <c r="E886" s="3494">
        <v>131</v>
      </c>
      <c r="F886" s="3631">
        <v>828</v>
      </c>
      <c r="G886" s="3491">
        <v>0</v>
      </c>
      <c r="H886" s="3494">
        <v>131</v>
      </c>
      <c r="I886" s="3633">
        <v>1300</v>
      </c>
      <c r="J886" s="3631">
        <v>1996</v>
      </c>
      <c r="K886" s="3624"/>
    </row>
    <row r="887" spans="1:11" ht="13.5">
      <c r="A887" s="3632">
        <v>44050</v>
      </c>
      <c r="B887" s="3631">
        <v>44100</v>
      </c>
      <c r="C887" s="3491">
        <v>0</v>
      </c>
      <c r="D887" s="3491">
        <v>0</v>
      </c>
      <c r="E887" s="3494">
        <v>121</v>
      </c>
      <c r="F887" s="3631">
        <v>817</v>
      </c>
      <c r="G887" s="3491">
        <v>0</v>
      </c>
      <c r="H887" s="3494">
        <v>123</v>
      </c>
      <c r="I887" s="3633">
        <v>1289</v>
      </c>
      <c r="J887" s="3631">
        <v>1986</v>
      </c>
      <c r="K887" s="3624"/>
    </row>
    <row r="888" spans="1:11" ht="13.5">
      <c r="A888" s="3632">
        <v>44100</v>
      </c>
      <c r="B888" s="3631">
        <v>44150</v>
      </c>
      <c r="C888" s="3491">
        <v>0</v>
      </c>
      <c r="D888" s="3491">
        <v>0</v>
      </c>
      <c r="E888" s="3494">
        <v>110</v>
      </c>
      <c r="F888" s="3631">
        <v>807</v>
      </c>
      <c r="G888" s="3491">
        <v>0</v>
      </c>
      <c r="H888" s="3494">
        <v>115</v>
      </c>
      <c r="I888" s="3633">
        <v>1279</v>
      </c>
      <c r="J888" s="3631">
        <v>1975</v>
      </c>
      <c r="K888" s="3624"/>
    </row>
    <row r="889" spans="1:11" ht="13.5">
      <c r="A889" s="3632">
        <v>44150</v>
      </c>
      <c r="B889" s="3631">
        <v>44200</v>
      </c>
      <c r="C889" s="3491">
        <v>0</v>
      </c>
      <c r="D889" s="3491">
        <v>0</v>
      </c>
      <c r="E889" s="3494">
        <v>100</v>
      </c>
      <c r="F889" s="3631">
        <v>796</v>
      </c>
      <c r="G889" s="3491">
        <v>0</v>
      </c>
      <c r="H889" s="3494">
        <v>107</v>
      </c>
      <c r="I889" s="3633">
        <v>1268</v>
      </c>
      <c r="J889" s="3631">
        <v>1965</v>
      </c>
      <c r="K889" s="3624"/>
    </row>
    <row r="890" spans="1:11" ht="13.5">
      <c r="A890" s="3632">
        <v>44200</v>
      </c>
      <c r="B890" s="3631">
        <v>44250</v>
      </c>
      <c r="C890" s="3491">
        <v>0</v>
      </c>
      <c r="D890" s="3491">
        <v>0</v>
      </c>
      <c r="E890" s="3494">
        <v>89</v>
      </c>
      <c r="F890" s="3631">
        <v>786</v>
      </c>
      <c r="G890" s="3491">
        <v>0</v>
      </c>
      <c r="H890" s="3494">
        <v>99</v>
      </c>
      <c r="I890" s="3633">
        <v>1258</v>
      </c>
      <c r="J890" s="3631">
        <v>1954</v>
      </c>
      <c r="K890" s="3624"/>
    </row>
    <row r="891" spans="1:11" ht="13.5">
      <c r="A891" s="3632">
        <v>44250</v>
      </c>
      <c r="B891" s="3631">
        <v>44300</v>
      </c>
      <c r="C891" s="3491">
        <v>0</v>
      </c>
      <c r="D891" s="3491">
        <v>0</v>
      </c>
      <c r="E891" s="3494">
        <v>78</v>
      </c>
      <c r="F891" s="3631">
        <v>775</v>
      </c>
      <c r="G891" s="3491">
        <v>0</v>
      </c>
      <c r="H891" s="3494">
        <v>91</v>
      </c>
      <c r="I891" s="3633">
        <v>1247</v>
      </c>
      <c r="J891" s="3631">
        <v>1944</v>
      </c>
      <c r="K891" s="3624"/>
    </row>
    <row r="892" spans="1:11" ht="13.5">
      <c r="A892" s="3632">
        <v>44300</v>
      </c>
      <c r="B892" s="3631">
        <v>44350</v>
      </c>
      <c r="C892" s="3491">
        <v>0</v>
      </c>
      <c r="D892" s="3491">
        <v>0</v>
      </c>
      <c r="E892" s="3494">
        <v>68</v>
      </c>
      <c r="F892" s="3631">
        <v>764</v>
      </c>
      <c r="G892" s="3491">
        <v>0</v>
      </c>
      <c r="H892" s="3494">
        <v>83</v>
      </c>
      <c r="I892" s="3633">
        <v>1237</v>
      </c>
      <c r="J892" s="3631">
        <v>1933</v>
      </c>
      <c r="K892" s="3624"/>
    </row>
    <row r="893" spans="1:11" ht="13.5">
      <c r="A893" s="3632">
        <v>44350</v>
      </c>
      <c r="B893" s="3631">
        <v>44400</v>
      </c>
      <c r="C893" s="3491">
        <v>0</v>
      </c>
      <c r="D893" s="3491">
        <v>0</v>
      </c>
      <c r="E893" s="3494">
        <v>57</v>
      </c>
      <c r="F893" s="3631">
        <v>754</v>
      </c>
      <c r="G893" s="3491">
        <v>0</v>
      </c>
      <c r="H893" s="3494">
        <v>75</v>
      </c>
      <c r="I893" s="3633">
        <v>1226</v>
      </c>
      <c r="J893" s="3631">
        <v>1923</v>
      </c>
      <c r="K893" s="3624"/>
    </row>
    <row r="894" spans="1:11" ht="13.5">
      <c r="A894" s="3632">
        <v>44400</v>
      </c>
      <c r="B894" s="3631">
        <v>44450</v>
      </c>
      <c r="C894" s="3491">
        <v>0</v>
      </c>
      <c r="D894" s="3491">
        <v>0</v>
      </c>
      <c r="E894" s="3494">
        <v>47</v>
      </c>
      <c r="F894" s="3631">
        <v>743</v>
      </c>
      <c r="G894" s="3491">
        <v>0</v>
      </c>
      <c r="H894" s="3494">
        <v>67</v>
      </c>
      <c r="I894" s="3633">
        <v>1216</v>
      </c>
      <c r="J894" s="3631">
        <v>1912</v>
      </c>
      <c r="K894" s="3624"/>
    </row>
    <row r="895" spans="1:11" ht="13.5">
      <c r="A895" s="3632">
        <v>44450</v>
      </c>
      <c r="B895" s="3631">
        <v>44500</v>
      </c>
      <c r="C895" s="3491">
        <v>0</v>
      </c>
      <c r="D895" s="3491">
        <v>0</v>
      </c>
      <c r="E895" s="3494">
        <v>36</v>
      </c>
      <c r="F895" s="3631">
        <v>733</v>
      </c>
      <c r="G895" s="3491">
        <v>0</v>
      </c>
      <c r="H895" s="3494">
        <v>59</v>
      </c>
      <c r="I895" s="3633">
        <v>1205</v>
      </c>
      <c r="J895" s="3631">
        <v>1902</v>
      </c>
      <c r="K895" s="3624"/>
    </row>
    <row r="896" spans="1:11" ht="13.5">
      <c r="A896" s="3632">
        <v>44500</v>
      </c>
      <c r="B896" s="3631">
        <v>44550</v>
      </c>
      <c r="C896" s="3491">
        <v>0</v>
      </c>
      <c r="D896" s="3491">
        <v>0</v>
      </c>
      <c r="E896" s="3494">
        <v>26</v>
      </c>
      <c r="F896" s="3631">
        <v>722</v>
      </c>
      <c r="G896" s="3491">
        <v>0</v>
      </c>
      <c r="H896" s="3494">
        <v>51</v>
      </c>
      <c r="I896" s="3633">
        <v>1195</v>
      </c>
      <c r="J896" s="3631">
        <v>1891</v>
      </c>
      <c r="K896" s="3624"/>
    </row>
    <row r="897" spans="1:11" ht="13.5">
      <c r="A897" s="3632">
        <v>44550</v>
      </c>
      <c r="B897" s="3631">
        <v>44600</v>
      </c>
      <c r="C897" s="3491">
        <v>0</v>
      </c>
      <c r="D897" s="3491">
        <v>0</v>
      </c>
      <c r="E897" s="3494">
        <v>15</v>
      </c>
      <c r="F897" s="3631">
        <v>712</v>
      </c>
      <c r="G897" s="3491">
        <v>0</v>
      </c>
      <c r="H897" s="3494">
        <v>43</v>
      </c>
      <c r="I897" s="3633">
        <v>1184</v>
      </c>
      <c r="J897" s="3631">
        <v>1881</v>
      </c>
      <c r="K897" s="3624"/>
    </row>
    <row r="898" spans="1:11" ht="13.5">
      <c r="A898" s="3632">
        <v>44600</v>
      </c>
      <c r="B898" s="3631">
        <v>44648</v>
      </c>
      <c r="C898" s="3491">
        <v>0</v>
      </c>
      <c r="D898" s="3491">
        <v>0</v>
      </c>
      <c r="E898" s="3494">
        <v>5</v>
      </c>
      <c r="F898" s="3631">
        <v>701</v>
      </c>
      <c r="G898" s="3491">
        <v>0</v>
      </c>
      <c r="H898" s="3494">
        <v>35</v>
      </c>
      <c r="I898" s="3633">
        <v>1174</v>
      </c>
      <c r="J898" s="3631">
        <v>1870</v>
      </c>
      <c r="K898" s="3624"/>
    </row>
    <row r="899" spans="1:11" ht="13.5">
      <c r="A899" s="3632">
        <v>44648</v>
      </c>
      <c r="B899" s="3631">
        <v>44650</v>
      </c>
      <c r="C899" s="3491">
        <v>0</v>
      </c>
      <c r="D899" s="3491">
        <v>0</v>
      </c>
      <c r="E899" s="3494">
        <v>0</v>
      </c>
      <c r="F899" s="3631">
        <v>701</v>
      </c>
      <c r="G899" s="3491">
        <v>0</v>
      </c>
      <c r="H899" s="3494">
        <v>35</v>
      </c>
      <c r="I899" s="3633">
        <v>1174</v>
      </c>
      <c r="J899" s="3631">
        <v>1870</v>
      </c>
      <c r="K899" s="3624"/>
    </row>
    <row r="900" spans="1:11" ht="13.5">
      <c r="A900" s="3632">
        <v>44650</v>
      </c>
      <c r="B900" s="3631">
        <v>44700</v>
      </c>
      <c r="C900" s="3491">
        <v>0</v>
      </c>
      <c r="D900" s="3491">
        <v>0</v>
      </c>
      <c r="E900" s="3494">
        <v>0</v>
      </c>
      <c r="F900" s="3631">
        <v>691</v>
      </c>
      <c r="G900" s="3491">
        <v>0</v>
      </c>
      <c r="H900" s="3494">
        <v>27</v>
      </c>
      <c r="I900" s="3633">
        <v>1163</v>
      </c>
      <c r="J900" s="3631">
        <v>1860</v>
      </c>
      <c r="K900" s="3624"/>
    </row>
    <row r="901" spans="1:11" ht="13.5">
      <c r="A901" s="3632">
        <v>44700</v>
      </c>
      <c r="B901" s="3631">
        <v>44750</v>
      </c>
      <c r="C901" s="3491">
        <v>0</v>
      </c>
      <c r="D901" s="3491">
        <v>0</v>
      </c>
      <c r="E901" s="3494">
        <v>0</v>
      </c>
      <c r="F901" s="3631">
        <v>680</v>
      </c>
      <c r="G901" s="3491">
        <v>0</v>
      </c>
      <c r="H901" s="3494">
        <v>19</v>
      </c>
      <c r="I901" s="3633">
        <v>1153</v>
      </c>
      <c r="J901" s="3631">
        <v>1849</v>
      </c>
      <c r="K901" s="3624"/>
    </row>
    <row r="902" spans="1:11" ht="13.5">
      <c r="A902" s="3632">
        <v>44750</v>
      </c>
      <c r="B902" s="3631">
        <v>44800</v>
      </c>
      <c r="C902" s="3491">
        <v>0</v>
      </c>
      <c r="D902" s="3491">
        <v>0</v>
      </c>
      <c r="E902" s="3494">
        <v>0</v>
      </c>
      <c r="F902" s="3631">
        <v>670</v>
      </c>
      <c r="G902" s="3491">
        <v>0</v>
      </c>
      <c r="H902" s="3494">
        <v>11</v>
      </c>
      <c r="I902" s="3633">
        <v>1142</v>
      </c>
      <c r="J902" s="3631">
        <v>1839</v>
      </c>
      <c r="K902" s="3624"/>
    </row>
    <row r="903" spans="1:11" ht="13.5">
      <c r="A903" s="3632">
        <v>44800</v>
      </c>
      <c r="B903" s="3631">
        <v>44846</v>
      </c>
      <c r="C903" s="3491">
        <v>0</v>
      </c>
      <c r="D903" s="3491">
        <v>0</v>
      </c>
      <c r="E903" s="3494">
        <v>0</v>
      </c>
      <c r="F903" s="3631">
        <v>659</v>
      </c>
      <c r="G903" s="3491">
        <v>0</v>
      </c>
      <c r="H903" s="3494">
        <v>4</v>
      </c>
      <c r="I903" s="3633">
        <v>1131</v>
      </c>
      <c r="J903" s="3631">
        <v>1828</v>
      </c>
      <c r="K903" s="3624"/>
    </row>
    <row r="904" spans="1:11" ht="13.5">
      <c r="A904" s="3632">
        <v>44846</v>
      </c>
      <c r="B904" s="3631">
        <v>44850</v>
      </c>
      <c r="C904" s="3491">
        <v>0</v>
      </c>
      <c r="D904" s="3491">
        <v>0</v>
      </c>
      <c r="E904" s="3494">
        <v>0</v>
      </c>
      <c r="F904" s="3631">
        <v>659</v>
      </c>
      <c r="G904" s="3491">
        <v>0</v>
      </c>
      <c r="H904" s="3494">
        <v>0</v>
      </c>
      <c r="I904" s="3633">
        <v>1131</v>
      </c>
      <c r="J904" s="3631">
        <v>1828</v>
      </c>
      <c r="K904" s="3624"/>
    </row>
    <row r="905" spans="1:11" ht="13.5">
      <c r="A905" s="3632">
        <v>44850</v>
      </c>
      <c r="B905" s="3631">
        <v>44900</v>
      </c>
      <c r="C905" s="3491">
        <v>0</v>
      </c>
      <c r="D905" s="3491">
        <v>0</v>
      </c>
      <c r="E905" s="3494">
        <v>0</v>
      </c>
      <c r="F905" s="3631">
        <v>649</v>
      </c>
      <c r="G905" s="3491">
        <v>0</v>
      </c>
      <c r="H905" s="3494">
        <v>0</v>
      </c>
      <c r="I905" s="3633">
        <v>1121</v>
      </c>
      <c r="J905" s="3631">
        <v>1817</v>
      </c>
      <c r="K905" s="3624"/>
    </row>
    <row r="906" spans="1:11" ht="13.5">
      <c r="A906" s="3632">
        <v>44900</v>
      </c>
      <c r="B906" s="3631">
        <v>44950</v>
      </c>
      <c r="C906" s="3491">
        <v>0</v>
      </c>
      <c r="D906" s="3491">
        <v>0</v>
      </c>
      <c r="E906" s="3494">
        <v>0</v>
      </c>
      <c r="F906" s="3631">
        <v>638</v>
      </c>
      <c r="G906" s="3491">
        <v>0</v>
      </c>
      <c r="H906" s="3494">
        <v>0</v>
      </c>
      <c r="I906" s="3633">
        <v>1110</v>
      </c>
      <c r="J906" s="3631">
        <v>1807</v>
      </c>
      <c r="K906" s="3624"/>
    </row>
    <row r="907" spans="1:11" ht="13.5">
      <c r="A907" s="3632">
        <v>44950</v>
      </c>
      <c r="B907" s="3631">
        <v>45000</v>
      </c>
      <c r="C907" s="3491">
        <v>0</v>
      </c>
      <c r="D907" s="3491">
        <v>0</v>
      </c>
      <c r="E907" s="3494">
        <v>0</v>
      </c>
      <c r="F907" s="3631">
        <v>628</v>
      </c>
      <c r="G907" s="3491">
        <v>0</v>
      </c>
      <c r="H907" s="3494">
        <v>0</v>
      </c>
      <c r="I907" s="3633">
        <v>1100</v>
      </c>
      <c r="J907" s="3631">
        <v>1796</v>
      </c>
      <c r="K907" s="3624"/>
    </row>
    <row r="908" spans="1:11" ht="13.5">
      <c r="A908" s="3632">
        <v>45000</v>
      </c>
      <c r="B908" s="3631">
        <v>45050</v>
      </c>
      <c r="C908" s="3491">
        <v>0</v>
      </c>
      <c r="D908" s="3491">
        <v>0</v>
      </c>
      <c r="E908" s="3494">
        <v>0</v>
      </c>
      <c r="F908" s="3631">
        <v>617</v>
      </c>
      <c r="G908" s="3491">
        <v>0</v>
      </c>
      <c r="H908" s="3494">
        <v>0</v>
      </c>
      <c r="I908" s="3633">
        <v>1089</v>
      </c>
      <c r="J908" s="3631">
        <v>1786</v>
      </c>
      <c r="K908" s="3624"/>
    </row>
    <row r="909" spans="1:11" ht="13.5">
      <c r="A909" s="3632">
        <v>45050</v>
      </c>
      <c r="B909" s="3631">
        <v>45100</v>
      </c>
      <c r="C909" s="3491">
        <v>0</v>
      </c>
      <c r="D909" s="3491">
        <v>0</v>
      </c>
      <c r="E909" s="3494">
        <v>0</v>
      </c>
      <c r="F909" s="3631">
        <v>607</v>
      </c>
      <c r="G909" s="3491">
        <v>0</v>
      </c>
      <c r="H909" s="3494">
        <v>0</v>
      </c>
      <c r="I909" s="3633">
        <v>1079</v>
      </c>
      <c r="J909" s="3631">
        <v>1775</v>
      </c>
      <c r="K909" s="3624"/>
    </row>
    <row r="910" spans="1:11" ht="13.5">
      <c r="A910" s="3632">
        <v>45100</v>
      </c>
      <c r="B910" s="3631">
        <v>45150</v>
      </c>
      <c r="C910" s="3491">
        <v>0</v>
      </c>
      <c r="D910" s="3491">
        <v>0</v>
      </c>
      <c r="E910" s="3494">
        <v>0</v>
      </c>
      <c r="F910" s="3631">
        <v>596</v>
      </c>
      <c r="G910" s="3491">
        <v>0</v>
      </c>
      <c r="H910" s="3494">
        <v>0</v>
      </c>
      <c r="I910" s="3633">
        <v>1068</v>
      </c>
      <c r="J910" s="3631">
        <v>1765</v>
      </c>
      <c r="K910" s="3624"/>
    </row>
    <row r="911" spans="1:11" ht="13.5">
      <c r="A911" s="3632">
        <v>45150</v>
      </c>
      <c r="B911" s="3631">
        <v>45200</v>
      </c>
      <c r="C911" s="3491">
        <v>0</v>
      </c>
      <c r="D911" s="3491">
        <v>0</v>
      </c>
      <c r="E911" s="3494">
        <v>0</v>
      </c>
      <c r="F911" s="3631">
        <v>585</v>
      </c>
      <c r="G911" s="3491">
        <v>0</v>
      </c>
      <c r="H911" s="3494">
        <v>0</v>
      </c>
      <c r="I911" s="3633">
        <v>1058</v>
      </c>
      <c r="J911" s="3631">
        <v>1754</v>
      </c>
      <c r="K911" s="3624"/>
    </row>
    <row r="912" spans="1:11" ht="13.5">
      <c r="A912" s="3632">
        <v>45200</v>
      </c>
      <c r="B912" s="3631">
        <v>45250</v>
      </c>
      <c r="C912" s="3491">
        <v>0</v>
      </c>
      <c r="D912" s="3491">
        <v>0</v>
      </c>
      <c r="E912" s="3494">
        <v>0</v>
      </c>
      <c r="F912" s="3631">
        <v>575</v>
      </c>
      <c r="G912" s="3491">
        <v>0</v>
      </c>
      <c r="H912" s="3494">
        <v>0</v>
      </c>
      <c r="I912" s="3633">
        <v>1047</v>
      </c>
      <c r="J912" s="3631">
        <v>1744</v>
      </c>
      <c r="K912" s="3624"/>
    </row>
    <row r="913" spans="1:11" ht="13.5">
      <c r="A913" s="3632">
        <v>45250</v>
      </c>
      <c r="B913" s="3631">
        <v>45300</v>
      </c>
      <c r="C913" s="3491">
        <v>0</v>
      </c>
      <c r="D913" s="3491">
        <v>0</v>
      </c>
      <c r="E913" s="3494">
        <v>0</v>
      </c>
      <c r="F913" s="3631">
        <v>564</v>
      </c>
      <c r="G913" s="3491">
        <v>0</v>
      </c>
      <c r="H913" s="3494">
        <v>0</v>
      </c>
      <c r="I913" s="3633">
        <v>1037</v>
      </c>
      <c r="J913" s="3631">
        <v>1733</v>
      </c>
      <c r="K913" s="3624"/>
    </row>
    <row r="914" spans="1:11" ht="13.5">
      <c r="A914" s="3632">
        <v>45300</v>
      </c>
      <c r="B914" s="3631">
        <v>45350</v>
      </c>
      <c r="C914" s="3491">
        <v>0</v>
      </c>
      <c r="D914" s="3491">
        <v>0</v>
      </c>
      <c r="E914" s="3494">
        <v>0</v>
      </c>
      <c r="F914" s="3631">
        <v>554</v>
      </c>
      <c r="G914" s="3491">
        <v>0</v>
      </c>
      <c r="H914" s="3494">
        <v>0</v>
      </c>
      <c r="I914" s="3633">
        <v>1026</v>
      </c>
      <c r="J914" s="3631">
        <v>1723</v>
      </c>
      <c r="K914" s="3624"/>
    </row>
    <row r="915" spans="1:11" ht="13.5">
      <c r="A915" s="3632">
        <v>45350</v>
      </c>
      <c r="B915" s="3631">
        <v>45400</v>
      </c>
      <c r="C915" s="3491">
        <v>0</v>
      </c>
      <c r="D915" s="3491">
        <v>0</v>
      </c>
      <c r="E915" s="3494">
        <v>0</v>
      </c>
      <c r="F915" s="3631">
        <v>543</v>
      </c>
      <c r="G915" s="3491">
        <v>0</v>
      </c>
      <c r="H915" s="3494">
        <v>0</v>
      </c>
      <c r="I915" s="3633">
        <v>1016</v>
      </c>
      <c r="J915" s="3631">
        <v>1712</v>
      </c>
      <c r="K915" s="3624"/>
    </row>
    <row r="916" spans="1:11" ht="13.5">
      <c r="A916" s="3632">
        <v>45400</v>
      </c>
      <c r="B916" s="3631">
        <v>45450</v>
      </c>
      <c r="C916" s="3491">
        <v>0</v>
      </c>
      <c r="D916" s="3491">
        <v>0</v>
      </c>
      <c r="E916" s="3494">
        <v>0</v>
      </c>
      <c r="F916" s="3631">
        <v>533</v>
      </c>
      <c r="G916" s="3491">
        <v>0</v>
      </c>
      <c r="H916" s="3494">
        <v>0</v>
      </c>
      <c r="I916" s="3633">
        <v>1005</v>
      </c>
      <c r="J916" s="3631">
        <v>1702</v>
      </c>
      <c r="K916" s="3624"/>
    </row>
    <row r="917" spans="1:11" ht="13.5">
      <c r="A917" s="3632">
        <v>45450</v>
      </c>
      <c r="B917" s="3631">
        <v>45500</v>
      </c>
      <c r="C917" s="3491">
        <v>0</v>
      </c>
      <c r="D917" s="3491">
        <v>0</v>
      </c>
      <c r="E917" s="3494">
        <v>0</v>
      </c>
      <c r="F917" s="3631">
        <v>522</v>
      </c>
      <c r="G917" s="3491">
        <v>0</v>
      </c>
      <c r="H917" s="3494">
        <v>0</v>
      </c>
      <c r="I917" s="3633">
        <v>995</v>
      </c>
      <c r="J917" s="3631">
        <v>1691</v>
      </c>
      <c r="K917" s="3624"/>
    </row>
    <row r="918" spans="1:11" ht="13.5">
      <c r="A918" s="3632">
        <v>45500</v>
      </c>
      <c r="B918" s="3631">
        <v>45550</v>
      </c>
      <c r="C918" s="3491">
        <v>0</v>
      </c>
      <c r="D918" s="3491">
        <v>0</v>
      </c>
      <c r="E918" s="3494">
        <v>0</v>
      </c>
      <c r="F918" s="3631">
        <v>512</v>
      </c>
      <c r="G918" s="3491">
        <v>0</v>
      </c>
      <c r="H918" s="3494">
        <v>0</v>
      </c>
      <c r="I918" s="3633">
        <v>984</v>
      </c>
      <c r="J918" s="3631">
        <v>1681</v>
      </c>
      <c r="K918" s="3624"/>
    </row>
    <row r="919" spans="1:11" ht="13.5">
      <c r="A919" s="3632">
        <v>45550</v>
      </c>
      <c r="B919" s="3631">
        <v>45600</v>
      </c>
      <c r="C919" s="3491">
        <v>0</v>
      </c>
      <c r="D919" s="3491">
        <v>0</v>
      </c>
      <c r="E919" s="3494">
        <v>0</v>
      </c>
      <c r="F919" s="3631">
        <v>501</v>
      </c>
      <c r="G919" s="3491">
        <v>0</v>
      </c>
      <c r="H919" s="3494">
        <v>0</v>
      </c>
      <c r="I919" s="3633">
        <v>974</v>
      </c>
      <c r="J919" s="3631">
        <v>1670</v>
      </c>
      <c r="K919" s="3624"/>
    </row>
    <row r="920" spans="1:11" ht="13.5">
      <c r="A920" s="3632">
        <v>45600</v>
      </c>
      <c r="B920" s="3631">
        <v>45650</v>
      </c>
      <c r="C920" s="3491">
        <v>0</v>
      </c>
      <c r="D920" s="3491">
        <v>0</v>
      </c>
      <c r="E920" s="3494">
        <v>0</v>
      </c>
      <c r="F920" s="3631">
        <v>491</v>
      </c>
      <c r="G920" s="3491">
        <v>0</v>
      </c>
      <c r="H920" s="3494">
        <v>0</v>
      </c>
      <c r="I920" s="3633">
        <v>963</v>
      </c>
      <c r="J920" s="3631">
        <v>1660</v>
      </c>
      <c r="K920" s="3624"/>
    </row>
    <row r="921" spans="1:11" ht="13.5">
      <c r="A921" s="3632">
        <v>45650</v>
      </c>
      <c r="B921" s="3631">
        <v>45700</v>
      </c>
      <c r="C921" s="3491">
        <v>0</v>
      </c>
      <c r="D921" s="3491">
        <v>0</v>
      </c>
      <c r="E921" s="3494">
        <v>0</v>
      </c>
      <c r="F921" s="3631">
        <v>480</v>
      </c>
      <c r="G921" s="3491">
        <v>0</v>
      </c>
      <c r="H921" s="3494">
        <v>0</v>
      </c>
      <c r="I921" s="3633">
        <v>952</v>
      </c>
      <c r="J921" s="3631">
        <v>1649</v>
      </c>
      <c r="K921" s="3624"/>
    </row>
    <row r="922" spans="1:11" ht="13.5">
      <c r="A922" s="3632">
        <v>45700</v>
      </c>
      <c r="B922" s="3631">
        <v>45750</v>
      </c>
      <c r="C922" s="3491">
        <v>0</v>
      </c>
      <c r="D922" s="3491">
        <v>0</v>
      </c>
      <c r="E922" s="3494">
        <v>0</v>
      </c>
      <c r="F922" s="3631">
        <v>470</v>
      </c>
      <c r="G922" s="3491">
        <v>0</v>
      </c>
      <c r="H922" s="3494">
        <v>0</v>
      </c>
      <c r="I922" s="3633">
        <v>942</v>
      </c>
      <c r="J922" s="3631">
        <v>1638</v>
      </c>
      <c r="K922" s="3624"/>
    </row>
    <row r="923" spans="1:11" ht="13.5">
      <c r="A923" s="3632">
        <v>45750</v>
      </c>
      <c r="B923" s="3631">
        <v>45800</v>
      </c>
      <c r="C923" s="3491">
        <v>0</v>
      </c>
      <c r="D923" s="3491">
        <v>0</v>
      </c>
      <c r="E923" s="3494">
        <v>0</v>
      </c>
      <c r="F923" s="3631">
        <v>459</v>
      </c>
      <c r="G923" s="3491">
        <v>0</v>
      </c>
      <c r="H923" s="3494">
        <v>0</v>
      </c>
      <c r="I923" s="3633">
        <v>931</v>
      </c>
      <c r="J923" s="3631">
        <v>1628</v>
      </c>
      <c r="K923" s="3624"/>
    </row>
    <row r="924" spans="1:11" ht="13.5">
      <c r="A924" s="3632">
        <v>45800</v>
      </c>
      <c r="B924" s="3631">
        <v>45850</v>
      </c>
      <c r="C924" s="3491">
        <v>0</v>
      </c>
      <c r="D924" s="3491">
        <v>0</v>
      </c>
      <c r="E924" s="3494">
        <v>0</v>
      </c>
      <c r="F924" s="3631">
        <v>449</v>
      </c>
      <c r="G924" s="3491">
        <v>0</v>
      </c>
      <c r="H924" s="3494">
        <v>0</v>
      </c>
      <c r="I924" s="3633">
        <v>921</v>
      </c>
      <c r="J924" s="3631">
        <v>1617</v>
      </c>
      <c r="K924" s="3624"/>
    </row>
    <row r="925" spans="1:11" ht="13.5">
      <c r="A925" s="3632">
        <v>45850</v>
      </c>
      <c r="B925" s="3631">
        <v>45900</v>
      </c>
      <c r="C925" s="3491">
        <v>0</v>
      </c>
      <c r="D925" s="3491">
        <v>0</v>
      </c>
      <c r="E925" s="3494">
        <v>0</v>
      </c>
      <c r="F925" s="3631">
        <v>438</v>
      </c>
      <c r="G925" s="3491">
        <v>0</v>
      </c>
      <c r="H925" s="3494">
        <v>0</v>
      </c>
      <c r="I925" s="3633">
        <v>910</v>
      </c>
      <c r="J925" s="3631">
        <v>1607</v>
      </c>
      <c r="K925" s="3624"/>
    </row>
    <row r="926" spans="1:11" ht="13.5">
      <c r="A926" s="3632">
        <v>45900</v>
      </c>
      <c r="B926" s="3631">
        <v>45950</v>
      </c>
      <c r="C926" s="3491">
        <v>0</v>
      </c>
      <c r="D926" s="3491">
        <v>0</v>
      </c>
      <c r="E926" s="3494">
        <v>0</v>
      </c>
      <c r="F926" s="3631">
        <v>428</v>
      </c>
      <c r="G926" s="3491">
        <v>0</v>
      </c>
      <c r="H926" s="3494">
        <v>0</v>
      </c>
      <c r="I926" s="3633">
        <v>900</v>
      </c>
      <c r="J926" s="3631">
        <v>1596</v>
      </c>
      <c r="K926" s="3624"/>
    </row>
    <row r="927" spans="1:11" ht="13.5">
      <c r="A927" s="3632">
        <v>45950</v>
      </c>
      <c r="B927" s="3631">
        <v>46000</v>
      </c>
      <c r="C927" s="3491">
        <v>0</v>
      </c>
      <c r="D927" s="3491">
        <v>0</v>
      </c>
      <c r="E927" s="3494">
        <v>0</v>
      </c>
      <c r="F927" s="3631">
        <v>417</v>
      </c>
      <c r="G927" s="3491">
        <v>0</v>
      </c>
      <c r="H927" s="3494">
        <v>0</v>
      </c>
      <c r="I927" s="3633">
        <v>889</v>
      </c>
      <c r="J927" s="3631">
        <v>1586</v>
      </c>
      <c r="K927" s="3624"/>
    </row>
    <row r="928" spans="1:11" ht="13.5">
      <c r="A928" s="3632">
        <v>46000</v>
      </c>
      <c r="B928" s="3631">
        <v>46050</v>
      </c>
      <c r="C928" s="3491">
        <v>0</v>
      </c>
      <c r="D928" s="3491">
        <v>0</v>
      </c>
      <c r="E928" s="3494">
        <v>0</v>
      </c>
      <c r="F928" s="3631">
        <v>406</v>
      </c>
      <c r="G928" s="3491">
        <v>0</v>
      </c>
      <c r="H928" s="3494">
        <v>0</v>
      </c>
      <c r="I928" s="3633">
        <v>879</v>
      </c>
      <c r="J928" s="3631">
        <v>1575</v>
      </c>
      <c r="K928" s="3624"/>
    </row>
    <row r="929" spans="1:11" ht="13.5">
      <c r="A929" s="3632">
        <v>46050</v>
      </c>
      <c r="B929" s="3631">
        <v>46100</v>
      </c>
      <c r="C929" s="3491">
        <v>0</v>
      </c>
      <c r="D929" s="3491">
        <v>0</v>
      </c>
      <c r="E929" s="3494">
        <v>0</v>
      </c>
      <c r="F929" s="3631">
        <v>396</v>
      </c>
      <c r="G929" s="3491">
        <v>0</v>
      </c>
      <c r="H929" s="3494">
        <v>0</v>
      </c>
      <c r="I929" s="3633">
        <v>868</v>
      </c>
      <c r="J929" s="3631">
        <v>1565</v>
      </c>
      <c r="K929" s="3624"/>
    </row>
    <row r="930" spans="1:11" ht="13.5">
      <c r="A930" s="3632">
        <v>46100</v>
      </c>
      <c r="B930" s="3631">
        <v>46150</v>
      </c>
      <c r="C930" s="3491">
        <v>0</v>
      </c>
      <c r="D930" s="3491">
        <v>0</v>
      </c>
      <c r="E930" s="3494">
        <v>0</v>
      </c>
      <c r="F930" s="3631">
        <v>385</v>
      </c>
      <c r="G930" s="3491">
        <v>0</v>
      </c>
      <c r="H930" s="3494">
        <v>0</v>
      </c>
      <c r="I930" s="3633">
        <v>858</v>
      </c>
      <c r="J930" s="3631">
        <v>1554</v>
      </c>
      <c r="K930" s="3624"/>
    </row>
    <row r="931" spans="1:11" ht="13.5">
      <c r="A931" s="3632">
        <v>46150</v>
      </c>
      <c r="B931" s="3631">
        <v>46200</v>
      </c>
      <c r="C931" s="3491">
        <v>0</v>
      </c>
      <c r="D931" s="3491">
        <v>0</v>
      </c>
      <c r="E931" s="3494">
        <v>0</v>
      </c>
      <c r="F931" s="3631">
        <v>375</v>
      </c>
      <c r="G931" s="3491">
        <v>0</v>
      </c>
      <c r="H931" s="3494">
        <v>0</v>
      </c>
      <c r="I931" s="3633">
        <v>847</v>
      </c>
      <c r="J931" s="3631">
        <v>1544</v>
      </c>
      <c r="K931" s="3624"/>
    </row>
    <row r="932" spans="1:11" ht="13.5">
      <c r="A932" s="3632">
        <v>46200</v>
      </c>
      <c r="B932" s="3631">
        <v>46250</v>
      </c>
      <c r="C932" s="3491">
        <v>0</v>
      </c>
      <c r="D932" s="3491">
        <v>0</v>
      </c>
      <c r="E932" s="3494">
        <v>0</v>
      </c>
      <c r="F932" s="3631">
        <v>364</v>
      </c>
      <c r="G932" s="3491">
        <v>0</v>
      </c>
      <c r="H932" s="3494">
        <v>0</v>
      </c>
      <c r="I932" s="3633">
        <v>837</v>
      </c>
      <c r="J932" s="3631">
        <v>1533</v>
      </c>
      <c r="K932" s="3624"/>
    </row>
    <row r="933" spans="1:11" ht="13.5">
      <c r="A933" s="3632">
        <v>46250</v>
      </c>
      <c r="B933" s="3631">
        <v>46300</v>
      </c>
      <c r="C933" s="3491">
        <v>0</v>
      </c>
      <c r="D933" s="3491">
        <v>0</v>
      </c>
      <c r="E933" s="3494">
        <v>0</v>
      </c>
      <c r="F933" s="3631">
        <v>354</v>
      </c>
      <c r="G933" s="3491">
        <v>0</v>
      </c>
      <c r="H933" s="3494">
        <v>0</v>
      </c>
      <c r="I933" s="3633">
        <v>826</v>
      </c>
      <c r="J933" s="3631">
        <v>1523</v>
      </c>
      <c r="K933" s="3624"/>
    </row>
    <row r="934" spans="1:11" ht="13.5">
      <c r="A934" s="3632">
        <v>46300</v>
      </c>
      <c r="B934" s="3631">
        <v>46350</v>
      </c>
      <c r="C934" s="3491">
        <v>0</v>
      </c>
      <c r="D934" s="3491">
        <v>0</v>
      </c>
      <c r="E934" s="3494">
        <v>0</v>
      </c>
      <c r="F934" s="3631">
        <v>343</v>
      </c>
      <c r="G934" s="3491">
        <v>0</v>
      </c>
      <c r="H934" s="3494">
        <v>0</v>
      </c>
      <c r="I934" s="3633">
        <v>816</v>
      </c>
      <c r="J934" s="3631">
        <v>1512</v>
      </c>
      <c r="K934" s="3624"/>
    </row>
    <row r="935" spans="1:11" ht="13.5">
      <c r="A935" s="3632">
        <v>46350</v>
      </c>
      <c r="B935" s="3631">
        <v>46400</v>
      </c>
      <c r="C935" s="3491">
        <v>0</v>
      </c>
      <c r="D935" s="3491">
        <v>0</v>
      </c>
      <c r="E935" s="3494">
        <v>0</v>
      </c>
      <c r="F935" s="3631">
        <v>333</v>
      </c>
      <c r="G935" s="3491">
        <v>0</v>
      </c>
      <c r="H935" s="3494">
        <v>0</v>
      </c>
      <c r="I935" s="3633">
        <v>805</v>
      </c>
      <c r="J935" s="3631">
        <v>1502</v>
      </c>
      <c r="K935" s="3624"/>
    </row>
    <row r="936" spans="1:11" ht="13.5">
      <c r="A936" s="3632">
        <v>46400</v>
      </c>
      <c r="B936" s="3631">
        <v>46450</v>
      </c>
      <c r="C936" s="3491">
        <v>0</v>
      </c>
      <c r="D936" s="3491">
        <v>0</v>
      </c>
      <c r="E936" s="3494">
        <v>0</v>
      </c>
      <c r="F936" s="3631">
        <v>322</v>
      </c>
      <c r="G936" s="3491">
        <v>0</v>
      </c>
      <c r="H936" s="3494">
        <v>0</v>
      </c>
      <c r="I936" s="3633">
        <v>795</v>
      </c>
      <c r="J936" s="3631">
        <v>1491</v>
      </c>
      <c r="K936" s="3624"/>
    </row>
    <row r="937" spans="1:11" ht="13.5">
      <c r="A937" s="3632">
        <v>46450</v>
      </c>
      <c r="B937" s="3631">
        <v>46500</v>
      </c>
      <c r="C937" s="3491">
        <v>0</v>
      </c>
      <c r="D937" s="3491">
        <v>0</v>
      </c>
      <c r="E937" s="3494">
        <v>0</v>
      </c>
      <c r="F937" s="3631">
        <v>312</v>
      </c>
      <c r="G937" s="3491">
        <v>0</v>
      </c>
      <c r="H937" s="3494">
        <v>0</v>
      </c>
      <c r="I937" s="3633">
        <v>784</v>
      </c>
      <c r="J937" s="3631">
        <v>1481</v>
      </c>
      <c r="K937" s="3624"/>
    </row>
    <row r="938" spans="1:11" ht="13.5">
      <c r="A938" s="3632">
        <v>46500</v>
      </c>
      <c r="B938" s="3631">
        <v>46550</v>
      </c>
      <c r="C938" s="3491">
        <v>0</v>
      </c>
      <c r="D938" s="3491">
        <v>0</v>
      </c>
      <c r="E938" s="3494">
        <v>0</v>
      </c>
      <c r="F938" s="3631">
        <v>301</v>
      </c>
      <c r="G938" s="3491">
        <v>0</v>
      </c>
      <c r="H938" s="3494">
        <v>0</v>
      </c>
      <c r="I938" s="3633">
        <v>773</v>
      </c>
      <c r="J938" s="3631">
        <v>1470</v>
      </c>
      <c r="K938" s="3624"/>
    </row>
    <row r="939" spans="1:11" ht="13.5">
      <c r="A939" s="3632">
        <v>46550</v>
      </c>
      <c r="B939" s="3631">
        <v>46600</v>
      </c>
      <c r="C939" s="3491">
        <v>0</v>
      </c>
      <c r="D939" s="3491">
        <v>0</v>
      </c>
      <c r="E939" s="3494">
        <v>0</v>
      </c>
      <c r="F939" s="3631">
        <v>291</v>
      </c>
      <c r="G939" s="3491">
        <v>0</v>
      </c>
      <c r="H939" s="3494">
        <v>0</v>
      </c>
      <c r="I939" s="3633">
        <v>763</v>
      </c>
      <c r="J939" s="3631">
        <v>1459</v>
      </c>
      <c r="K939" s="3624"/>
    </row>
    <row r="940" spans="1:11" ht="13.5">
      <c r="A940" s="3632">
        <v>46600</v>
      </c>
      <c r="B940" s="3631">
        <v>46650</v>
      </c>
      <c r="C940" s="3491">
        <v>0</v>
      </c>
      <c r="D940" s="3491">
        <v>0</v>
      </c>
      <c r="E940" s="3494">
        <v>0</v>
      </c>
      <c r="F940" s="3631">
        <v>280</v>
      </c>
      <c r="G940" s="3491">
        <v>0</v>
      </c>
      <c r="H940" s="3494">
        <v>0</v>
      </c>
      <c r="I940" s="3633">
        <v>752</v>
      </c>
      <c r="J940" s="3631">
        <v>1449</v>
      </c>
      <c r="K940" s="3624"/>
    </row>
    <row r="941" spans="1:11" ht="13.5">
      <c r="A941" s="3632">
        <v>46650</v>
      </c>
      <c r="B941" s="3631">
        <v>46700</v>
      </c>
      <c r="C941" s="3491">
        <v>0</v>
      </c>
      <c r="D941" s="3491">
        <v>0</v>
      </c>
      <c r="E941" s="3494">
        <v>0</v>
      </c>
      <c r="F941" s="3631">
        <v>270</v>
      </c>
      <c r="G941" s="3491">
        <v>0</v>
      </c>
      <c r="H941" s="3494">
        <v>0</v>
      </c>
      <c r="I941" s="3633">
        <v>742</v>
      </c>
      <c r="J941" s="3631">
        <v>1438</v>
      </c>
      <c r="K941" s="3624"/>
    </row>
    <row r="942" spans="1:11" ht="13.5">
      <c r="A942" s="3632">
        <v>46700</v>
      </c>
      <c r="B942" s="3631">
        <v>46750</v>
      </c>
      <c r="C942" s="3491">
        <v>0</v>
      </c>
      <c r="D942" s="3491">
        <v>0</v>
      </c>
      <c r="E942" s="3494">
        <v>0</v>
      </c>
      <c r="F942" s="3631">
        <v>259</v>
      </c>
      <c r="G942" s="3491">
        <v>0</v>
      </c>
      <c r="H942" s="3494">
        <v>0</v>
      </c>
      <c r="I942" s="3633">
        <v>731</v>
      </c>
      <c r="J942" s="3631">
        <v>1428</v>
      </c>
      <c r="K942" s="3624"/>
    </row>
    <row r="943" spans="1:11" ht="13.5">
      <c r="A943" s="3632">
        <v>46750</v>
      </c>
      <c r="B943" s="3631">
        <v>46800</v>
      </c>
      <c r="C943" s="3491">
        <v>0</v>
      </c>
      <c r="D943" s="3491">
        <v>0</v>
      </c>
      <c r="E943" s="3494">
        <v>0</v>
      </c>
      <c r="F943" s="3631">
        <v>248</v>
      </c>
      <c r="G943" s="3491">
        <v>0</v>
      </c>
      <c r="H943" s="3494">
        <v>0</v>
      </c>
      <c r="I943" s="3633">
        <v>721</v>
      </c>
      <c r="J943" s="3631">
        <v>1417</v>
      </c>
      <c r="K943" s="3624"/>
    </row>
    <row r="944" spans="1:11" ht="13.5">
      <c r="A944" s="3632">
        <v>46800</v>
      </c>
      <c r="B944" s="3631">
        <v>46850</v>
      </c>
      <c r="C944" s="3491">
        <v>0</v>
      </c>
      <c r="D944" s="3491">
        <v>0</v>
      </c>
      <c r="E944" s="3494">
        <v>0</v>
      </c>
      <c r="F944" s="3631">
        <v>238</v>
      </c>
      <c r="G944" s="3491">
        <v>0</v>
      </c>
      <c r="H944" s="3494">
        <v>0</v>
      </c>
      <c r="I944" s="3633">
        <v>710</v>
      </c>
      <c r="J944" s="3631">
        <v>1407</v>
      </c>
      <c r="K944" s="3624"/>
    </row>
    <row r="945" spans="1:11" ht="13.5">
      <c r="A945" s="3632">
        <v>46850</v>
      </c>
      <c r="B945" s="3631">
        <v>46900</v>
      </c>
      <c r="C945" s="3491">
        <v>0</v>
      </c>
      <c r="D945" s="3491">
        <v>0</v>
      </c>
      <c r="E945" s="3494">
        <v>0</v>
      </c>
      <c r="F945" s="3631">
        <v>227</v>
      </c>
      <c r="G945" s="3491">
        <v>0</v>
      </c>
      <c r="H945" s="3494">
        <v>0</v>
      </c>
      <c r="I945" s="3633">
        <v>700</v>
      </c>
      <c r="J945" s="3631">
        <v>1396</v>
      </c>
      <c r="K945" s="3624"/>
    </row>
    <row r="946" spans="1:11" ht="13.5">
      <c r="A946" s="3632">
        <v>46900</v>
      </c>
      <c r="B946" s="3631">
        <v>46950</v>
      </c>
      <c r="C946" s="3491">
        <v>0</v>
      </c>
      <c r="D946" s="3491">
        <v>0</v>
      </c>
      <c r="E946" s="3494">
        <v>0</v>
      </c>
      <c r="F946" s="3631">
        <v>217</v>
      </c>
      <c r="G946" s="3491">
        <v>0</v>
      </c>
      <c r="H946" s="3494">
        <v>0</v>
      </c>
      <c r="I946" s="3633">
        <v>689</v>
      </c>
      <c r="J946" s="3631">
        <v>1386</v>
      </c>
      <c r="K946" s="3624"/>
    </row>
    <row r="947" spans="1:11" ht="13.5">
      <c r="A947" s="3632">
        <v>46950</v>
      </c>
      <c r="B947" s="3631">
        <v>47000</v>
      </c>
      <c r="C947" s="3491">
        <v>0</v>
      </c>
      <c r="D947" s="3491">
        <v>0</v>
      </c>
      <c r="E947" s="3494">
        <v>0</v>
      </c>
      <c r="F947" s="3631">
        <v>206</v>
      </c>
      <c r="G947" s="3491">
        <v>0</v>
      </c>
      <c r="H947" s="3494">
        <v>0</v>
      </c>
      <c r="I947" s="3633">
        <v>679</v>
      </c>
      <c r="J947" s="3631">
        <v>1375</v>
      </c>
      <c r="K947" s="3624"/>
    </row>
    <row r="948" spans="1:11" ht="13.5">
      <c r="A948" s="3632">
        <v>47000</v>
      </c>
      <c r="B948" s="3631">
        <v>47050</v>
      </c>
      <c r="C948" s="3491">
        <v>0</v>
      </c>
      <c r="D948" s="3491">
        <v>0</v>
      </c>
      <c r="E948" s="3494">
        <v>0</v>
      </c>
      <c r="F948" s="3631">
        <v>196</v>
      </c>
      <c r="G948" s="3491">
        <v>0</v>
      </c>
      <c r="H948" s="3494">
        <v>0</v>
      </c>
      <c r="I948" s="3633">
        <v>668</v>
      </c>
      <c r="J948" s="3631">
        <v>1365</v>
      </c>
      <c r="K948" s="3624"/>
    </row>
    <row r="949" spans="1:11" ht="13.5">
      <c r="A949" s="3632">
        <v>47050</v>
      </c>
      <c r="B949" s="3631">
        <v>47100</v>
      </c>
      <c r="C949" s="3491">
        <v>0</v>
      </c>
      <c r="D949" s="3491">
        <v>0</v>
      </c>
      <c r="E949" s="3494">
        <v>0</v>
      </c>
      <c r="F949" s="3631">
        <v>185</v>
      </c>
      <c r="G949" s="3491">
        <v>0</v>
      </c>
      <c r="H949" s="3494">
        <v>0</v>
      </c>
      <c r="I949" s="3633">
        <v>658</v>
      </c>
      <c r="J949" s="3631">
        <v>1354</v>
      </c>
      <c r="K949" s="3624"/>
    </row>
    <row r="950" spans="1:11" ht="13.5">
      <c r="A950" s="3632">
        <v>47100</v>
      </c>
      <c r="B950" s="3631">
        <v>47150</v>
      </c>
      <c r="C950" s="3491">
        <v>0</v>
      </c>
      <c r="D950" s="3491">
        <v>0</v>
      </c>
      <c r="E950" s="3494">
        <v>0</v>
      </c>
      <c r="F950" s="3631">
        <v>175</v>
      </c>
      <c r="G950" s="3491">
        <v>0</v>
      </c>
      <c r="H950" s="3494">
        <v>0</v>
      </c>
      <c r="I950" s="3633">
        <v>647</v>
      </c>
      <c r="J950" s="3631">
        <v>1344</v>
      </c>
      <c r="K950" s="3624"/>
    </row>
    <row r="951" spans="1:11" ht="13.5">
      <c r="A951" s="3632">
        <v>47150</v>
      </c>
      <c r="B951" s="3631">
        <v>47200</v>
      </c>
      <c r="C951" s="3491">
        <v>0</v>
      </c>
      <c r="D951" s="3491">
        <v>0</v>
      </c>
      <c r="E951" s="3494">
        <v>0</v>
      </c>
      <c r="F951" s="3631">
        <v>164</v>
      </c>
      <c r="G951" s="3491">
        <v>0</v>
      </c>
      <c r="H951" s="3494">
        <v>0</v>
      </c>
      <c r="I951" s="3633">
        <v>637</v>
      </c>
      <c r="J951" s="3631">
        <v>1333</v>
      </c>
      <c r="K951" s="3624"/>
    </row>
    <row r="952" spans="1:11" ht="13.5">
      <c r="A952" s="3632">
        <v>47200</v>
      </c>
      <c r="B952" s="3631">
        <v>47250</v>
      </c>
      <c r="C952" s="3491">
        <v>0</v>
      </c>
      <c r="D952" s="3491">
        <v>0</v>
      </c>
      <c r="E952" s="3494">
        <v>0</v>
      </c>
      <c r="F952" s="3631">
        <v>154</v>
      </c>
      <c r="G952" s="3491">
        <v>0</v>
      </c>
      <c r="H952" s="3494">
        <v>0</v>
      </c>
      <c r="I952" s="3633">
        <v>626</v>
      </c>
      <c r="J952" s="3631">
        <v>1323</v>
      </c>
      <c r="K952" s="3624"/>
    </row>
    <row r="953" spans="1:11" ht="13.5">
      <c r="A953" s="3632">
        <v>47250</v>
      </c>
      <c r="B953" s="3631">
        <v>47300</v>
      </c>
      <c r="C953" s="3491">
        <v>0</v>
      </c>
      <c r="D953" s="3491">
        <v>0</v>
      </c>
      <c r="E953" s="3494">
        <v>0</v>
      </c>
      <c r="F953" s="3631">
        <v>143</v>
      </c>
      <c r="G953" s="3491">
        <v>0</v>
      </c>
      <c r="H953" s="3494">
        <v>0</v>
      </c>
      <c r="I953" s="3633">
        <v>616</v>
      </c>
      <c r="J953" s="3631">
        <v>1312</v>
      </c>
      <c r="K953" s="3624"/>
    </row>
    <row r="954" spans="1:11" ht="13.5">
      <c r="A954" s="3632">
        <v>47300</v>
      </c>
      <c r="B954" s="3631">
        <v>47350</v>
      </c>
      <c r="C954" s="3491">
        <v>0</v>
      </c>
      <c r="D954" s="3491">
        <v>0</v>
      </c>
      <c r="E954" s="3494">
        <v>0</v>
      </c>
      <c r="F954" s="3631">
        <v>133</v>
      </c>
      <c r="G954" s="3491">
        <v>0</v>
      </c>
      <c r="H954" s="3494">
        <v>0</v>
      </c>
      <c r="I954" s="3633">
        <v>605</v>
      </c>
      <c r="J954" s="3631">
        <v>1301</v>
      </c>
      <c r="K954" s="3624"/>
    </row>
    <row r="955" spans="1:11" ht="13.5">
      <c r="A955" s="3632">
        <v>47350</v>
      </c>
      <c r="B955" s="3631">
        <v>47400</v>
      </c>
      <c r="C955" s="3491">
        <v>0</v>
      </c>
      <c r="D955" s="3491">
        <v>0</v>
      </c>
      <c r="E955" s="3494">
        <v>0</v>
      </c>
      <c r="F955" s="3631">
        <v>122</v>
      </c>
      <c r="G955" s="3491">
        <v>0</v>
      </c>
      <c r="H955" s="3494">
        <v>0</v>
      </c>
      <c r="I955" s="3633">
        <v>594</v>
      </c>
      <c r="J955" s="3631">
        <v>1291</v>
      </c>
      <c r="K955" s="3624"/>
    </row>
    <row r="956" spans="1:11" ht="13.5">
      <c r="A956" s="3632">
        <v>47400</v>
      </c>
      <c r="B956" s="3631">
        <v>47450</v>
      </c>
      <c r="C956" s="3491">
        <v>0</v>
      </c>
      <c r="D956" s="3491">
        <v>0</v>
      </c>
      <c r="E956" s="3494">
        <v>0</v>
      </c>
      <c r="F956" s="3631">
        <v>112</v>
      </c>
      <c r="G956" s="3491">
        <v>0</v>
      </c>
      <c r="H956" s="3494">
        <v>0</v>
      </c>
      <c r="I956" s="3633">
        <v>584</v>
      </c>
      <c r="J956" s="3631">
        <v>1280</v>
      </c>
      <c r="K956" s="3624"/>
    </row>
    <row r="957" spans="1:11" ht="13.5">
      <c r="A957" s="3632">
        <v>47450</v>
      </c>
      <c r="B957" s="3631">
        <v>47500</v>
      </c>
      <c r="C957" s="3491">
        <v>0</v>
      </c>
      <c r="D957" s="3491">
        <v>0</v>
      </c>
      <c r="E957" s="3494">
        <v>0</v>
      </c>
      <c r="F957" s="3631">
        <v>101</v>
      </c>
      <c r="G957" s="3491">
        <v>0</v>
      </c>
      <c r="H957" s="3494">
        <v>0</v>
      </c>
      <c r="I957" s="3633">
        <v>573</v>
      </c>
      <c r="J957" s="3631">
        <v>1270</v>
      </c>
      <c r="K957" s="3624"/>
    </row>
    <row r="958" spans="1:11" ht="13.5">
      <c r="A958" s="3632">
        <v>47500</v>
      </c>
      <c r="B958" s="3631">
        <v>47550</v>
      </c>
      <c r="C958" s="3491">
        <v>0</v>
      </c>
      <c r="D958" s="3491">
        <v>0</v>
      </c>
      <c r="E958" s="3494">
        <v>0</v>
      </c>
      <c r="F958" s="3631">
        <v>91</v>
      </c>
      <c r="G958" s="3491">
        <v>0</v>
      </c>
      <c r="H958" s="3494">
        <v>0</v>
      </c>
      <c r="I958" s="3633">
        <v>563</v>
      </c>
      <c r="J958" s="3631">
        <v>1259</v>
      </c>
      <c r="K958" s="3624"/>
    </row>
    <row r="959" spans="1:11" ht="13.5">
      <c r="A959" s="3632">
        <v>47550</v>
      </c>
      <c r="B959" s="3631">
        <v>47600</v>
      </c>
      <c r="C959" s="3491">
        <v>0</v>
      </c>
      <c r="D959" s="3491">
        <v>0</v>
      </c>
      <c r="E959" s="3494">
        <v>0</v>
      </c>
      <c r="F959" s="3631">
        <v>80</v>
      </c>
      <c r="G959" s="3491">
        <v>0</v>
      </c>
      <c r="H959" s="3494">
        <v>0</v>
      </c>
      <c r="I959" s="3633">
        <v>552</v>
      </c>
      <c r="J959" s="3631">
        <v>1249</v>
      </c>
      <c r="K959" s="3624"/>
    </row>
    <row r="960" spans="1:11" ht="13.5">
      <c r="A960" s="3632">
        <v>47600</v>
      </c>
      <c r="B960" s="3631">
        <v>47650</v>
      </c>
      <c r="C960" s="3491">
        <v>0</v>
      </c>
      <c r="D960" s="3491">
        <v>0</v>
      </c>
      <c r="E960" s="3494">
        <v>0</v>
      </c>
      <c r="F960" s="3631">
        <v>69</v>
      </c>
      <c r="G960" s="3491">
        <v>0</v>
      </c>
      <c r="H960" s="3494">
        <v>0</v>
      </c>
      <c r="I960" s="3633">
        <v>542</v>
      </c>
      <c r="J960" s="3631">
        <v>1238</v>
      </c>
      <c r="K960" s="3634"/>
    </row>
    <row r="961" spans="1:11" ht="13.5">
      <c r="A961" s="3632">
        <v>47650</v>
      </c>
      <c r="B961" s="3631">
        <v>47700</v>
      </c>
      <c r="C961" s="3491">
        <v>0</v>
      </c>
      <c r="D961" s="3491">
        <v>0</v>
      </c>
      <c r="E961" s="3494">
        <v>0</v>
      </c>
      <c r="F961" s="3631">
        <v>59</v>
      </c>
      <c r="G961" s="3491">
        <v>0</v>
      </c>
      <c r="H961" s="3494">
        <v>0</v>
      </c>
      <c r="I961" s="3633">
        <v>531</v>
      </c>
      <c r="J961" s="3631">
        <v>1228</v>
      </c>
      <c r="K961" s="3634"/>
    </row>
    <row r="962" spans="1:11" ht="13.5">
      <c r="A962" s="3632">
        <v>47700</v>
      </c>
      <c r="B962" s="3631">
        <v>47750</v>
      </c>
      <c r="C962" s="3491">
        <v>0</v>
      </c>
      <c r="D962" s="3491">
        <v>0</v>
      </c>
      <c r="E962" s="3494">
        <v>0</v>
      </c>
      <c r="F962" s="3631">
        <v>48</v>
      </c>
      <c r="G962" s="3491">
        <v>0</v>
      </c>
      <c r="H962" s="3494">
        <v>0</v>
      </c>
      <c r="I962" s="3633">
        <v>521</v>
      </c>
      <c r="J962" s="3631">
        <v>1217</v>
      </c>
      <c r="K962" s="3624"/>
    </row>
    <row r="963" spans="1:11" ht="13.5">
      <c r="A963" s="3632">
        <v>47750</v>
      </c>
      <c r="B963" s="3631">
        <v>47800</v>
      </c>
      <c r="C963" s="3491">
        <v>0</v>
      </c>
      <c r="D963" s="3491">
        <v>0</v>
      </c>
      <c r="E963" s="3494">
        <v>0</v>
      </c>
      <c r="F963" s="3631">
        <v>38</v>
      </c>
      <c r="G963" s="3491">
        <v>0</v>
      </c>
      <c r="H963" s="3494">
        <v>0</v>
      </c>
      <c r="I963" s="3633">
        <v>510</v>
      </c>
      <c r="J963" s="3631">
        <v>1207</v>
      </c>
      <c r="K963" s="3624"/>
    </row>
    <row r="964" spans="1:11" ht="13.5">
      <c r="A964" s="3632">
        <v>47800</v>
      </c>
      <c r="B964" s="3631">
        <v>47850</v>
      </c>
      <c r="C964" s="3491">
        <v>0</v>
      </c>
      <c r="D964" s="3491">
        <v>0</v>
      </c>
      <c r="E964" s="3494">
        <v>0</v>
      </c>
      <c r="F964" s="3631">
        <v>27</v>
      </c>
      <c r="G964" s="3491">
        <v>0</v>
      </c>
      <c r="H964" s="3494">
        <v>0</v>
      </c>
      <c r="I964" s="3633">
        <v>500</v>
      </c>
      <c r="J964" s="3631">
        <v>1196</v>
      </c>
      <c r="K964" s="3624"/>
    </row>
    <row r="965" spans="1:11" ht="13.5">
      <c r="A965" s="3632">
        <v>47850</v>
      </c>
      <c r="B965" s="3631">
        <v>47900</v>
      </c>
      <c r="C965" s="3491">
        <v>0</v>
      </c>
      <c r="D965" s="3491">
        <v>0</v>
      </c>
      <c r="E965" s="3494">
        <v>0</v>
      </c>
      <c r="F965" s="3631">
        <v>17</v>
      </c>
      <c r="G965" s="3491">
        <v>0</v>
      </c>
      <c r="H965" s="3494">
        <v>0</v>
      </c>
      <c r="I965" s="3633">
        <v>489</v>
      </c>
      <c r="J965" s="3631">
        <v>1186</v>
      </c>
      <c r="K965" s="3624"/>
    </row>
    <row r="966" spans="1:11" ht="13.5">
      <c r="A966" s="3632">
        <v>47900</v>
      </c>
      <c r="B966" s="3631">
        <v>47950</v>
      </c>
      <c r="C966" s="3491">
        <v>0</v>
      </c>
      <c r="D966" s="3491">
        <v>0</v>
      </c>
      <c r="E966" s="3494">
        <v>0</v>
      </c>
      <c r="F966" s="3631">
        <v>6</v>
      </c>
      <c r="G966" s="3491">
        <v>0</v>
      </c>
      <c r="H966" s="3494">
        <v>0</v>
      </c>
      <c r="I966" s="3633">
        <v>479</v>
      </c>
      <c r="J966" s="3631">
        <v>1175</v>
      </c>
      <c r="K966" s="3624"/>
    </row>
    <row r="967" spans="1:11" ht="13.5">
      <c r="A967" s="3632">
        <v>47950</v>
      </c>
      <c r="B967" s="3631">
        <v>47955</v>
      </c>
      <c r="C967" s="3491">
        <v>0</v>
      </c>
      <c r="D967" s="3491">
        <v>0</v>
      </c>
      <c r="E967" s="3494">
        <v>0</v>
      </c>
      <c r="F967" s="3631">
        <v>1</v>
      </c>
      <c r="G967" s="3491">
        <v>0</v>
      </c>
      <c r="H967" s="3494">
        <v>0</v>
      </c>
      <c r="I967" s="3633">
        <v>468</v>
      </c>
      <c r="J967" s="3631">
        <v>1165</v>
      </c>
      <c r="K967" s="3624"/>
    </row>
    <row r="968" spans="1:11" ht="13.5">
      <c r="A968" s="3632">
        <v>47955</v>
      </c>
      <c r="B968" s="3631">
        <v>48000</v>
      </c>
      <c r="C968" s="3491">
        <v>0</v>
      </c>
      <c r="D968" s="3491">
        <v>0</v>
      </c>
      <c r="E968" s="3494">
        <v>0</v>
      </c>
      <c r="F968" s="3631">
        <v>0</v>
      </c>
      <c r="G968" s="3491">
        <v>0</v>
      </c>
      <c r="H968" s="3494">
        <v>0</v>
      </c>
      <c r="I968" s="3633">
        <v>468</v>
      </c>
      <c r="J968" s="3631">
        <v>1165</v>
      </c>
      <c r="K968" s="3624"/>
    </row>
    <row r="969" spans="1:11" ht="13.5">
      <c r="A969" s="3632">
        <v>48000</v>
      </c>
      <c r="B969" s="3631">
        <v>48050</v>
      </c>
      <c r="C969" s="3491">
        <v>0</v>
      </c>
      <c r="D969" s="3491">
        <v>0</v>
      </c>
      <c r="E969" s="3494">
        <v>0</v>
      </c>
      <c r="F969" s="3631">
        <v>0</v>
      </c>
      <c r="G969" s="3491">
        <v>0</v>
      </c>
      <c r="H969" s="3494">
        <v>0</v>
      </c>
      <c r="I969" s="3633">
        <v>458</v>
      </c>
      <c r="J969" s="3631">
        <v>1154</v>
      </c>
      <c r="K969" s="3624"/>
    </row>
    <row r="970" spans="1:11" ht="13.5">
      <c r="A970" s="3632">
        <v>48050</v>
      </c>
      <c r="B970" s="3631">
        <v>48100</v>
      </c>
      <c r="C970" s="3491">
        <v>0</v>
      </c>
      <c r="D970" s="3491">
        <v>0</v>
      </c>
      <c r="E970" s="3494">
        <v>0</v>
      </c>
      <c r="F970" s="3631">
        <v>0</v>
      </c>
      <c r="G970" s="3491">
        <v>0</v>
      </c>
      <c r="H970" s="3494">
        <v>0</v>
      </c>
      <c r="I970" s="3633">
        <v>447</v>
      </c>
      <c r="J970" s="3631">
        <v>1144</v>
      </c>
      <c r="K970" s="3624"/>
    </row>
    <row r="971" spans="1:11" ht="13.5">
      <c r="A971" s="3632">
        <v>48100</v>
      </c>
      <c r="B971" s="3631">
        <v>48150</v>
      </c>
      <c r="C971" s="3491">
        <v>0</v>
      </c>
      <c r="D971" s="3491">
        <v>0</v>
      </c>
      <c r="E971" s="3494">
        <v>0</v>
      </c>
      <c r="F971" s="3631">
        <v>0</v>
      </c>
      <c r="G971" s="3491">
        <v>0</v>
      </c>
      <c r="H971" s="3494">
        <v>0</v>
      </c>
      <c r="I971" s="3633">
        <v>437</v>
      </c>
      <c r="J971" s="3631">
        <v>1133</v>
      </c>
      <c r="K971" s="3624"/>
    </row>
    <row r="972" spans="1:11" ht="13.5">
      <c r="A972" s="3632">
        <v>48150</v>
      </c>
      <c r="B972" s="3631">
        <v>48200</v>
      </c>
      <c r="C972" s="3491">
        <v>0</v>
      </c>
      <c r="D972" s="3491">
        <v>0</v>
      </c>
      <c r="E972" s="3494">
        <v>0</v>
      </c>
      <c r="F972" s="3631">
        <v>0</v>
      </c>
      <c r="G972" s="3491">
        <v>0</v>
      </c>
      <c r="H972" s="3494">
        <v>0</v>
      </c>
      <c r="I972" s="3633">
        <v>426</v>
      </c>
      <c r="J972" s="3631">
        <v>1122</v>
      </c>
      <c r="K972" s="3624"/>
    </row>
    <row r="973" spans="1:11" ht="13.5">
      <c r="A973" s="3632">
        <v>48200</v>
      </c>
      <c r="B973" s="3631">
        <v>48250</v>
      </c>
      <c r="C973" s="3491">
        <v>0</v>
      </c>
      <c r="D973" s="3491">
        <v>0</v>
      </c>
      <c r="E973" s="3494">
        <v>0</v>
      </c>
      <c r="F973" s="3631">
        <v>0</v>
      </c>
      <c r="G973" s="3491">
        <v>0</v>
      </c>
      <c r="H973" s="3494">
        <v>0</v>
      </c>
      <c r="I973" s="3633">
        <v>415</v>
      </c>
      <c r="J973" s="3631">
        <v>1112</v>
      </c>
      <c r="K973" s="3624"/>
    </row>
    <row r="974" spans="1:11" ht="13.5">
      <c r="A974" s="3632">
        <v>48250</v>
      </c>
      <c r="B974" s="3631">
        <v>48300</v>
      </c>
      <c r="C974" s="3491">
        <v>0</v>
      </c>
      <c r="D974" s="3491">
        <v>0</v>
      </c>
      <c r="E974" s="3494">
        <v>0</v>
      </c>
      <c r="F974" s="3631">
        <v>0</v>
      </c>
      <c r="G974" s="3491">
        <v>0</v>
      </c>
      <c r="H974" s="3494">
        <v>0</v>
      </c>
      <c r="I974" s="3633">
        <v>405</v>
      </c>
      <c r="J974" s="3631">
        <v>1101</v>
      </c>
      <c r="K974" s="3624"/>
    </row>
    <row r="975" spans="1:11" ht="13.5">
      <c r="A975" s="3632">
        <v>48300</v>
      </c>
      <c r="B975" s="3631">
        <v>48350</v>
      </c>
      <c r="C975" s="3491">
        <v>0</v>
      </c>
      <c r="D975" s="3491">
        <v>0</v>
      </c>
      <c r="E975" s="3494">
        <v>0</v>
      </c>
      <c r="F975" s="3631">
        <v>0</v>
      </c>
      <c r="G975" s="3491">
        <v>0</v>
      </c>
      <c r="H975" s="3494">
        <v>0</v>
      </c>
      <c r="I975" s="3633">
        <v>394</v>
      </c>
      <c r="J975" s="3631">
        <v>1091</v>
      </c>
      <c r="K975" s="3624"/>
    </row>
    <row r="976" spans="1:11" ht="13.5">
      <c r="A976" s="3632">
        <v>48350</v>
      </c>
      <c r="B976" s="3631">
        <v>48400</v>
      </c>
      <c r="C976" s="3491">
        <v>0</v>
      </c>
      <c r="D976" s="3491">
        <v>0</v>
      </c>
      <c r="E976" s="3494">
        <v>0</v>
      </c>
      <c r="F976" s="3631">
        <v>0</v>
      </c>
      <c r="G976" s="3491">
        <v>0</v>
      </c>
      <c r="H976" s="3494">
        <v>0</v>
      </c>
      <c r="I976" s="3633">
        <v>384</v>
      </c>
      <c r="J976" s="3631">
        <v>1080</v>
      </c>
      <c r="K976" s="3624"/>
    </row>
    <row r="977" spans="1:11" ht="13.5">
      <c r="A977" s="3632">
        <v>48400</v>
      </c>
      <c r="B977" s="3631">
        <v>48450</v>
      </c>
      <c r="C977" s="3491">
        <v>0</v>
      </c>
      <c r="D977" s="3491">
        <v>0</v>
      </c>
      <c r="E977" s="3494">
        <v>0</v>
      </c>
      <c r="F977" s="3631">
        <v>0</v>
      </c>
      <c r="G977" s="3491">
        <v>0</v>
      </c>
      <c r="H977" s="3494">
        <v>0</v>
      </c>
      <c r="I977" s="3633">
        <v>373</v>
      </c>
      <c r="J977" s="3631">
        <v>1070</v>
      </c>
      <c r="K977" s="3624"/>
    </row>
    <row r="978" spans="1:11" ht="13.5">
      <c r="A978" s="3632">
        <v>48450</v>
      </c>
      <c r="B978" s="3631">
        <v>48500</v>
      </c>
      <c r="C978" s="3491">
        <v>0</v>
      </c>
      <c r="D978" s="3491">
        <v>0</v>
      </c>
      <c r="E978" s="3494">
        <v>0</v>
      </c>
      <c r="F978" s="3631">
        <v>0</v>
      </c>
      <c r="G978" s="3491">
        <v>0</v>
      </c>
      <c r="H978" s="3494">
        <v>0</v>
      </c>
      <c r="I978" s="3633">
        <v>363</v>
      </c>
      <c r="J978" s="3631">
        <v>1059</v>
      </c>
      <c r="K978" s="3624"/>
    </row>
    <row r="979" spans="1:11" ht="13.5">
      <c r="A979" s="3632">
        <v>48500</v>
      </c>
      <c r="B979" s="3631">
        <v>48550</v>
      </c>
      <c r="C979" s="3491">
        <v>0</v>
      </c>
      <c r="D979" s="3491">
        <v>0</v>
      </c>
      <c r="E979" s="3494">
        <v>0</v>
      </c>
      <c r="F979" s="3631">
        <v>0</v>
      </c>
      <c r="G979" s="3491">
        <v>0</v>
      </c>
      <c r="H979" s="3494">
        <v>0</v>
      </c>
      <c r="I979" s="3633">
        <v>352</v>
      </c>
      <c r="J979" s="3631">
        <v>1049</v>
      </c>
      <c r="K979" s="3624"/>
    </row>
    <row r="980" spans="1:11" ht="13.5">
      <c r="A980" s="3632">
        <v>48550</v>
      </c>
      <c r="B980" s="3631">
        <v>48600</v>
      </c>
      <c r="C980" s="3491">
        <v>0</v>
      </c>
      <c r="D980" s="3491">
        <v>0</v>
      </c>
      <c r="E980" s="3494">
        <v>0</v>
      </c>
      <c r="F980" s="3631">
        <v>0</v>
      </c>
      <c r="G980" s="3491">
        <v>0</v>
      </c>
      <c r="H980" s="3494">
        <v>0</v>
      </c>
      <c r="I980" s="3633">
        <v>342</v>
      </c>
      <c r="J980" s="3631">
        <v>1038</v>
      </c>
      <c r="K980" s="3624"/>
    </row>
    <row r="981" spans="1:11" ht="13.5">
      <c r="A981" s="3632">
        <v>48600</v>
      </c>
      <c r="B981" s="3631">
        <v>48650</v>
      </c>
      <c r="C981" s="3491">
        <v>0</v>
      </c>
      <c r="D981" s="3491">
        <v>0</v>
      </c>
      <c r="E981" s="3494">
        <v>0</v>
      </c>
      <c r="F981" s="3631">
        <v>0</v>
      </c>
      <c r="G981" s="3491">
        <v>0</v>
      </c>
      <c r="H981" s="3494">
        <v>0</v>
      </c>
      <c r="I981" s="3633">
        <v>331</v>
      </c>
      <c r="J981" s="3631">
        <v>1028</v>
      </c>
      <c r="K981" s="3624"/>
    </row>
    <row r="982" spans="1:11" ht="13.5">
      <c r="A982" s="3632">
        <v>48650</v>
      </c>
      <c r="B982" s="3631">
        <v>48700</v>
      </c>
      <c r="C982" s="3491">
        <v>0</v>
      </c>
      <c r="D982" s="3491">
        <v>0</v>
      </c>
      <c r="E982" s="3494">
        <v>0</v>
      </c>
      <c r="F982" s="3631">
        <v>0</v>
      </c>
      <c r="G982" s="3491">
        <v>0</v>
      </c>
      <c r="H982" s="3494">
        <v>0</v>
      </c>
      <c r="I982" s="3633">
        <v>321</v>
      </c>
      <c r="J982" s="3631">
        <v>1017</v>
      </c>
      <c r="K982" s="3624"/>
    </row>
    <row r="983" spans="1:11" ht="13.5">
      <c r="A983" s="3632">
        <v>48700</v>
      </c>
      <c r="B983" s="3631">
        <v>48750</v>
      </c>
      <c r="C983" s="3491">
        <v>0</v>
      </c>
      <c r="D983" s="3491">
        <v>0</v>
      </c>
      <c r="E983" s="3494">
        <v>0</v>
      </c>
      <c r="F983" s="3631">
        <v>0</v>
      </c>
      <c r="G983" s="3491">
        <v>0</v>
      </c>
      <c r="H983" s="3494">
        <v>0</v>
      </c>
      <c r="I983" s="3633">
        <v>310</v>
      </c>
      <c r="J983" s="3631">
        <v>1007</v>
      </c>
      <c r="K983" s="3624"/>
    </row>
    <row r="984" spans="1:11" ht="13.5">
      <c r="A984" s="3632">
        <v>48750</v>
      </c>
      <c r="B984" s="3631">
        <v>48800</v>
      </c>
      <c r="C984" s="3491">
        <v>0</v>
      </c>
      <c r="D984" s="3491">
        <v>0</v>
      </c>
      <c r="E984" s="3494">
        <v>0</v>
      </c>
      <c r="F984" s="3631">
        <v>0</v>
      </c>
      <c r="G984" s="3491">
        <v>0</v>
      </c>
      <c r="H984" s="3494">
        <v>0</v>
      </c>
      <c r="I984" s="3633">
        <v>300</v>
      </c>
      <c r="J984" s="3631">
        <v>996</v>
      </c>
      <c r="K984" s="3624"/>
    </row>
    <row r="985" spans="1:11" ht="13.5">
      <c r="A985" s="3632">
        <v>48800</v>
      </c>
      <c r="B985" s="3631">
        <v>48850</v>
      </c>
      <c r="C985" s="3491">
        <v>0</v>
      </c>
      <c r="D985" s="3491">
        <v>0</v>
      </c>
      <c r="E985" s="3494">
        <v>0</v>
      </c>
      <c r="F985" s="3631">
        <v>0</v>
      </c>
      <c r="G985" s="3491">
        <v>0</v>
      </c>
      <c r="H985" s="3494">
        <v>0</v>
      </c>
      <c r="I985" s="3633">
        <v>289</v>
      </c>
      <c r="J985" s="3631">
        <v>986</v>
      </c>
      <c r="K985" s="3624"/>
    </row>
    <row r="986" spans="1:11" ht="13.5">
      <c r="A986" s="3632">
        <v>48850</v>
      </c>
      <c r="B986" s="3631">
        <v>48900</v>
      </c>
      <c r="C986" s="3491">
        <v>0</v>
      </c>
      <c r="D986" s="3491">
        <v>0</v>
      </c>
      <c r="E986" s="3494">
        <v>0</v>
      </c>
      <c r="F986" s="3631">
        <v>0</v>
      </c>
      <c r="G986" s="3491">
        <v>0</v>
      </c>
      <c r="H986" s="3494">
        <v>0</v>
      </c>
      <c r="I986" s="3633">
        <v>279</v>
      </c>
      <c r="J986" s="3631">
        <v>975</v>
      </c>
      <c r="K986" s="3624"/>
    </row>
    <row r="987" spans="1:11" ht="13.5">
      <c r="A987" s="3632">
        <v>48900</v>
      </c>
      <c r="B987" s="3631">
        <v>48950</v>
      </c>
      <c r="C987" s="3491">
        <v>0</v>
      </c>
      <c r="D987" s="3491">
        <v>0</v>
      </c>
      <c r="E987" s="3494">
        <v>0</v>
      </c>
      <c r="F987" s="3631">
        <v>0</v>
      </c>
      <c r="G987" s="3491">
        <v>0</v>
      </c>
      <c r="H987" s="3494">
        <v>0</v>
      </c>
      <c r="I987" s="3633">
        <v>268</v>
      </c>
      <c r="J987" s="3631">
        <v>965</v>
      </c>
      <c r="K987" s="3624"/>
    </row>
    <row r="988" spans="1:11" ht="13.5">
      <c r="A988" s="3632">
        <v>48950</v>
      </c>
      <c r="B988" s="3631">
        <v>49000</v>
      </c>
      <c r="C988" s="3491">
        <v>0</v>
      </c>
      <c r="D988" s="3491">
        <v>0</v>
      </c>
      <c r="E988" s="3494">
        <v>0</v>
      </c>
      <c r="F988" s="3631">
        <v>0</v>
      </c>
      <c r="G988" s="3491">
        <v>0</v>
      </c>
      <c r="H988" s="3494">
        <v>0</v>
      </c>
      <c r="I988" s="3633">
        <v>258</v>
      </c>
      <c r="J988" s="3631">
        <v>954</v>
      </c>
      <c r="K988" s="3624"/>
    </row>
    <row r="989" spans="1:11" ht="13.5">
      <c r="A989" s="3632">
        <v>49000</v>
      </c>
      <c r="B989" s="3631">
        <v>49050</v>
      </c>
      <c r="C989" s="3491">
        <v>0</v>
      </c>
      <c r="D989" s="3491">
        <v>0</v>
      </c>
      <c r="E989" s="3494">
        <v>0</v>
      </c>
      <c r="F989" s="3631">
        <v>0</v>
      </c>
      <c r="G989" s="3491">
        <v>0</v>
      </c>
      <c r="H989" s="3494">
        <v>0</v>
      </c>
      <c r="I989" s="3633">
        <v>247</v>
      </c>
      <c r="J989" s="3631">
        <v>943</v>
      </c>
      <c r="K989" s="3624"/>
    </row>
    <row r="990" spans="1:11" ht="13.5">
      <c r="A990" s="3632">
        <v>49050</v>
      </c>
      <c r="B990" s="3631">
        <v>49100</v>
      </c>
      <c r="C990" s="3491">
        <v>0</v>
      </c>
      <c r="D990" s="3491">
        <v>0</v>
      </c>
      <c r="E990" s="3494">
        <v>0</v>
      </c>
      <c r="F990" s="3631">
        <v>0</v>
      </c>
      <c r="G990" s="3491">
        <v>0</v>
      </c>
      <c r="H990" s="3494">
        <v>0</v>
      </c>
      <c r="I990" s="3633">
        <v>236</v>
      </c>
      <c r="J990" s="3631">
        <v>933</v>
      </c>
      <c r="K990" s="3624"/>
    </row>
    <row r="991" spans="1:11" ht="13.5">
      <c r="A991" s="3632">
        <v>49100</v>
      </c>
      <c r="B991" s="3631">
        <v>49150</v>
      </c>
      <c r="C991" s="3491">
        <v>0</v>
      </c>
      <c r="D991" s="3491">
        <v>0</v>
      </c>
      <c r="E991" s="3494">
        <v>0</v>
      </c>
      <c r="F991" s="3631">
        <v>0</v>
      </c>
      <c r="G991" s="3491">
        <v>0</v>
      </c>
      <c r="H991" s="3494">
        <v>0</v>
      </c>
      <c r="I991" s="3633">
        <v>226</v>
      </c>
      <c r="J991" s="3631">
        <v>922</v>
      </c>
      <c r="K991" s="3624"/>
    </row>
    <row r="992" spans="1:11" ht="13.5">
      <c r="A992" s="3632">
        <v>49150</v>
      </c>
      <c r="B992" s="3631">
        <v>49200</v>
      </c>
      <c r="C992" s="3491">
        <v>0</v>
      </c>
      <c r="D992" s="3491">
        <v>0</v>
      </c>
      <c r="E992" s="3494">
        <v>0</v>
      </c>
      <c r="F992" s="3631">
        <v>0</v>
      </c>
      <c r="G992" s="3491">
        <v>0</v>
      </c>
      <c r="H992" s="3494">
        <v>0</v>
      </c>
      <c r="I992" s="3633">
        <v>215</v>
      </c>
      <c r="J992" s="3631">
        <v>912</v>
      </c>
      <c r="K992" s="3624"/>
    </row>
    <row r="993" spans="1:11" ht="13.5">
      <c r="A993" s="3632">
        <v>49200</v>
      </c>
      <c r="B993" s="3631">
        <v>49250</v>
      </c>
      <c r="C993" s="3491">
        <v>0</v>
      </c>
      <c r="D993" s="3491">
        <v>0</v>
      </c>
      <c r="E993" s="3494">
        <v>0</v>
      </c>
      <c r="F993" s="3631">
        <v>0</v>
      </c>
      <c r="G993" s="3491">
        <v>0</v>
      </c>
      <c r="H993" s="3494">
        <v>0</v>
      </c>
      <c r="I993" s="3633">
        <v>205</v>
      </c>
      <c r="J993" s="3631">
        <v>901</v>
      </c>
      <c r="K993" s="3624"/>
    </row>
    <row r="994" spans="1:11" ht="13.5">
      <c r="A994" s="3632">
        <v>49250</v>
      </c>
      <c r="B994" s="3631">
        <v>49300</v>
      </c>
      <c r="C994" s="3491">
        <v>0</v>
      </c>
      <c r="D994" s="3491">
        <v>0</v>
      </c>
      <c r="E994" s="3494">
        <v>0</v>
      </c>
      <c r="F994" s="3631">
        <v>0</v>
      </c>
      <c r="G994" s="3491">
        <v>0</v>
      </c>
      <c r="H994" s="3494">
        <v>0</v>
      </c>
      <c r="I994" s="3633">
        <v>194</v>
      </c>
      <c r="J994" s="3631">
        <v>891</v>
      </c>
      <c r="K994" s="3624"/>
    </row>
    <row r="995" spans="1:11" ht="13.5">
      <c r="A995" s="3632">
        <v>49300</v>
      </c>
      <c r="B995" s="3631">
        <v>49350</v>
      </c>
      <c r="C995" s="3491">
        <v>0</v>
      </c>
      <c r="D995" s="3491">
        <v>0</v>
      </c>
      <c r="E995" s="3494">
        <v>0</v>
      </c>
      <c r="F995" s="3631">
        <v>0</v>
      </c>
      <c r="G995" s="3491">
        <v>0</v>
      </c>
      <c r="H995" s="3494">
        <v>0</v>
      </c>
      <c r="I995" s="3633">
        <v>184</v>
      </c>
      <c r="J995" s="3631">
        <v>880</v>
      </c>
      <c r="K995" s="3624"/>
    </row>
    <row r="996" spans="1:11" ht="13.5">
      <c r="A996" s="3632">
        <v>49350</v>
      </c>
      <c r="B996" s="3631">
        <v>49400</v>
      </c>
      <c r="C996" s="3491">
        <v>0</v>
      </c>
      <c r="D996" s="3491">
        <v>0</v>
      </c>
      <c r="E996" s="3494">
        <v>0</v>
      </c>
      <c r="F996" s="3631">
        <v>0</v>
      </c>
      <c r="G996" s="3491">
        <v>0</v>
      </c>
      <c r="H996" s="3494">
        <v>0</v>
      </c>
      <c r="I996" s="3633">
        <v>173</v>
      </c>
      <c r="J996" s="3631">
        <v>870</v>
      </c>
      <c r="K996" s="3624"/>
    </row>
    <row r="997" spans="1:11" ht="13.5">
      <c r="A997" s="3632">
        <v>49400</v>
      </c>
      <c r="B997" s="3631">
        <v>49450</v>
      </c>
      <c r="C997" s="3491">
        <v>0</v>
      </c>
      <c r="D997" s="3491">
        <v>0</v>
      </c>
      <c r="E997" s="3494">
        <v>0</v>
      </c>
      <c r="F997" s="3631">
        <v>0</v>
      </c>
      <c r="G997" s="3491">
        <v>0</v>
      </c>
      <c r="H997" s="3494">
        <v>0</v>
      </c>
      <c r="I997" s="3633">
        <v>163</v>
      </c>
      <c r="J997" s="3631">
        <v>859</v>
      </c>
      <c r="K997" s="3624"/>
    </row>
    <row r="998" spans="1:11" ht="13.5">
      <c r="A998" s="3632">
        <v>49450</v>
      </c>
      <c r="B998" s="3631">
        <v>49500</v>
      </c>
      <c r="C998" s="3491">
        <v>0</v>
      </c>
      <c r="D998" s="3491">
        <v>0</v>
      </c>
      <c r="E998" s="3494">
        <v>0</v>
      </c>
      <c r="F998" s="3631">
        <v>0</v>
      </c>
      <c r="G998" s="3491">
        <v>0</v>
      </c>
      <c r="H998" s="3494">
        <v>0</v>
      </c>
      <c r="I998" s="3633">
        <v>152</v>
      </c>
      <c r="J998" s="3631">
        <v>849</v>
      </c>
      <c r="K998" s="3624"/>
    </row>
    <row r="999" spans="1:11" ht="13.5">
      <c r="A999" s="3632">
        <v>49500</v>
      </c>
      <c r="B999" s="3631">
        <v>49550</v>
      </c>
      <c r="C999" s="3491">
        <v>0</v>
      </c>
      <c r="D999" s="3491">
        <v>0</v>
      </c>
      <c r="E999" s="3494">
        <v>0</v>
      </c>
      <c r="F999" s="3631">
        <v>0</v>
      </c>
      <c r="G999" s="3491">
        <v>0</v>
      </c>
      <c r="H999" s="3494">
        <v>0</v>
      </c>
      <c r="I999" s="3633">
        <v>142</v>
      </c>
      <c r="J999" s="3631">
        <v>838</v>
      </c>
      <c r="K999" s="3624"/>
    </row>
    <row r="1000" spans="1:11" ht="13.5">
      <c r="A1000" s="3632">
        <v>49550</v>
      </c>
      <c r="B1000" s="3631">
        <v>49600</v>
      </c>
      <c r="C1000" s="3491">
        <v>0</v>
      </c>
      <c r="D1000" s="3491">
        <v>0</v>
      </c>
      <c r="E1000" s="3494">
        <v>0</v>
      </c>
      <c r="F1000" s="3631">
        <v>0</v>
      </c>
      <c r="G1000" s="3491">
        <v>0</v>
      </c>
      <c r="H1000" s="3494">
        <v>0</v>
      </c>
      <c r="I1000" s="3633">
        <v>131</v>
      </c>
      <c r="J1000" s="3631">
        <v>828</v>
      </c>
      <c r="K1000" s="3624"/>
    </row>
    <row r="1001" spans="1:11" ht="13.5">
      <c r="A1001" s="3632">
        <v>49600</v>
      </c>
      <c r="B1001" s="3631">
        <v>49650</v>
      </c>
      <c r="C1001" s="3491">
        <v>0</v>
      </c>
      <c r="D1001" s="3491">
        <v>0</v>
      </c>
      <c r="E1001" s="3494">
        <v>0</v>
      </c>
      <c r="F1001" s="3631">
        <v>0</v>
      </c>
      <c r="G1001" s="3491">
        <v>0</v>
      </c>
      <c r="H1001" s="3494">
        <v>0</v>
      </c>
      <c r="I1001" s="3633">
        <v>121</v>
      </c>
      <c r="J1001" s="3631">
        <v>817</v>
      </c>
      <c r="K1001" s="3624"/>
    </row>
    <row r="1002" spans="1:11" ht="13.5">
      <c r="A1002" s="3632">
        <v>49650</v>
      </c>
      <c r="B1002" s="3631">
        <v>49700</v>
      </c>
      <c r="C1002" s="3491">
        <v>0</v>
      </c>
      <c r="D1002" s="3491">
        <v>0</v>
      </c>
      <c r="E1002" s="3494">
        <v>0</v>
      </c>
      <c r="F1002" s="3631">
        <v>0</v>
      </c>
      <c r="G1002" s="3491">
        <v>0</v>
      </c>
      <c r="H1002" s="3494">
        <v>0</v>
      </c>
      <c r="I1002" s="3633">
        <v>110</v>
      </c>
      <c r="J1002" s="3631">
        <v>807</v>
      </c>
      <c r="K1002" s="3624"/>
    </row>
    <row r="1003" spans="1:11" ht="13.5">
      <c r="A1003" s="3632">
        <v>49700</v>
      </c>
      <c r="B1003" s="3631">
        <v>49750</v>
      </c>
      <c r="C1003" s="3491">
        <v>0</v>
      </c>
      <c r="D1003" s="3491">
        <v>0</v>
      </c>
      <c r="E1003" s="3494">
        <v>0</v>
      </c>
      <c r="F1003" s="3631">
        <v>0</v>
      </c>
      <c r="G1003" s="3491">
        <v>0</v>
      </c>
      <c r="H1003" s="3494">
        <v>0</v>
      </c>
      <c r="I1003" s="3633">
        <v>100</v>
      </c>
      <c r="J1003" s="3631">
        <v>796</v>
      </c>
      <c r="K1003" s="3624"/>
    </row>
    <row r="1004" spans="1:11" ht="13.5">
      <c r="A1004" s="3632">
        <v>49750</v>
      </c>
      <c r="B1004" s="3631">
        <v>49800</v>
      </c>
      <c r="C1004" s="3491">
        <v>0</v>
      </c>
      <c r="D1004" s="3491">
        <v>0</v>
      </c>
      <c r="E1004" s="3494">
        <v>0</v>
      </c>
      <c r="F1004" s="3631">
        <v>0</v>
      </c>
      <c r="G1004" s="3491">
        <v>0</v>
      </c>
      <c r="H1004" s="3494">
        <v>0</v>
      </c>
      <c r="I1004" s="3633">
        <v>89</v>
      </c>
      <c r="J1004" s="3631">
        <v>786</v>
      </c>
      <c r="K1004" s="3624"/>
    </row>
    <row r="1005" spans="1:11" ht="13.5">
      <c r="A1005" s="3632">
        <v>49800</v>
      </c>
      <c r="B1005" s="3631">
        <v>49850</v>
      </c>
      <c r="C1005" s="3491">
        <v>0</v>
      </c>
      <c r="D1005" s="3491">
        <v>0</v>
      </c>
      <c r="E1005" s="3494">
        <v>0</v>
      </c>
      <c r="F1005" s="3631">
        <v>0</v>
      </c>
      <c r="G1005" s="3491">
        <v>0</v>
      </c>
      <c r="H1005" s="3494">
        <v>0</v>
      </c>
      <c r="I1005" s="3633">
        <v>78</v>
      </c>
      <c r="J1005" s="3631">
        <v>775</v>
      </c>
      <c r="K1005" s="3624"/>
    </row>
    <row r="1006" spans="1:11" ht="13.5">
      <c r="A1006" s="3632">
        <v>49850</v>
      </c>
      <c r="B1006" s="3631">
        <v>49900</v>
      </c>
      <c r="C1006" s="3491">
        <v>0</v>
      </c>
      <c r="D1006" s="3491">
        <v>0</v>
      </c>
      <c r="E1006" s="3494">
        <v>0</v>
      </c>
      <c r="F1006" s="3631">
        <v>0</v>
      </c>
      <c r="G1006" s="3491">
        <v>0</v>
      </c>
      <c r="H1006" s="3494">
        <v>0</v>
      </c>
      <c r="I1006" s="3633">
        <v>68</v>
      </c>
      <c r="J1006" s="3631">
        <v>764</v>
      </c>
      <c r="K1006" s="3634"/>
    </row>
    <row r="1007" spans="1:11" ht="13.5">
      <c r="A1007" s="3632">
        <v>49900</v>
      </c>
      <c r="B1007" s="3631">
        <v>49950</v>
      </c>
      <c r="C1007" s="3491">
        <v>0</v>
      </c>
      <c r="D1007" s="3491">
        <v>0</v>
      </c>
      <c r="E1007" s="3494">
        <v>0</v>
      </c>
      <c r="F1007" s="3631">
        <v>0</v>
      </c>
      <c r="G1007" s="3491">
        <v>0</v>
      </c>
      <c r="H1007" s="3494">
        <v>0</v>
      </c>
      <c r="I1007" s="3633">
        <v>57</v>
      </c>
      <c r="J1007" s="3631">
        <v>754</v>
      </c>
      <c r="K1007" s="3634"/>
    </row>
    <row r="1008" spans="1:11" ht="13.5">
      <c r="A1008" s="3632">
        <v>49950</v>
      </c>
      <c r="B1008" s="3631">
        <v>50000</v>
      </c>
      <c r="C1008" s="3491">
        <v>0</v>
      </c>
      <c r="D1008" s="3491">
        <v>0</v>
      </c>
      <c r="E1008" s="3494">
        <v>0</v>
      </c>
      <c r="F1008" s="3631">
        <v>0</v>
      </c>
      <c r="G1008" s="3491">
        <v>0</v>
      </c>
      <c r="H1008" s="3494">
        <v>0</v>
      </c>
      <c r="I1008" s="3633">
        <v>47</v>
      </c>
      <c r="J1008" s="3631">
        <v>743</v>
      </c>
      <c r="K1008" s="3624"/>
    </row>
    <row r="1009" spans="1:11" ht="13.5">
      <c r="A1009" s="3632">
        <v>50000</v>
      </c>
      <c r="B1009" s="3631">
        <v>50050</v>
      </c>
      <c r="C1009" s="3491">
        <v>0</v>
      </c>
      <c r="D1009" s="3491">
        <v>0</v>
      </c>
      <c r="E1009" s="3494">
        <v>0</v>
      </c>
      <c r="F1009" s="3631">
        <v>0</v>
      </c>
      <c r="G1009" s="3491">
        <v>0</v>
      </c>
      <c r="H1009" s="3494">
        <v>0</v>
      </c>
      <c r="I1009" s="3633">
        <v>36</v>
      </c>
      <c r="J1009" s="3631">
        <v>733</v>
      </c>
      <c r="K1009" s="3624"/>
    </row>
    <row r="1010" spans="1:11" ht="13.5">
      <c r="A1010" s="3632">
        <v>50050</v>
      </c>
      <c r="B1010" s="3631">
        <v>50100</v>
      </c>
      <c r="C1010" s="3491">
        <v>0</v>
      </c>
      <c r="D1010" s="3491">
        <v>0</v>
      </c>
      <c r="E1010" s="3494">
        <v>0</v>
      </c>
      <c r="F1010" s="3631">
        <v>0</v>
      </c>
      <c r="G1010" s="3491">
        <v>0</v>
      </c>
      <c r="H1010" s="3494">
        <v>0</v>
      </c>
      <c r="I1010" s="3633">
        <v>26</v>
      </c>
      <c r="J1010" s="3631">
        <v>722</v>
      </c>
      <c r="K1010" s="3624"/>
    </row>
    <row r="1011" spans="1:11" ht="13.5">
      <c r="A1011" s="3632">
        <v>50100</v>
      </c>
      <c r="B1011" s="3631">
        <v>50150</v>
      </c>
      <c r="C1011" s="3491">
        <v>0</v>
      </c>
      <c r="D1011" s="3491">
        <v>0</v>
      </c>
      <c r="E1011" s="3494">
        <v>0</v>
      </c>
      <c r="F1011" s="3631">
        <v>0</v>
      </c>
      <c r="G1011" s="3491">
        <v>0</v>
      </c>
      <c r="H1011" s="3494">
        <v>0</v>
      </c>
      <c r="I1011" s="3633">
        <v>15</v>
      </c>
      <c r="J1011" s="3631">
        <v>712</v>
      </c>
      <c r="K1011" s="3624"/>
    </row>
    <row r="1012" spans="1:11" ht="13.5">
      <c r="A1012" s="3632">
        <v>50150</v>
      </c>
      <c r="B1012" s="3631">
        <v>50198</v>
      </c>
      <c r="C1012" s="3491">
        <v>0</v>
      </c>
      <c r="D1012" s="3491">
        <v>0</v>
      </c>
      <c r="E1012" s="3494">
        <v>0</v>
      </c>
      <c r="F1012" s="3631">
        <v>0</v>
      </c>
      <c r="G1012" s="3491">
        <v>0</v>
      </c>
      <c r="H1012" s="3494">
        <v>0</v>
      </c>
      <c r="I1012" s="3633">
        <v>5</v>
      </c>
      <c r="J1012" s="3631">
        <v>701</v>
      </c>
      <c r="K1012" s="3624"/>
    </row>
    <row r="1013" spans="1:11" ht="13.5">
      <c r="A1013" s="3632">
        <v>50198</v>
      </c>
      <c r="B1013" s="3631">
        <v>50200</v>
      </c>
      <c r="C1013" s="3491">
        <v>0</v>
      </c>
      <c r="D1013" s="3491">
        <v>0</v>
      </c>
      <c r="E1013" s="3494">
        <v>0</v>
      </c>
      <c r="F1013" s="3631">
        <v>0</v>
      </c>
      <c r="G1013" s="3491">
        <v>0</v>
      </c>
      <c r="H1013" s="3494">
        <v>0</v>
      </c>
      <c r="I1013" s="3633">
        <v>0</v>
      </c>
      <c r="J1013" s="3631">
        <v>701</v>
      </c>
      <c r="K1013" s="3624"/>
    </row>
    <row r="1014" spans="1:11" ht="13.5">
      <c r="A1014" s="3632">
        <v>50200</v>
      </c>
      <c r="B1014" s="3631">
        <v>50250</v>
      </c>
      <c r="C1014" s="3491">
        <v>0</v>
      </c>
      <c r="D1014" s="3491">
        <v>0</v>
      </c>
      <c r="E1014" s="3494">
        <v>0</v>
      </c>
      <c r="F1014" s="3631">
        <v>0</v>
      </c>
      <c r="G1014" s="3491">
        <v>0</v>
      </c>
      <c r="H1014" s="3494">
        <v>0</v>
      </c>
      <c r="I1014" s="3633">
        <v>0</v>
      </c>
      <c r="J1014" s="3631">
        <v>691</v>
      </c>
      <c r="K1014" s="3624"/>
    </row>
    <row r="1015" spans="1:11" ht="13.5">
      <c r="A1015" s="3632">
        <v>50250</v>
      </c>
      <c r="B1015" s="3631">
        <v>50300</v>
      </c>
      <c r="C1015" s="3491">
        <v>0</v>
      </c>
      <c r="D1015" s="3491">
        <v>0</v>
      </c>
      <c r="E1015" s="3494">
        <v>0</v>
      </c>
      <c r="F1015" s="3631">
        <v>0</v>
      </c>
      <c r="G1015" s="3491">
        <v>0</v>
      </c>
      <c r="H1015" s="3494">
        <v>0</v>
      </c>
      <c r="I1015" s="3633">
        <v>0</v>
      </c>
      <c r="J1015" s="3631">
        <v>680</v>
      </c>
      <c r="K1015" s="3624"/>
    </row>
    <row r="1016" spans="1:11" ht="13.5">
      <c r="A1016" s="3632">
        <v>50300</v>
      </c>
      <c r="B1016" s="3631">
        <v>50350</v>
      </c>
      <c r="C1016" s="3491">
        <v>0</v>
      </c>
      <c r="D1016" s="3491">
        <v>0</v>
      </c>
      <c r="E1016" s="3494">
        <v>0</v>
      </c>
      <c r="F1016" s="3631">
        <v>0</v>
      </c>
      <c r="G1016" s="3491">
        <v>0</v>
      </c>
      <c r="H1016" s="3494">
        <v>0</v>
      </c>
      <c r="I1016" s="3633">
        <v>0</v>
      </c>
      <c r="J1016" s="3631">
        <v>670</v>
      </c>
      <c r="K1016" s="3624"/>
    </row>
    <row r="1017" spans="1:11" ht="13.5">
      <c r="A1017" s="3632">
        <v>50350</v>
      </c>
      <c r="B1017" s="3631">
        <v>50400</v>
      </c>
      <c r="C1017" s="3491">
        <v>0</v>
      </c>
      <c r="D1017" s="3491">
        <v>0</v>
      </c>
      <c r="E1017" s="3494">
        <v>0</v>
      </c>
      <c r="F1017" s="3631">
        <v>0</v>
      </c>
      <c r="G1017" s="3491">
        <v>0</v>
      </c>
      <c r="H1017" s="3494">
        <v>0</v>
      </c>
      <c r="I1017" s="3633">
        <v>0</v>
      </c>
      <c r="J1017" s="3631">
        <v>659</v>
      </c>
      <c r="K1017" s="3624"/>
    </row>
    <row r="1018" spans="1:11" ht="13.5">
      <c r="A1018" s="3632">
        <v>50400</v>
      </c>
      <c r="B1018" s="3631">
        <v>50450</v>
      </c>
      <c r="C1018" s="3491">
        <v>0</v>
      </c>
      <c r="D1018" s="3491">
        <v>0</v>
      </c>
      <c r="E1018" s="3494">
        <v>0</v>
      </c>
      <c r="F1018" s="3631">
        <v>0</v>
      </c>
      <c r="G1018" s="3491">
        <v>0</v>
      </c>
      <c r="H1018" s="3494">
        <v>0</v>
      </c>
      <c r="I1018" s="3633">
        <v>0</v>
      </c>
      <c r="J1018" s="3631">
        <v>649</v>
      </c>
      <c r="K1018" s="3624"/>
    </row>
    <row r="1019" spans="1:11" ht="13.5">
      <c r="A1019" s="3632">
        <v>50450</v>
      </c>
      <c r="B1019" s="3631">
        <v>50500</v>
      </c>
      <c r="C1019" s="3491">
        <v>0</v>
      </c>
      <c r="D1019" s="3491">
        <v>0</v>
      </c>
      <c r="E1019" s="3494">
        <v>0</v>
      </c>
      <c r="F1019" s="3631">
        <v>0</v>
      </c>
      <c r="G1019" s="3491">
        <v>0</v>
      </c>
      <c r="H1019" s="3494">
        <v>0</v>
      </c>
      <c r="I1019" s="3633">
        <v>0</v>
      </c>
      <c r="J1019" s="3631">
        <v>638</v>
      </c>
      <c r="K1019" s="3624"/>
    </row>
    <row r="1020" spans="1:11" ht="13.5">
      <c r="A1020" s="3632">
        <v>50500</v>
      </c>
      <c r="B1020" s="3631">
        <v>50550</v>
      </c>
      <c r="C1020" s="3491">
        <v>0</v>
      </c>
      <c r="D1020" s="3491">
        <v>0</v>
      </c>
      <c r="E1020" s="3494">
        <v>0</v>
      </c>
      <c r="F1020" s="3631">
        <v>0</v>
      </c>
      <c r="G1020" s="3491">
        <v>0</v>
      </c>
      <c r="H1020" s="3494">
        <v>0</v>
      </c>
      <c r="I1020" s="3633">
        <v>0</v>
      </c>
      <c r="J1020" s="3631">
        <v>628</v>
      </c>
      <c r="K1020" s="3624"/>
    </row>
    <row r="1021" spans="1:11" ht="13.5">
      <c r="A1021" s="3632">
        <v>50550</v>
      </c>
      <c r="B1021" s="3631">
        <v>50600</v>
      </c>
      <c r="C1021" s="3491">
        <v>0</v>
      </c>
      <c r="D1021" s="3491">
        <v>0</v>
      </c>
      <c r="E1021" s="3494">
        <v>0</v>
      </c>
      <c r="F1021" s="3631">
        <v>0</v>
      </c>
      <c r="G1021" s="3491">
        <v>0</v>
      </c>
      <c r="H1021" s="3494">
        <v>0</v>
      </c>
      <c r="I1021" s="3633">
        <v>0</v>
      </c>
      <c r="J1021" s="3631">
        <v>617</v>
      </c>
      <c r="K1021" s="3624"/>
    </row>
    <row r="1022" spans="1:11" ht="13.5">
      <c r="A1022" s="3632">
        <v>50600</v>
      </c>
      <c r="B1022" s="3631">
        <v>50650</v>
      </c>
      <c r="C1022" s="3491">
        <v>0</v>
      </c>
      <c r="D1022" s="3491">
        <v>0</v>
      </c>
      <c r="E1022" s="3494">
        <v>0</v>
      </c>
      <c r="F1022" s="3631">
        <v>0</v>
      </c>
      <c r="G1022" s="3491">
        <v>0</v>
      </c>
      <c r="H1022" s="3494">
        <v>0</v>
      </c>
      <c r="I1022" s="3633">
        <v>0</v>
      </c>
      <c r="J1022" s="3631">
        <v>607</v>
      </c>
      <c r="K1022" s="3624"/>
    </row>
    <row r="1023" spans="1:11" ht="13.5">
      <c r="A1023" s="3632">
        <v>50650</v>
      </c>
      <c r="B1023" s="3631">
        <v>50700</v>
      </c>
      <c r="C1023" s="3491">
        <v>0</v>
      </c>
      <c r="D1023" s="3491">
        <v>0</v>
      </c>
      <c r="E1023" s="3494">
        <v>0</v>
      </c>
      <c r="F1023" s="3631">
        <v>0</v>
      </c>
      <c r="G1023" s="3491">
        <v>0</v>
      </c>
      <c r="H1023" s="3494">
        <v>0</v>
      </c>
      <c r="I1023" s="3633">
        <v>0</v>
      </c>
      <c r="J1023" s="3631">
        <v>596</v>
      </c>
      <c r="K1023" s="3624"/>
    </row>
    <row r="1024" spans="1:11" ht="13.5">
      <c r="A1024" s="3632">
        <v>50700</v>
      </c>
      <c r="B1024" s="3631">
        <v>50750</v>
      </c>
      <c r="C1024" s="3491">
        <v>0</v>
      </c>
      <c r="D1024" s="3491">
        <v>0</v>
      </c>
      <c r="E1024" s="3494">
        <v>0</v>
      </c>
      <c r="F1024" s="3631">
        <v>0</v>
      </c>
      <c r="G1024" s="3491">
        <v>0</v>
      </c>
      <c r="H1024" s="3494">
        <v>0</v>
      </c>
      <c r="I1024" s="3633">
        <v>0</v>
      </c>
      <c r="J1024" s="3631">
        <v>585</v>
      </c>
      <c r="K1024" s="3624"/>
    </row>
    <row r="1025" spans="1:11" ht="13.5">
      <c r="A1025" s="3632">
        <v>50750</v>
      </c>
      <c r="B1025" s="3631">
        <v>50800</v>
      </c>
      <c r="C1025" s="3491">
        <v>0</v>
      </c>
      <c r="D1025" s="3491">
        <v>0</v>
      </c>
      <c r="E1025" s="3494">
        <v>0</v>
      </c>
      <c r="F1025" s="3631">
        <v>0</v>
      </c>
      <c r="G1025" s="3491">
        <v>0</v>
      </c>
      <c r="H1025" s="3494">
        <v>0</v>
      </c>
      <c r="I1025" s="3633">
        <v>0</v>
      </c>
      <c r="J1025" s="3631">
        <v>575</v>
      </c>
      <c r="K1025" s="3624"/>
    </row>
    <row r="1026" spans="1:11" ht="13.5">
      <c r="A1026" s="3632">
        <v>50800</v>
      </c>
      <c r="B1026" s="3631">
        <v>50850</v>
      </c>
      <c r="C1026" s="3491">
        <v>0</v>
      </c>
      <c r="D1026" s="3491">
        <v>0</v>
      </c>
      <c r="E1026" s="3494">
        <v>0</v>
      </c>
      <c r="F1026" s="3631">
        <v>0</v>
      </c>
      <c r="G1026" s="3491">
        <v>0</v>
      </c>
      <c r="H1026" s="3494">
        <v>0</v>
      </c>
      <c r="I1026" s="3633">
        <v>0</v>
      </c>
      <c r="J1026" s="3631">
        <v>564</v>
      </c>
      <c r="K1026" s="3624"/>
    </row>
    <row r="1027" spans="1:11" ht="13.5">
      <c r="A1027" s="3632">
        <v>50850</v>
      </c>
      <c r="B1027" s="3631">
        <v>50900</v>
      </c>
      <c r="C1027" s="3491">
        <v>0</v>
      </c>
      <c r="D1027" s="3491">
        <v>0</v>
      </c>
      <c r="E1027" s="3494">
        <v>0</v>
      </c>
      <c r="F1027" s="3631">
        <v>0</v>
      </c>
      <c r="G1027" s="3491">
        <v>0</v>
      </c>
      <c r="H1027" s="3494">
        <v>0</v>
      </c>
      <c r="I1027" s="3633">
        <v>0</v>
      </c>
      <c r="J1027" s="3631">
        <v>554</v>
      </c>
      <c r="K1027" s="3624"/>
    </row>
    <row r="1028" spans="1:11" ht="13.5">
      <c r="A1028" s="3632">
        <v>50900</v>
      </c>
      <c r="B1028" s="3631">
        <v>50950</v>
      </c>
      <c r="C1028" s="3491">
        <v>0</v>
      </c>
      <c r="D1028" s="3491">
        <v>0</v>
      </c>
      <c r="E1028" s="3494">
        <v>0</v>
      </c>
      <c r="F1028" s="3631">
        <v>0</v>
      </c>
      <c r="G1028" s="3491">
        <v>0</v>
      </c>
      <c r="H1028" s="3494">
        <v>0</v>
      </c>
      <c r="I1028" s="3633">
        <v>0</v>
      </c>
      <c r="J1028" s="3631">
        <v>543</v>
      </c>
      <c r="K1028" s="3624"/>
    </row>
    <row r="1029" spans="1:11" ht="13.5">
      <c r="A1029" s="3632">
        <v>50950</v>
      </c>
      <c r="B1029" s="3631">
        <v>51000</v>
      </c>
      <c r="C1029" s="3491">
        <v>0</v>
      </c>
      <c r="D1029" s="3491">
        <v>0</v>
      </c>
      <c r="E1029" s="3494">
        <v>0</v>
      </c>
      <c r="F1029" s="3631">
        <v>0</v>
      </c>
      <c r="G1029" s="3491">
        <v>0</v>
      </c>
      <c r="H1029" s="3494">
        <v>0</v>
      </c>
      <c r="I1029" s="3633">
        <v>0</v>
      </c>
      <c r="J1029" s="3631">
        <v>533</v>
      </c>
      <c r="K1029" s="3624"/>
    </row>
    <row r="1030" spans="1:11" ht="13.5">
      <c r="A1030" s="3632">
        <v>51000</v>
      </c>
      <c r="B1030" s="3631">
        <v>51050</v>
      </c>
      <c r="C1030" s="3491">
        <v>0</v>
      </c>
      <c r="D1030" s="3491">
        <v>0</v>
      </c>
      <c r="E1030" s="3494">
        <v>0</v>
      </c>
      <c r="F1030" s="3631">
        <v>0</v>
      </c>
      <c r="G1030" s="3491">
        <v>0</v>
      </c>
      <c r="H1030" s="3494">
        <v>0</v>
      </c>
      <c r="I1030" s="3633">
        <v>0</v>
      </c>
      <c r="J1030" s="3631">
        <v>522</v>
      </c>
      <c r="K1030" s="3624"/>
    </row>
    <row r="1031" spans="1:11" ht="13.5">
      <c r="A1031" s="3632">
        <v>51050</v>
      </c>
      <c r="B1031" s="3631">
        <v>51100</v>
      </c>
      <c r="C1031" s="3491">
        <v>0</v>
      </c>
      <c r="D1031" s="3491">
        <v>0</v>
      </c>
      <c r="E1031" s="3494">
        <v>0</v>
      </c>
      <c r="F1031" s="3631">
        <v>0</v>
      </c>
      <c r="G1031" s="3491">
        <v>0</v>
      </c>
      <c r="H1031" s="3494">
        <v>0</v>
      </c>
      <c r="I1031" s="3633">
        <v>0</v>
      </c>
      <c r="J1031" s="3631">
        <v>512</v>
      </c>
      <c r="K1031" s="3624"/>
    </row>
    <row r="1032" spans="1:11" ht="13.5">
      <c r="A1032" s="3632">
        <v>51100</v>
      </c>
      <c r="B1032" s="3631">
        <v>51150</v>
      </c>
      <c r="C1032" s="3491">
        <v>0</v>
      </c>
      <c r="D1032" s="3491">
        <v>0</v>
      </c>
      <c r="E1032" s="3494">
        <v>0</v>
      </c>
      <c r="F1032" s="3631">
        <v>0</v>
      </c>
      <c r="G1032" s="3491">
        <v>0</v>
      </c>
      <c r="H1032" s="3494">
        <v>0</v>
      </c>
      <c r="I1032" s="3633">
        <v>0</v>
      </c>
      <c r="J1032" s="3631">
        <v>501</v>
      </c>
      <c r="K1032" s="3624"/>
    </row>
    <row r="1033" spans="1:11" ht="13.5">
      <c r="A1033" s="3632">
        <v>51150</v>
      </c>
      <c r="B1033" s="3631">
        <v>51200</v>
      </c>
      <c r="C1033" s="3491">
        <v>0</v>
      </c>
      <c r="D1033" s="3491">
        <v>0</v>
      </c>
      <c r="E1033" s="3494">
        <v>0</v>
      </c>
      <c r="F1033" s="3631">
        <v>0</v>
      </c>
      <c r="G1033" s="3491">
        <v>0</v>
      </c>
      <c r="H1033" s="3494">
        <v>0</v>
      </c>
      <c r="I1033" s="3633">
        <v>0</v>
      </c>
      <c r="J1033" s="3631">
        <v>491</v>
      </c>
      <c r="K1033" s="3624"/>
    </row>
    <row r="1034" spans="1:11" ht="13.5">
      <c r="A1034" s="3632">
        <v>51200</v>
      </c>
      <c r="B1034" s="3631">
        <v>51250</v>
      </c>
      <c r="C1034" s="3491">
        <v>0</v>
      </c>
      <c r="D1034" s="3491">
        <v>0</v>
      </c>
      <c r="E1034" s="3494">
        <v>0</v>
      </c>
      <c r="F1034" s="3631">
        <v>0</v>
      </c>
      <c r="G1034" s="3491">
        <v>0</v>
      </c>
      <c r="H1034" s="3494">
        <v>0</v>
      </c>
      <c r="I1034" s="3633">
        <v>0</v>
      </c>
      <c r="J1034" s="3631">
        <v>480</v>
      </c>
      <c r="K1034" s="3624"/>
    </row>
    <row r="1035" spans="1:11" ht="13.5">
      <c r="A1035" s="3632">
        <v>51250</v>
      </c>
      <c r="B1035" s="3631">
        <v>51300</v>
      </c>
      <c r="C1035" s="3491">
        <v>0</v>
      </c>
      <c r="D1035" s="3491">
        <v>0</v>
      </c>
      <c r="E1035" s="3494">
        <v>0</v>
      </c>
      <c r="F1035" s="3631">
        <v>0</v>
      </c>
      <c r="G1035" s="3491">
        <v>0</v>
      </c>
      <c r="H1035" s="3494">
        <v>0</v>
      </c>
      <c r="I1035" s="3633">
        <v>0</v>
      </c>
      <c r="J1035" s="3631">
        <v>470</v>
      </c>
      <c r="K1035" s="3624"/>
    </row>
    <row r="1036" spans="1:11" ht="13.5">
      <c r="A1036" s="3632">
        <v>51300</v>
      </c>
      <c r="B1036" s="3631">
        <v>51350</v>
      </c>
      <c r="C1036" s="3491">
        <v>0</v>
      </c>
      <c r="D1036" s="3491">
        <v>0</v>
      </c>
      <c r="E1036" s="3494">
        <v>0</v>
      </c>
      <c r="F1036" s="3631">
        <v>0</v>
      </c>
      <c r="G1036" s="3491">
        <v>0</v>
      </c>
      <c r="H1036" s="3494">
        <v>0</v>
      </c>
      <c r="I1036" s="3633">
        <v>0</v>
      </c>
      <c r="J1036" s="3631">
        <v>459</v>
      </c>
      <c r="K1036" s="3624"/>
    </row>
    <row r="1037" spans="1:11" ht="13.5">
      <c r="A1037" s="3632">
        <v>51350</v>
      </c>
      <c r="B1037" s="3631">
        <v>51400</v>
      </c>
      <c r="C1037" s="3491">
        <v>0</v>
      </c>
      <c r="D1037" s="3491">
        <v>0</v>
      </c>
      <c r="E1037" s="3494">
        <v>0</v>
      </c>
      <c r="F1037" s="3631">
        <v>0</v>
      </c>
      <c r="G1037" s="3491">
        <v>0</v>
      </c>
      <c r="H1037" s="3494">
        <v>0</v>
      </c>
      <c r="I1037" s="3633">
        <v>0</v>
      </c>
      <c r="J1037" s="3631">
        <v>449</v>
      </c>
      <c r="K1037" s="3624"/>
    </row>
    <row r="1038" spans="1:11" ht="13.5">
      <c r="A1038" s="3632">
        <v>51400</v>
      </c>
      <c r="B1038" s="3631">
        <v>51450</v>
      </c>
      <c r="C1038" s="3491">
        <v>0</v>
      </c>
      <c r="D1038" s="3491">
        <v>0</v>
      </c>
      <c r="E1038" s="3494">
        <v>0</v>
      </c>
      <c r="F1038" s="3631">
        <v>0</v>
      </c>
      <c r="G1038" s="3491">
        <v>0</v>
      </c>
      <c r="H1038" s="3494">
        <v>0</v>
      </c>
      <c r="I1038" s="3633">
        <v>0</v>
      </c>
      <c r="J1038" s="3631">
        <v>438</v>
      </c>
      <c r="K1038" s="3624"/>
    </row>
    <row r="1039" spans="1:11" ht="13.5">
      <c r="A1039" s="3632">
        <v>51450</v>
      </c>
      <c r="B1039" s="3631">
        <v>51500</v>
      </c>
      <c r="C1039" s="3491">
        <v>0</v>
      </c>
      <c r="D1039" s="3491">
        <v>0</v>
      </c>
      <c r="E1039" s="3494">
        <v>0</v>
      </c>
      <c r="F1039" s="3631">
        <v>0</v>
      </c>
      <c r="G1039" s="3491">
        <v>0</v>
      </c>
      <c r="H1039" s="3494">
        <v>0</v>
      </c>
      <c r="I1039" s="3633">
        <v>0</v>
      </c>
      <c r="J1039" s="3631">
        <v>428</v>
      </c>
      <c r="K1039" s="3624"/>
    </row>
    <row r="1040" spans="1:11" ht="13.5">
      <c r="A1040" s="3632">
        <v>51500</v>
      </c>
      <c r="B1040" s="3631">
        <v>51550</v>
      </c>
      <c r="C1040" s="3491">
        <v>0</v>
      </c>
      <c r="D1040" s="3491">
        <v>0</v>
      </c>
      <c r="E1040" s="3494">
        <v>0</v>
      </c>
      <c r="F1040" s="3631">
        <v>0</v>
      </c>
      <c r="G1040" s="3491">
        <v>0</v>
      </c>
      <c r="H1040" s="3494">
        <v>0</v>
      </c>
      <c r="I1040" s="3633">
        <v>0</v>
      </c>
      <c r="J1040" s="3631">
        <v>417</v>
      </c>
      <c r="K1040" s="3624"/>
    </row>
    <row r="1041" spans="1:11" ht="13.5">
      <c r="A1041" s="3632">
        <v>51550</v>
      </c>
      <c r="B1041" s="3631">
        <v>51600</v>
      </c>
      <c r="C1041" s="3491">
        <v>0</v>
      </c>
      <c r="D1041" s="3491">
        <v>0</v>
      </c>
      <c r="E1041" s="3494">
        <v>0</v>
      </c>
      <c r="F1041" s="3631">
        <v>0</v>
      </c>
      <c r="G1041" s="3491">
        <v>0</v>
      </c>
      <c r="H1041" s="3494">
        <v>0</v>
      </c>
      <c r="I1041" s="3633">
        <v>0</v>
      </c>
      <c r="J1041" s="3631">
        <v>406</v>
      </c>
      <c r="K1041" s="3624"/>
    </row>
    <row r="1042" spans="1:11" ht="13.5">
      <c r="A1042" s="3632">
        <v>51600</v>
      </c>
      <c r="B1042" s="3631">
        <v>51650</v>
      </c>
      <c r="C1042" s="3491">
        <v>0</v>
      </c>
      <c r="D1042" s="3491">
        <v>0</v>
      </c>
      <c r="E1042" s="3494">
        <v>0</v>
      </c>
      <c r="F1042" s="3631">
        <v>0</v>
      </c>
      <c r="G1042" s="3491">
        <v>0</v>
      </c>
      <c r="H1042" s="3494">
        <v>0</v>
      </c>
      <c r="I1042" s="3633">
        <v>0</v>
      </c>
      <c r="J1042" s="3631">
        <v>396</v>
      </c>
      <c r="K1042" s="3624"/>
    </row>
    <row r="1043" spans="1:11" ht="13.5">
      <c r="A1043" s="3632">
        <v>51650</v>
      </c>
      <c r="B1043" s="3631">
        <v>51700</v>
      </c>
      <c r="C1043" s="3491">
        <v>0</v>
      </c>
      <c r="D1043" s="3491">
        <v>0</v>
      </c>
      <c r="E1043" s="3494">
        <v>0</v>
      </c>
      <c r="F1043" s="3631">
        <v>0</v>
      </c>
      <c r="G1043" s="3491">
        <v>0</v>
      </c>
      <c r="H1043" s="3494">
        <v>0</v>
      </c>
      <c r="I1043" s="3633">
        <v>0</v>
      </c>
      <c r="J1043" s="3631">
        <v>385</v>
      </c>
      <c r="K1043" s="3624"/>
    </row>
    <row r="1044" spans="1:11" ht="13.5">
      <c r="A1044" s="3632">
        <v>51700</v>
      </c>
      <c r="B1044" s="3631">
        <v>51750</v>
      </c>
      <c r="C1044" s="3491">
        <v>0</v>
      </c>
      <c r="D1044" s="3491">
        <v>0</v>
      </c>
      <c r="E1044" s="3494">
        <v>0</v>
      </c>
      <c r="F1044" s="3631">
        <v>0</v>
      </c>
      <c r="G1044" s="3491">
        <v>0</v>
      </c>
      <c r="H1044" s="3494">
        <v>0</v>
      </c>
      <c r="I1044" s="3633">
        <v>0</v>
      </c>
      <c r="J1044" s="3631">
        <v>375</v>
      </c>
      <c r="K1044" s="3624"/>
    </row>
    <row r="1045" spans="1:11" ht="13.5">
      <c r="A1045" s="3632">
        <v>51750</v>
      </c>
      <c r="B1045" s="3631">
        <v>51800</v>
      </c>
      <c r="C1045" s="3491">
        <v>0</v>
      </c>
      <c r="D1045" s="3491">
        <v>0</v>
      </c>
      <c r="E1045" s="3494">
        <v>0</v>
      </c>
      <c r="F1045" s="3631">
        <v>0</v>
      </c>
      <c r="G1045" s="3491">
        <v>0</v>
      </c>
      <c r="H1045" s="3494">
        <v>0</v>
      </c>
      <c r="I1045" s="3633">
        <v>0</v>
      </c>
      <c r="J1045" s="3631">
        <v>364</v>
      </c>
      <c r="K1045" s="3624"/>
    </row>
    <row r="1046" spans="1:11" ht="13.5">
      <c r="A1046" s="3632">
        <v>51800</v>
      </c>
      <c r="B1046" s="3631">
        <v>51850</v>
      </c>
      <c r="C1046" s="3491">
        <v>0</v>
      </c>
      <c r="D1046" s="3491">
        <v>0</v>
      </c>
      <c r="E1046" s="3494">
        <v>0</v>
      </c>
      <c r="F1046" s="3631">
        <v>0</v>
      </c>
      <c r="G1046" s="3491">
        <v>0</v>
      </c>
      <c r="H1046" s="3494">
        <v>0</v>
      </c>
      <c r="I1046" s="3633">
        <v>0</v>
      </c>
      <c r="J1046" s="3631">
        <v>354</v>
      </c>
      <c r="K1046" s="3624"/>
    </row>
    <row r="1047" spans="1:11" ht="13.5">
      <c r="A1047" s="3632">
        <v>51850</v>
      </c>
      <c r="B1047" s="3631">
        <v>51900</v>
      </c>
      <c r="C1047" s="3491">
        <v>0</v>
      </c>
      <c r="D1047" s="3491">
        <v>0</v>
      </c>
      <c r="E1047" s="3494">
        <v>0</v>
      </c>
      <c r="F1047" s="3631">
        <v>0</v>
      </c>
      <c r="G1047" s="3491">
        <v>0</v>
      </c>
      <c r="H1047" s="3494">
        <v>0</v>
      </c>
      <c r="I1047" s="3633">
        <v>0</v>
      </c>
      <c r="J1047" s="3631">
        <v>343</v>
      </c>
      <c r="K1047" s="3624"/>
    </row>
    <row r="1048" spans="1:11" ht="13.5">
      <c r="A1048" s="3632">
        <v>51900</v>
      </c>
      <c r="B1048" s="3631">
        <v>51950</v>
      </c>
      <c r="C1048" s="3491">
        <v>0</v>
      </c>
      <c r="D1048" s="3491">
        <v>0</v>
      </c>
      <c r="E1048" s="3494">
        <v>0</v>
      </c>
      <c r="F1048" s="3631">
        <v>0</v>
      </c>
      <c r="G1048" s="3491">
        <v>0</v>
      </c>
      <c r="H1048" s="3494">
        <v>0</v>
      </c>
      <c r="I1048" s="3633">
        <v>0</v>
      </c>
      <c r="J1048" s="3631">
        <v>333</v>
      </c>
      <c r="K1048" s="3624"/>
    </row>
    <row r="1049" spans="1:11" ht="13.5">
      <c r="A1049" s="3632">
        <v>51950</v>
      </c>
      <c r="B1049" s="3631">
        <v>52000</v>
      </c>
      <c r="C1049" s="3491">
        <v>0</v>
      </c>
      <c r="D1049" s="3491">
        <v>0</v>
      </c>
      <c r="E1049" s="3494">
        <v>0</v>
      </c>
      <c r="F1049" s="3631">
        <v>0</v>
      </c>
      <c r="G1049" s="3491">
        <v>0</v>
      </c>
      <c r="H1049" s="3494">
        <v>0</v>
      </c>
      <c r="I1049" s="3633">
        <v>0</v>
      </c>
      <c r="J1049" s="3631">
        <v>322</v>
      </c>
      <c r="K1049" s="3624"/>
    </row>
    <row r="1050" spans="1:11" ht="13.5">
      <c r="A1050" s="3632">
        <v>52000</v>
      </c>
      <c r="B1050" s="3631">
        <v>52050</v>
      </c>
      <c r="C1050" s="3491">
        <v>0</v>
      </c>
      <c r="D1050" s="3491">
        <v>0</v>
      </c>
      <c r="E1050" s="3494">
        <v>0</v>
      </c>
      <c r="F1050" s="3631">
        <v>0</v>
      </c>
      <c r="G1050" s="3491">
        <v>0</v>
      </c>
      <c r="H1050" s="3494">
        <v>0</v>
      </c>
      <c r="I1050" s="3633">
        <v>0</v>
      </c>
      <c r="J1050" s="3631">
        <v>312</v>
      </c>
      <c r="K1050" s="3624"/>
    </row>
    <row r="1051" spans="1:11" ht="13.5">
      <c r="A1051" s="3632">
        <v>52050</v>
      </c>
      <c r="B1051" s="3631">
        <v>52100</v>
      </c>
      <c r="C1051" s="3491">
        <v>0</v>
      </c>
      <c r="D1051" s="3491">
        <v>0</v>
      </c>
      <c r="E1051" s="3494">
        <v>0</v>
      </c>
      <c r="F1051" s="3631">
        <v>0</v>
      </c>
      <c r="G1051" s="3491">
        <v>0</v>
      </c>
      <c r="H1051" s="3494">
        <v>0</v>
      </c>
      <c r="I1051" s="3633">
        <v>0</v>
      </c>
      <c r="J1051" s="3631">
        <v>301</v>
      </c>
      <c r="K1051" s="3624"/>
    </row>
    <row r="1052" spans="1:11" ht="13.5">
      <c r="A1052" s="3632">
        <v>52100</v>
      </c>
      <c r="B1052" s="3631">
        <v>52150</v>
      </c>
      <c r="C1052" s="3491">
        <v>0</v>
      </c>
      <c r="D1052" s="3491">
        <v>0</v>
      </c>
      <c r="E1052" s="3494">
        <v>0</v>
      </c>
      <c r="F1052" s="3631">
        <v>0</v>
      </c>
      <c r="G1052" s="3491">
        <v>0</v>
      </c>
      <c r="H1052" s="3494">
        <v>0</v>
      </c>
      <c r="I1052" s="3633">
        <v>0</v>
      </c>
      <c r="J1052" s="3631">
        <v>291</v>
      </c>
      <c r="K1052" s="3624"/>
    </row>
    <row r="1053" spans="1:11" ht="13.5">
      <c r="A1053" s="3632">
        <v>52150</v>
      </c>
      <c r="B1053" s="3631">
        <v>52200</v>
      </c>
      <c r="C1053" s="3491">
        <v>0</v>
      </c>
      <c r="D1053" s="3491">
        <v>0</v>
      </c>
      <c r="E1053" s="3494">
        <v>0</v>
      </c>
      <c r="F1053" s="3631">
        <v>0</v>
      </c>
      <c r="G1053" s="3491">
        <v>0</v>
      </c>
      <c r="H1053" s="3494">
        <v>0</v>
      </c>
      <c r="I1053" s="3633">
        <v>0</v>
      </c>
      <c r="J1053" s="3631">
        <v>280</v>
      </c>
      <c r="K1053" s="3624"/>
    </row>
    <row r="1054" spans="1:11" ht="13.5">
      <c r="A1054" s="3632">
        <v>52200</v>
      </c>
      <c r="B1054" s="3631">
        <v>52250</v>
      </c>
      <c r="C1054" s="3491">
        <v>0</v>
      </c>
      <c r="D1054" s="3491">
        <v>0</v>
      </c>
      <c r="E1054" s="3494">
        <v>0</v>
      </c>
      <c r="F1054" s="3631">
        <v>0</v>
      </c>
      <c r="G1054" s="3491">
        <v>0</v>
      </c>
      <c r="H1054" s="3494">
        <v>0</v>
      </c>
      <c r="I1054" s="3633">
        <v>0</v>
      </c>
      <c r="J1054" s="3631">
        <v>270</v>
      </c>
      <c r="K1054" s="3624"/>
    </row>
    <row r="1055" spans="1:11" ht="13.5">
      <c r="A1055" s="3632">
        <v>52250</v>
      </c>
      <c r="B1055" s="3631">
        <v>52300</v>
      </c>
      <c r="C1055" s="3491">
        <v>0</v>
      </c>
      <c r="D1055" s="3491">
        <v>0</v>
      </c>
      <c r="E1055" s="3494">
        <v>0</v>
      </c>
      <c r="F1055" s="3631">
        <v>0</v>
      </c>
      <c r="G1055" s="3491">
        <v>0</v>
      </c>
      <c r="H1055" s="3494">
        <v>0</v>
      </c>
      <c r="I1055" s="3633">
        <v>0</v>
      </c>
      <c r="J1055" s="3631">
        <v>259</v>
      </c>
      <c r="K1055" s="3624"/>
    </row>
    <row r="1056" spans="1:11" ht="13.5">
      <c r="A1056" s="3632">
        <v>52300</v>
      </c>
      <c r="B1056" s="3631">
        <v>52350</v>
      </c>
      <c r="C1056" s="3491">
        <v>0</v>
      </c>
      <c r="D1056" s="3491">
        <v>0</v>
      </c>
      <c r="E1056" s="3494">
        <v>0</v>
      </c>
      <c r="F1056" s="3631">
        <v>0</v>
      </c>
      <c r="G1056" s="3491">
        <v>0</v>
      </c>
      <c r="H1056" s="3494">
        <v>0</v>
      </c>
      <c r="I1056" s="3633">
        <v>0</v>
      </c>
      <c r="J1056" s="3631">
        <v>248</v>
      </c>
      <c r="K1056" s="3624"/>
    </row>
    <row r="1057" spans="1:11" ht="13.5">
      <c r="A1057" s="3632">
        <v>52350</v>
      </c>
      <c r="B1057" s="3631">
        <v>52400</v>
      </c>
      <c r="C1057" s="3491">
        <v>0</v>
      </c>
      <c r="D1057" s="3491">
        <v>0</v>
      </c>
      <c r="E1057" s="3494">
        <v>0</v>
      </c>
      <c r="F1057" s="3631">
        <v>0</v>
      </c>
      <c r="G1057" s="3491">
        <v>0</v>
      </c>
      <c r="H1057" s="3494">
        <v>0</v>
      </c>
      <c r="I1057" s="3633">
        <v>0</v>
      </c>
      <c r="J1057" s="3631">
        <v>238</v>
      </c>
      <c r="K1057" s="3624"/>
    </row>
    <row r="1058" spans="1:11" ht="13.5">
      <c r="A1058" s="3632">
        <v>52400</v>
      </c>
      <c r="B1058" s="3631">
        <v>52450</v>
      </c>
      <c r="C1058" s="3491">
        <v>0</v>
      </c>
      <c r="D1058" s="3491">
        <v>0</v>
      </c>
      <c r="E1058" s="3494">
        <v>0</v>
      </c>
      <c r="F1058" s="3631">
        <v>0</v>
      </c>
      <c r="G1058" s="3491">
        <v>0</v>
      </c>
      <c r="H1058" s="3494">
        <v>0</v>
      </c>
      <c r="I1058" s="3633">
        <v>0</v>
      </c>
      <c r="J1058" s="3631">
        <v>227</v>
      </c>
      <c r="K1058" s="3624"/>
    </row>
    <row r="1059" spans="1:11" ht="13.5">
      <c r="A1059" s="3632">
        <v>52450</v>
      </c>
      <c r="B1059" s="3631">
        <v>52500</v>
      </c>
      <c r="C1059" s="3491">
        <v>0</v>
      </c>
      <c r="D1059" s="3491">
        <v>0</v>
      </c>
      <c r="E1059" s="3494">
        <v>0</v>
      </c>
      <c r="F1059" s="3631">
        <v>0</v>
      </c>
      <c r="G1059" s="3491">
        <v>0</v>
      </c>
      <c r="H1059" s="3494">
        <v>0</v>
      </c>
      <c r="I1059" s="3633">
        <v>0</v>
      </c>
      <c r="J1059" s="3631">
        <v>217</v>
      </c>
      <c r="K1059" s="3624"/>
    </row>
    <row r="1060" spans="1:11" ht="13.5">
      <c r="A1060" s="3632">
        <v>52500</v>
      </c>
      <c r="B1060" s="3631">
        <v>52550</v>
      </c>
      <c r="C1060" s="3491">
        <v>0</v>
      </c>
      <c r="D1060" s="3491">
        <v>0</v>
      </c>
      <c r="E1060" s="3494">
        <v>0</v>
      </c>
      <c r="F1060" s="3631">
        <v>0</v>
      </c>
      <c r="G1060" s="3491">
        <v>0</v>
      </c>
      <c r="H1060" s="3494">
        <v>0</v>
      </c>
      <c r="I1060" s="3633">
        <v>0</v>
      </c>
      <c r="J1060" s="3631">
        <v>206</v>
      </c>
      <c r="K1060" s="3624"/>
    </row>
    <row r="1061" spans="1:11" ht="13.5">
      <c r="A1061" s="3632">
        <v>52550</v>
      </c>
      <c r="B1061" s="3631">
        <v>52600</v>
      </c>
      <c r="C1061" s="3491">
        <v>0</v>
      </c>
      <c r="D1061" s="3491">
        <v>0</v>
      </c>
      <c r="E1061" s="3494">
        <v>0</v>
      </c>
      <c r="F1061" s="3631">
        <v>0</v>
      </c>
      <c r="G1061" s="3491">
        <v>0</v>
      </c>
      <c r="H1061" s="3494">
        <v>0</v>
      </c>
      <c r="I1061" s="3633">
        <v>0</v>
      </c>
      <c r="J1061" s="3631">
        <v>196</v>
      </c>
      <c r="K1061" s="3624"/>
    </row>
    <row r="1062" spans="1:11" ht="13.5">
      <c r="A1062" s="3632">
        <v>52600</v>
      </c>
      <c r="B1062" s="3631">
        <v>52650</v>
      </c>
      <c r="C1062" s="3491">
        <v>0</v>
      </c>
      <c r="D1062" s="3491">
        <v>0</v>
      </c>
      <c r="E1062" s="3494">
        <v>0</v>
      </c>
      <c r="F1062" s="3631">
        <v>0</v>
      </c>
      <c r="G1062" s="3491">
        <v>0</v>
      </c>
      <c r="H1062" s="3494">
        <v>0</v>
      </c>
      <c r="I1062" s="3633">
        <v>0</v>
      </c>
      <c r="J1062" s="3631">
        <v>185</v>
      </c>
      <c r="K1062" s="3624"/>
    </row>
    <row r="1063" spans="1:11" ht="13.5">
      <c r="A1063" s="3632">
        <v>52650</v>
      </c>
      <c r="B1063" s="3631">
        <v>52700</v>
      </c>
      <c r="C1063" s="3491">
        <v>0</v>
      </c>
      <c r="D1063" s="3491">
        <v>0</v>
      </c>
      <c r="E1063" s="3494">
        <v>0</v>
      </c>
      <c r="F1063" s="3631">
        <v>0</v>
      </c>
      <c r="G1063" s="3491">
        <v>0</v>
      </c>
      <c r="H1063" s="3494">
        <v>0</v>
      </c>
      <c r="I1063" s="3633">
        <v>0</v>
      </c>
      <c r="J1063" s="3631">
        <v>175</v>
      </c>
      <c r="K1063" s="3624"/>
    </row>
    <row r="1064" spans="1:11" ht="13.5">
      <c r="A1064" s="3632">
        <v>52700</v>
      </c>
      <c r="B1064" s="3631">
        <v>52750</v>
      </c>
      <c r="C1064" s="3491">
        <v>0</v>
      </c>
      <c r="D1064" s="3491">
        <v>0</v>
      </c>
      <c r="E1064" s="3494">
        <v>0</v>
      </c>
      <c r="F1064" s="3631">
        <v>0</v>
      </c>
      <c r="G1064" s="3491">
        <v>0</v>
      </c>
      <c r="H1064" s="3494">
        <v>0</v>
      </c>
      <c r="I1064" s="3633">
        <v>0</v>
      </c>
      <c r="J1064" s="3631">
        <v>164</v>
      </c>
      <c r="K1064" s="3624"/>
    </row>
    <row r="1065" spans="1:11" ht="13.5">
      <c r="A1065" s="3632">
        <v>52750</v>
      </c>
      <c r="B1065" s="3631">
        <v>52800</v>
      </c>
      <c r="C1065" s="3491">
        <v>0</v>
      </c>
      <c r="D1065" s="3491">
        <v>0</v>
      </c>
      <c r="E1065" s="3494">
        <v>0</v>
      </c>
      <c r="F1065" s="3631">
        <v>0</v>
      </c>
      <c r="G1065" s="3491">
        <v>0</v>
      </c>
      <c r="H1065" s="3494">
        <v>0</v>
      </c>
      <c r="I1065" s="3633">
        <v>0</v>
      </c>
      <c r="J1065" s="3631">
        <v>154</v>
      </c>
      <c r="K1065" s="3624"/>
    </row>
    <row r="1066" spans="1:11" ht="13.5">
      <c r="A1066" s="3632">
        <v>52800</v>
      </c>
      <c r="B1066" s="3631">
        <v>52850</v>
      </c>
      <c r="C1066" s="3491">
        <v>0</v>
      </c>
      <c r="D1066" s="3491">
        <v>0</v>
      </c>
      <c r="E1066" s="3494">
        <v>0</v>
      </c>
      <c r="F1066" s="3631">
        <v>0</v>
      </c>
      <c r="G1066" s="3491">
        <v>0</v>
      </c>
      <c r="H1066" s="3494">
        <v>0</v>
      </c>
      <c r="I1066" s="3633">
        <v>0</v>
      </c>
      <c r="J1066" s="3631">
        <v>143</v>
      </c>
      <c r="K1066" s="3624"/>
    </row>
    <row r="1067" spans="1:11" ht="13.5">
      <c r="A1067" s="3632">
        <v>52850</v>
      </c>
      <c r="B1067" s="3631">
        <v>52900</v>
      </c>
      <c r="C1067" s="3491">
        <v>0</v>
      </c>
      <c r="D1067" s="3491">
        <v>0</v>
      </c>
      <c r="E1067" s="3494">
        <v>0</v>
      </c>
      <c r="F1067" s="3631">
        <v>0</v>
      </c>
      <c r="G1067" s="3491">
        <v>0</v>
      </c>
      <c r="H1067" s="3494">
        <v>0</v>
      </c>
      <c r="I1067" s="3633">
        <v>0</v>
      </c>
      <c r="J1067" s="3631">
        <v>133</v>
      </c>
      <c r="K1067" s="3624"/>
    </row>
    <row r="1068" spans="1:11" ht="13.5">
      <c r="A1068" s="3632">
        <v>52900</v>
      </c>
      <c r="B1068" s="3631">
        <v>52950</v>
      </c>
      <c r="C1068" s="3491">
        <v>0</v>
      </c>
      <c r="D1068" s="3491">
        <v>0</v>
      </c>
      <c r="E1068" s="3494">
        <v>0</v>
      </c>
      <c r="F1068" s="3631">
        <v>0</v>
      </c>
      <c r="G1068" s="3491">
        <v>0</v>
      </c>
      <c r="H1068" s="3494">
        <v>0</v>
      </c>
      <c r="I1068" s="3633">
        <v>0</v>
      </c>
      <c r="J1068" s="3631">
        <v>122</v>
      </c>
      <c r="K1068" s="3624"/>
    </row>
    <row r="1069" spans="1:11" ht="13.5">
      <c r="A1069" s="3632">
        <v>52950</v>
      </c>
      <c r="B1069" s="3631">
        <v>53000</v>
      </c>
      <c r="C1069" s="3491">
        <v>0</v>
      </c>
      <c r="D1069" s="3491">
        <v>0</v>
      </c>
      <c r="E1069" s="3494">
        <v>0</v>
      </c>
      <c r="F1069" s="3631">
        <v>0</v>
      </c>
      <c r="G1069" s="3491">
        <v>0</v>
      </c>
      <c r="H1069" s="3494">
        <v>0</v>
      </c>
      <c r="I1069" s="3633">
        <v>0</v>
      </c>
      <c r="J1069" s="3631">
        <v>112</v>
      </c>
      <c r="K1069" s="3624"/>
    </row>
    <row r="1070" spans="1:11" ht="13.5">
      <c r="A1070" s="3632">
        <v>53000</v>
      </c>
      <c r="B1070" s="3631">
        <v>53050</v>
      </c>
      <c r="C1070" s="3491">
        <v>0</v>
      </c>
      <c r="D1070" s="3491">
        <v>0</v>
      </c>
      <c r="E1070" s="3494">
        <v>0</v>
      </c>
      <c r="F1070" s="3631">
        <v>0</v>
      </c>
      <c r="G1070" s="3491">
        <v>0</v>
      </c>
      <c r="H1070" s="3494">
        <v>0</v>
      </c>
      <c r="I1070" s="3633">
        <v>0</v>
      </c>
      <c r="J1070" s="3631">
        <v>101</v>
      </c>
      <c r="K1070" s="3624"/>
    </row>
    <row r="1071" spans="1:11" ht="13.5">
      <c r="A1071" s="3632">
        <v>53050</v>
      </c>
      <c r="B1071" s="3631">
        <v>53100</v>
      </c>
      <c r="C1071" s="3491">
        <v>0</v>
      </c>
      <c r="D1071" s="3491">
        <v>0</v>
      </c>
      <c r="E1071" s="3494">
        <v>0</v>
      </c>
      <c r="F1071" s="3631">
        <v>0</v>
      </c>
      <c r="G1071" s="3491">
        <v>0</v>
      </c>
      <c r="H1071" s="3494">
        <v>0</v>
      </c>
      <c r="I1071" s="3633">
        <v>0</v>
      </c>
      <c r="J1071" s="3631">
        <v>91</v>
      </c>
      <c r="K1071" s="3624"/>
    </row>
    <row r="1072" spans="1:11" ht="13.5">
      <c r="A1072" s="3632">
        <v>53100</v>
      </c>
      <c r="B1072" s="3631">
        <v>53150</v>
      </c>
      <c r="C1072" s="3491">
        <v>0</v>
      </c>
      <c r="D1072" s="3491">
        <v>0</v>
      </c>
      <c r="E1072" s="3494">
        <v>0</v>
      </c>
      <c r="F1072" s="3631">
        <v>0</v>
      </c>
      <c r="G1072" s="3491">
        <v>0</v>
      </c>
      <c r="H1072" s="3494">
        <v>0</v>
      </c>
      <c r="I1072" s="3633">
        <v>0</v>
      </c>
      <c r="J1072" s="3631">
        <v>80</v>
      </c>
      <c r="K1072" s="3624"/>
    </row>
    <row r="1073" spans="1:11" ht="13.5">
      <c r="A1073" s="3632">
        <v>53150</v>
      </c>
      <c r="B1073" s="3631">
        <v>53200</v>
      </c>
      <c r="C1073" s="3491">
        <v>0</v>
      </c>
      <c r="D1073" s="3491">
        <v>0</v>
      </c>
      <c r="E1073" s="3494">
        <v>0</v>
      </c>
      <c r="F1073" s="3631">
        <v>0</v>
      </c>
      <c r="G1073" s="3491">
        <v>0</v>
      </c>
      <c r="H1073" s="3494">
        <v>0</v>
      </c>
      <c r="I1073" s="3633">
        <v>0</v>
      </c>
      <c r="J1073" s="3631">
        <v>69</v>
      </c>
      <c r="K1073" s="3624"/>
    </row>
    <row r="1074" spans="1:11">
      <c r="A1074" s="3985">
        <v>53200</v>
      </c>
      <c r="B1074" s="3986">
        <v>53250</v>
      </c>
      <c r="C1074" s="3493">
        <v>0</v>
      </c>
      <c r="D1074" s="3493">
        <v>0</v>
      </c>
      <c r="E1074" s="3842">
        <v>0</v>
      </c>
      <c r="F1074" s="3496">
        <v>0</v>
      </c>
      <c r="G1074" s="3493">
        <v>0</v>
      </c>
      <c r="H1074" s="3842">
        <v>0</v>
      </c>
      <c r="I1074" s="3842">
        <v>0</v>
      </c>
      <c r="J1074" s="3496">
        <v>59</v>
      </c>
    </row>
    <row r="1075" spans="1:11">
      <c r="A1075" s="3985">
        <v>53250</v>
      </c>
      <c r="B1075" s="3986">
        <v>53300</v>
      </c>
      <c r="C1075" s="3493">
        <v>0</v>
      </c>
      <c r="D1075" s="3493">
        <v>0</v>
      </c>
      <c r="E1075" s="3842">
        <v>0</v>
      </c>
      <c r="F1075" s="3496">
        <v>0</v>
      </c>
      <c r="G1075" s="3493">
        <v>0</v>
      </c>
      <c r="H1075" s="3842">
        <v>0</v>
      </c>
      <c r="I1075" s="3842">
        <v>0</v>
      </c>
      <c r="J1075" s="3496">
        <v>48</v>
      </c>
    </row>
    <row r="1076" spans="1:11">
      <c r="A1076" s="3985">
        <v>53300</v>
      </c>
      <c r="B1076" s="3986">
        <v>53350</v>
      </c>
      <c r="C1076" s="3493">
        <v>0</v>
      </c>
      <c r="D1076" s="3493">
        <v>0</v>
      </c>
      <c r="E1076" s="3842">
        <v>0</v>
      </c>
      <c r="F1076" s="3496">
        <v>0</v>
      </c>
      <c r="G1076" s="3493">
        <v>0</v>
      </c>
      <c r="H1076" s="3842">
        <v>0</v>
      </c>
      <c r="I1076" s="3842">
        <v>0</v>
      </c>
      <c r="J1076" s="3496">
        <v>38</v>
      </c>
    </row>
    <row r="1077" spans="1:11">
      <c r="A1077" s="3985">
        <v>53350</v>
      </c>
      <c r="B1077" s="3986">
        <v>53400</v>
      </c>
      <c r="C1077" s="3493">
        <v>0</v>
      </c>
      <c r="D1077" s="3493">
        <v>0</v>
      </c>
      <c r="E1077" s="3842">
        <v>0</v>
      </c>
      <c r="F1077" s="3496">
        <v>0</v>
      </c>
      <c r="G1077" s="3493">
        <v>0</v>
      </c>
      <c r="H1077" s="3842">
        <v>0</v>
      </c>
      <c r="I1077" s="3842">
        <v>0</v>
      </c>
      <c r="J1077" s="3496">
        <v>27</v>
      </c>
    </row>
    <row r="1078" spans="1:11">
      <c r="A1078" s="3985">
        <v>53400</v>
      </c>
      <c r="B1078" s="3986">
        <v>53450</v>
      </c>
      <c r="C1078" s="3493">
        <v>0</v>
      </c>
      <c r="D1078" s="3493">
        <v>0</v>
      </c>
      <c r="E1078" s="3842">
        <v>0</v>
      </c>
      <c r="F1078" s="3496">
        <v>0</v>
      </c>
      <c r="G1078" s="3493">
        <v>0</v>
      </c>
      <c r="H1078" s="3842">
        <v>0</v>
      </c>
      <c r="I1078" s="3842">
        <v>0</v>
      </c>
      <c r="J1078" s="3496">
        <v>17</v>
      </c>
    </row>
    <row r="1079" spans="1:11">
      <c r="A1079" s="3985">
        <v>53450</v>
      </c>
      <c r="B1079" s="3986">
        <v>53500</v>
      </c>
      <c r="C1079" s="3493">
        <v>0</v>
      </c>
      <c r="D1079" s="3493">
        <v>0</v>
      </c>
      <c r="E1079" s="3842">
        <v>0</v>
      </c>
      <c r="F1079" s="3496">
        <v>0</v>
      </c>
      <c r="G1079" s="3493">
        <v>0</v>
      </c>
      <c r="H1079" s="3842">
        <v>0</v>
      </c>
      <c r="I1079" s="3842">
        <v>0</v>
      </c>
      <c r="J1079" s="3496">
        <v>6</v>
      </c>
    </row>
    <row r="1080" spans="1:11">
      <c r="A1080" s="3985">
        <v>53500</v>
      </c>
      <c r="B1080" s="3986">
        <v>53505</v>
      </c>
      <c r="C1080" s="3493">
        <v>0</v>
      </c>
      <c r="D1080" s="3493">
        <v>0</v>
      </c>
      <c r="E1080" s="3842">
        <v>0</v>
      </c>
      <c r="F1080" s="3496">
        <v>0</v>
      </c>
      <c r="G1080" s="3493">
        <v>0</v>
      </c>
      <c r="H1080" s="3842">
        <v>0</v>
      </c>
      <c r="I1080" s="3842">
        <v>0</v>
      </c>
      <c r="J1080" s="3496">
        <v>1</v>
      </c>
    </row>
  </sheetData>
  <sheetProtection password="F07E" sheet="1" objects="1" scenarios="1"/>
  <mergeCells count="3">
    <mergeCell ref="A1:B1"/>
    <mergeCell ref="C1:F1"/>
    <mergeCell ref="G1:J1"/>
  </mergeCells>
  <pageMargins left="0.55000000000000004" right="0.61" top="0.6" bottom="0.57999999999999996" header="0.5" footer="0.5"/>
  <pageSetup scale="32" fitToHeight="0" orientation="portrait" r:id="rId1"/>
  <headerFooter alignWithMargins="0"/>
  <rowBreaks count="13" manualBreakCount="13">
    <brk id="62" max="7" man="1"/>
    <brk id="122" max="7" man="1"/>
    <brk id="182" max="7" man="1"/>
    <brk id="242" max="7" man="1"/>
    <brk id="306" max="7" man="1"/>
    <brk id="367" max="7" man="1"/>
    <brk id="428" max="7" man="1"/>
    <brk id="486" max="7" man="1"/>
    <brk id="546" max="7" man="1"/>
    <brk id="606" max="7" man="1"/>
    <brk id="666" max="7" man="1"/>
    <brk id="729" max="7" man="1"/>
    <brk id="790" max="7"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2064"/>
  <sheetViews>
    <sheetView zoomScaleNormal="100" workbookViewId="0">
      <pane ySplit="1" topLeftCell="A2" activePane="bottomLeft" state="frozen"/>
      <selection activeCell="D26" sqref="D26"/>
      <selection pane="bottomLeft" activeCell="A2" sqref="A2"/>
    </sheetView>
  </sheetViews>
  <sheetFormatPr defaultColWidth="11.7109375" defaultRowHeight="16.5"/>
  <cols>
    <col min="1" max="2" width="12.28515625" style="3629" customWidth="1"/>
    <col min="3" max="6" width="12.28515625" style="3630" customWidth="1"/>
    <col min="7" max="16384" width="11.7109375" style="1546"/>
  </cols>
  <sheetData>
    <row r="1" spans="1:6" s="1639" customFormat="1" ht="65.25" customHeight="1">
      <c r="A1" s="1638" t="s">
        <v>748</v>
      </c>
      <c r="B1" s="1638" t="s">
        <v>138</v>
      </c>
      <c r="C1" s="1638" t="s">
        <v>124</v>
      </c>
      <c r="D1" s="1638" t="s">
        <v>749</v>
      </c>
      <c r="E1" s="1638" t="s">
        <v>775</v>
      </c>
      <c r="F1" s="1638" t="s">
        <v>3050</v>
      </c>
    </row>
    <row r="2" spans="1:6" ht="15.75">
      <c r="A2" s="3019">
        <v>0</v>
      </c>
      <c r="B2" s="3019">
        <v>5</v>
      </c>
      <c r="C2" s="3020">
        <v>0</v>
      </c>
      <c r="D2" s="3020">
        <v>0</v>
      </c>
      <c r="E2" s="3625">
        <v>0</v>
      </c>
      <c r="F2" s="3625">
        <v>0</v>
      </c>
    </row>
    <row r="3" spans="1:6" ht="15.75">
      <c r="A3" s="3019">
        <v>5</v>
      </c>
      <c r="B3" s="3019">
        <v>15</v>
      </c>
      <c r="C3" s="3020">
        <v>1</v>
      </c>
      <c r="D3" s="3020">
        <v>1</v>
      </c>
      <c r="E3" s="3625">
        <v>1</v>
      </c>
      <c r="F3" s="3625">
        <v>1</v>
      </c>
    </row>
    <row r="4" spans="1:6" ht="15.75">
      <c r="A4" s="3019">
        <v>15</v>
      </c>
      <c r="B4" s="3019">
        <v>25</v>
      </c>
      <c r="C4" s="3020">
        <v>2</v>
      </c>
      <c r="D4" s="3020">
        <v>2</v>
      </c>
      <c r="E4" s="3625">
        <v>2</v>
      </c>
      <c r="F4" s="3625">
        <v>2</v>
      </c>
    </row>
    <row r="5" spans="1:6" ht="15.75">
      <c r="A5" s="3019">
        <v>25</v>
      </c>
      <c r="B5" s="3019">
        <v>50</v>
      </c>
      <c r="C5" s="3020">
        <v>4</v>
      </c>
      <c r="D5" s="3020">
        <v>4</v>
      </c>
      <c r="E5" s="3625">
        <v>4</v>
      </c>
      <c r="F5" s="3625">
        <v>4</v>
      </c>
    </row>
    <row r="6" spans="1:6" ht="15.75">
      <c r="A6" s="3019">
        <v>50</v>
      </c>
      <c r="B6" s="3019">
        <v>75</v>
      </c>
      <c r="C6" s="3020">
        <v>6</v>
      </c>
      <c r="D6" s="3020">
        <v>6</v>
      </c>
      <c r="E6" s="3625">
        <v>6</v>
      </c>
      <c r="F6" s="3625">
        <v>6</v>
      </c>
    </row>
    <row r="7" spans="1:6" ht="15.75">
      <c r="A7" s="3019">
        <v>75</v>
      </c>
      <c r="B7" s="3019">
        <v>100</v>
      </c>
      <c r="C7" s="3020">
        <v>9</v>
      </c>
      <c r="D7" s="3020">
        <v>9</v>
      </c>
      <c r="E7" s="3625">
        <v>9</v>
      </c>
      <c r="F7" s="3625">
        <v>9</v>
      </c>
    </row>
    <row r="8" spans="1:6" ht="15.75">
      <c r="A8" s="3019">
        <v>100</v>
      </c>
      <c r="B8" s="3019">
        <v>125</v>
      </c>
      <c r="C8" s="3020">
        <v>11</v>
      </c>
      <c r="D8" s="3020">
        <v>11</v>
      </c>
      <c r="E8" s="3625">
        <v>11</v>
      </c>
      <c r="F8" s="3625">
        <v>11</v>
      </c>
    </row>
    <row r="9" spans="1:6" ht="15.75">
      <c r="A9" s="3019">
        <v>125</v>
      </c>
      <c r="B9" s="3019">
        <v>150</v>
      </c>
      <c r="C9" s="3020">
        <v>14</v>
      </c>
      <c r="D9" s="3020">
        <v>14</v>
      </c>
      <c r="E9" s="3625">
        <v>14</v>
      </c>
      <c r="F9" s="3625">
        <v>14</v>
      </c>
    </row>
    <row r="10" spans="1:6" ht="15.75">
      <c r="A10" s="3019">
        <v>150</v>
      </c>
      <c r="B10" s="3019">
        <v>175</v>
      </c>
      <c r="C10" s="3020">
        <v>16</v>
      </c>
      <c r="D10" s="3020">
        <v>16</v>
      </c>
      <c r="E10" s="3625">
        <v>16</v>
      </c>
      <c r="F10" s="3625">
        <v>16</v>
      </c>
    </row>
    <row r="11" spans="1:6" ht="15.75">
      <c r="A11" s="3019">
        <v>175</v>
      </c>
      <c r="B11" s="3019">
        <v>200</v>
      </c>
      <c r="C11" s="3020">
        <v>19</v>
      </c>
      <c r="D11" s="3020">
        <v>19</v>
      </c>
      <c r="E11" s="3625">
        <v>19</v>
      </c>
      <c r="F11" s="3625">
        <v>19</v>
      </c>
    </row>
    <row r="12" spans="1:6" ht="15.75">
      <c r="A12" s="3019">
        <v>200</v>
      </c>
      <c r="B12" s="3019">
        <v>225</v>
      </c>
      <c r="C12" s="3020">
        <v>21</v>
      </c>
      <c r="D12" s="3020">
        <v>21</v>
      </c>
      <c r="E12" s="3625">
        <v>21</v>
      </c>
      <c r="F12" s="3625">
        <v>21</v>
      </c>
    </row>
    <row r="13" spans="1:6" ht="15.75">
      <c r="A13" s="3019">
        <v>225</v>
      </c>
      <c r="B13" s="3019">
        <v>250</v>
      </c>
      <c r="C13" s="3020">
        <v>24</v>
      </c>
      <c r="D13" s="3020">
        <v>24</v>
      </c>
      <c r="E13" s="3625">
        <v>24</v>
      </c>
      <c r="F13" s="3625">
        <v>24</v>
      </c>
    </row>
    <row r="14" spans="1:6" ht="15.75">
      <c r="A14" s="3019">
        <v>250</v>
      </c>
      <c r="B14" s="3019">
        <v>275</v>
      </c>
      <c r="C14" s="3020">
        <v>26</v>
      </c>
      <c r="D14" s="3020">
        <v>26</v>
      </c>
      <c r="E14" s="3625">
        <v>26</v>
      </c>
      <c r="F14" s="3625">
        <v>26</v>
      </c>
    </row>
    <row r="15" spans="1:6" ht="15.75">
      <c r="A15" s="3019">
        <v>275</v>
      </c>
      <c r="B15" s="3019">
        <v>300</v>
      </c>
      <c r="C15" s="3020">
        <v>29</v>
      </c>
      <c r="D15" s="3020">
        <v>29</v>
      </c>
      <c r="E15" s="3625">
        <v>29</v>
      </c>
      <c r="F15" s="3625">
        <v>29</v>
      </c>
    </row>
    <row r="16" spans="1:6" ht="15.75">
      <c r="A16" s="3019">
        <v>300</v>
      </c>
      <c r="B16" s="3019">
        <v>325</v>
      </c>
      <c r="C16" s="3020">
        <v>31</v>
      </c>
      <c r="D16" s="3020">
        <v>31</v>
      </c>
      <c r="E16" s="3625">
        <v>31</v>
      </c>
      <c r="F16" s="3625">
        <v>31</v>
      </c>
    </row>
    <row r="17" spans="1:6" ht="15.75">
      <c r="A17" s="3019">
        <v>325</v>
      </c>
      <c r="B17" s="3019">
        <v>350</v>
      </c>
      <c r="C17" s="3020">
        <v>34</v>
      </c>
      <c r="D17" s="3020">
        <v>34</v>
      </c>
      <c r="E17" s="3625">
        <v>34</v>
      </c>
      <c r="F17" s="3625">
        <v>34</v>
      </c>
    </row>
    <row r="18" spans="1:6" ht="15.75">
      <c r="A18" s="3019">
        <v>350</v>
      </c>
      <c r="B18" s="3019">
        <v>375</v>
      </c>
      <c r="C18" s="3020">
        <v>36</v>
      </c>
      <c r="D18" s="3020">
        <v>36</v>
      </c>
      <c r="E18" s="3625">
        <v>36</v>
      </c>
      <c r="F18" s="3625">
        <v>36</v>
      </c>
    </row>
    <row r="19" spans="1:6" ht="15.75">
      <c r="A19" s="3019">
        <v>375</v>
      </c>
      <c r="B19" s="3019">
        <v>400</v>
      </c>
      <c r="C19" s="3020">
        <v>39</v>
      </c>
      <c r="D19" s="3020">
        <v>39</v>
      </c>
      <c r="E19" s="3625">
        <v>39</v>
      </c>
      <c r="F19" s="3625">
        <v>39</v>
      </c>
    </row>
    <row r="20" spans="1:6" ht="15.75">
      <c r="A20" s="3019">
        <v>400</v>
      </c>
      <c r="B20" s="3019">
        <v>425</v>
      </c>
      <c r="C20" s="3020">
        <v>41</v>
      </c>
      <c r="D20" s="3020">
        <v>41</v>
      </c>
      <c r="E20" s="3625">
        <v>41</v>
      </c>
      <c r="F20" s="3625">
        <v>41</v>
      </c>
    </row>
    <row r="21" spans="1:6" ht="15.75">
      <c r="A21" s="3019">
        <v>425</v>
      </c>
      <c r="B21" s="3019">
        <v>450</v>
      </c>
      <c r="C21" s="3020">
        <v>44</v>
      </c>
      <c r="D21" s="3020">
        <v>44</v>
      </c>
      <c r="E21" s="3625">
        <v>44</v>
      </c>
      <c r="F21" s="3625">
        <v>44</v>
      </c>
    </row>
    <row r="22" spans="1:6" ht="15.75">
      <c r="A22" s="3019">
        <v>450</v>
      </c>
      <c r="B22" s="3019">
        <v>475</v>
      </c>
      <c r="C22" s="3020">
        <v>46</v>
      </c>
      <c r="D22" s="3020">
        <v>46</v>
      </c>
      <c r="E22" s="3625">
        <v>46</v>
      </c>
      <c r="F22" s="3625">
        <v>46</v>
      </c>
    </row>
    <row r="23" spans="1:6" ht="15.75">
      <c r="A23" s="3019">
        <v>475</v>
      </c>
      <c r="B23" s="3019">
        <v>500</v>
      </c>
      <c r="C23" s="3020">
        <v>49</v>
      </c>
      <c r="D23" s="3020">
        <v>49</v>
      </c>
      <c r="E23" s="3625">
        <v>49</v>
      </c>
      <c r="F23" s="3625">
        <v>49</v>
      </c>
    </row>
    <row r="24" spans="1:6" ht="15.75">
      <c r="A24" s="3019">
        <v>500</v>
      </c>
      <c r="B24" s="3019">
        <v>525</v>
      </c>
      <c r="C24" s="3020">
        <v>51</v>
      </c>
      <c r="D24" s="3020">
        <v>51</v>
      </c>
      <c r="E24" s="3625">
        <v>51</v>
      </c>
      <c r="F24" s="3625">
        <v>51</v>
      </c>
    </row>
    <row r="25" spans="1:6" ht="15.75">
      <c r="A25" s="3019">
        <v>525</v>
      </c>
      <c r="B25" s="3019">
        <v>550</v>
      </c>
      <c r="C25" s="3020">
        <v>54</v>
      </c>
      <c r="D25" s="3020">
        <v>54</v>
      </c>
      <c r="E25" s="3625">
        <v>54</v>
      </c>
      <c r="F25" s="3625">
        <v>54</v>
      </c>
    </row>
    <row r="26" spans="1:6" ht="15.75">
      <c r="A26" s="3019">
        <v>550</v>
      </c>
      <c r="B26" s="3019">
        <v>575</v>
      </c>
      <c r="C26" s="3020">
        <v>56</v>
      </c>
      <c r="D26" s="3020">
        <v>56</v>
      </c>
      <c r="E26" s="3625">
        <v>56</v>
      </c>
      <c r="F26" s="3625">
        <v>56</v>
      </c>
    </row>
    <row r="27" spans="1:6" ht="15.75">
      <c r="A27" s="3019">
        <v>575</v>
      </c>
      <c r="B27" s="3019">
        <v>600</v>
      </c>
      <c r="C27" s="3020">
        <v>59</v>
      </c>
      <c r="D27" s="3020">
        <v>59</v>
      </c>
      <c r="E27" s="3625">
        <v>59</v>
      </c>
      <c r="F27" s="3625">
        <v>59</v>
      </c>
    </row>
    <row r="28" spans="1:6" ht="15.75">
      <c r="A28" s="3019">
        <v>600</v>
      </c>
      <c r="B28" s="3019">
        <v>625</v>
      </c>
      <c r="C28" s="3020">
        <v>61</v>
      </c>
      <c r="D28" s="3020">
        <v>61</v>
      </c>
      <c r="E28" s="3625">
        <v>61</v>
      </c>
      <c r="F28" s="3625">
        <v>61</v>
      </c>
    </row>
    <row r="29" spans="1:6" ht="15.75">
      <c r="A29" s="3019">
        <v>625</v>
      </c>
      <c r="B29" s="3019">
        <v>650</v>
      </c>
      <c r="C29" s="3020">
        <v>64</v>
      </c>
      <c r="D29" s="3020">
        <v>64</v>
      </c>
      <c r="E29" s="3625">
        <v>64</v>
      </c>
      <c r="F29" s="3625">
        <v>64</v>
      </c>
    </row>
    <row r="30" spans="1:6" ht="15.75">
      <c r="A30" s="3019">
        <v>650</v>
      </c>
      <c r="B30" s="3019">
        <v>675</v>
      </c>
      <c r="C30" s="3020">
        <v>66</v>
      </c>
      <c r="D30" s="3020">
        <v>66</v>
      </c>
      <c r="E30" s="3625">
        <v>66</v>
      </c>
      <c r="F30" s="3625">
        <v>66</v>
      </c>
    </row>
    <row r="31" spans="1:6" ht="15.75">
      <c r="A31" s="3019">
        <v>675</v>
      </c>
      <c r="B31" s="3019">
        <v>700</v>
      </c>
      <c r="C31" s="3020">
        <v>69</v>
      </c>
      <c r="D31" s="3020">
        <v>69</v>
      </c>
      <c r="E31" s="3625">
        <v>69</v>
      </c>
      <c r="F31" s="3625">
        <v>69</v>
      </c>
    </row>
    <row r="32" spans="1:6" ht="15.75">
      <c r="A32" s="3019">
        <v>700</v>
      </c>
      <c r="B32" s="3019">
        <v>725</v>
      </c>
      <c r="C32" s="3020">
        <v>71</v>
      </c>
      <c r="D32" s="3020">
        <v>71</v>
      </c>
      <c r="E32" s="3625">
        <v>71</v>
      </c>
      <c r="F32" s="3625">
        <v>71</v>
      </c>
    </row>
    <row r="33" spans="1:6" ht="15.75">
      <c r="A33" s="3019">
        <v>725</v>
      </c>
      <c r="B33" s="3019">
        <v>750</v>
      </c>
      <c r="C33" s="3020">
        <v>74</v>
      </c>
      <c r="D33" s="3020">
        <v>74</v>
      </c>
      <c r="E33" s="3625">
        <v>74</v>
      </c>
      <c r="F33" s="3625">
        <v>74</v>
      </c>
    </row>
    <row r="34" spans="1:6" ht="15.75">
      <c r="A34" s="3019">
        <v>750</v>
      </c>
      <c r="B34" s="3019">
        <v>775</v>
      </c>
      <c r="C34" s="3020">
        <v>76</v>
      </c>
      <c r="D34" s="3020">
        <v>76</v>
      </c>
      <c r="E34" s="3625">
        <v>76</v>
      </c>
      <c r="F34" s="3625">
        <v>76</v>
      </c>
    </row>
    <row r="35" spans="1:6" ht="15.75">
      <c r="A35" s="3019">
        <v>775</v>
      </c>
      <c r="B35" s="3019">
        <v>800</v>
      </c>
      <c r="C35" s="3020">
        <v>79</v>
      </c>
      <c r="D35" s="3020">
        <v>79</v>
      </c>
      <c r="E35" s="3625">
        <v>79</v>
      </c>
      <c r="F35" s="3625">
        <v>79</v>
      </c>
    </row>
    <row r="36" spans="1:6" ht="15.75">
      <c r="A36" s="3019">
        <v>800</v>
      </c>
      <c r="B36" s="3019">
        <v>825</v>
      </c>
      <c r="C36" s="3020">
        <v>81</v>
      </c>
      <c r="D36" s="3020">
        <v>81</v>
      </c>
      <c r="E36" s="3625">
        <v>81</v>
      </c>
      <c r="F36" s="3625">
        <v>81</v>
      </c>
    </row>
    <row r="37" spans="1:6" ht="15.75">
      <c r="A37" s="3019">
        <v>825</v>
      </c>
      <c r="B37" s="3019">
        <v>850</v>
      </c>
      <c r="C37" s="3020">
        <v>84</v>
      </c>
      <c r="D37" s="3020">
        <v>84</v>
      </c>
      <c r="E37" s="3625">
        <v>84</v>
      </c>
      <c r="F37" s="3625">
        <v>84</v>
      </c>
    </row>
    <row r="38" spans="1:6" ht="15.75">
      <c r="A38" s="3019">
        <v>850</v>
      </c>
      <c r="B38" s="3019">
        <v>875</v>
      </c>
      <c r="C38" s="3020">
        <v>86</v>
      </c>
      <c r="D38" s="3020">
        <v>86</v>
      </c>
      <c r="E38" s="3625">
        <v>86</v>
      </c>
      <c r="F38" s="3625">
        <v>86</v>
      </c>
    </row>
    <row r="39" spans="1:6" ht="15.75">
      <c r="A39" s="3019">
        <v>875</v>
      </c>
      <c r="B39" s="3019">
        <v>900</v>
      </c>
      <c r="C39" s="3020">
        <v>89</v>
      </c>
      <c r="D39" s="3020">
        <v>89</v>
      </c>
      <c r="E39" s="3625">
        <v>89</v>
      </c>
      <c r="F39" s="3625">
        <v>89</v>
      </c>
    </row>
    <row r="40" spans="1:6" ht="15.75">
      <c r="A40" s="3019">
        <v>900</v>
      </c>
      <c r="B40" s="3019">
        <v>925</v>
      </c>
      <c r="C40" s="3020">
        <v>91</v>
      </c>
      <c r="D40" s="3020">
        <v>91</v>
      </c>
      <c r="E40" s="3625">
        <v>91</v>
      </c>
      <c r="F40" s="3625">
        <v>91</v>
      </c>
    </row>
    <row r="41" spans="1:6" ht="15.75">
      <c r="A41" s="3019">
        <v>925</v>
      </c>
      <c r="B41" s="3019">
        <v>950</v>
      </c>
      <c r="C41" s="3020">
        <v>94</v>
      </c>
      <c r="D41" s="3020">
        <v>94</v>
      </c>
      <c r="E41" s="3625">
        <v>94</v>
      </c>
      <c r="F41" s="3625">
        <v>94</v>
      </c>
    </row>
    <row r="42" spans="1:6" ht="15.75">
      <c r="A42" s="3019">
        <v>950</v>
      </c>
      <c r="B42" s="3019">
        <v>975</v>
      </c>
      <c r="C42" s="3020">
        <v>96</v>
      </c>
      <c r="D42" s="3020">
        <v>96</v>
      </c>
      <c r="E42" s="3625">
        <v>96</v>
      </c>
      <c r="F42" s="3625">
        <v>96</v>
      </c>
    </row>
    <row r="43" spans="1:6" ht="15.75">
      <c r="A43" s="3019">
        <v>975</v>
      </c>
      <c r="B43" s="3021">
        <v>1000</v>
      </c>
      <c r="C43" s="3020">
        <v>99</v>
      </c>
      <c r="D43" s="3019">
        <v>99</v>
      </c>
      <c r="E43" s="3625">
        <v>99</v>
      </c>
      <c r="F43" s="3625">
        <v>99</v>
      </c>
    </row>
    <row r="44" spans="1:6" ht="15.75">
      <c r="A44" s="3021">
        <v>1000</v>
      </c>
      <c r="B44" s="3021">
        <v>1025</v>
      </c>
      <c r="C44" s="3020">
        <v>101</v>
      </c>
      <c r="D44" s="3019">
        <v>101</v>
      </c>
      <c r="E44" s="3625">
        <v>101</v>
      </c>
      <c r="F44" s="3625">
        <v>101</v>
      </c>
    </row>
    <row r="45" spans="1:6" ht="15.75">
      <c r="A45" s="3021">
        <v>1025</v>
      </c>
      <c r="B45" s="3021">
        <v>1050</v>
      </c>
      <c r="C45" s="3020">
        <v>104</v>
      </c>
      <c r="D45" s="3019">
        <v>104</v>
      </c>
      <c r="E45" s="3625">
        <v>104</v>
      </c>
      <c r="F45" s="3625">
        <v>104</v>
      </c>
    </row>
    <row r="46" spans="1:6" ht="15.75">
      <c r="A46" s="3021">
        <v>1050</v>
      </c>
      <c r="B46" s="3021">
        <v>1075</v>
      </c>
      <c r="C46" s="3020">
        <v>106</v>
      </c>
      <c r="D46" s="3019">
        <v>106</v>
      </c>
      <c r="E46" s="3625">
        <v>106</v>
      </c>
      <c r="F46" s="3625">
        <v>106</v>
      </c>
    </row>
    <row r="47" spans="1:6" ht="15.75">
      <c r="A47" s="3021">
        <v>1075</v>
      </c>
      <c r="B47" s="3021">
        <v>1100</v>
      </c>
      <c r="C47" s="3020">
        <v>109</v>
      </c>
      <c r="D47" s="3019">
        <v>109</v>
      </c>
      <c r="E47" s="3625">
        <v>109</v>
      </c>
      <c r="F47" s="3625">
        <v>109</v>
      </c>
    </row>
    <row r="48" spans="1:6" ht="15.75">
      <c r="A48" s="3021">
        <v>1100</v>
      </c>
      <c r="B48" s="3021">
        <v>1125</v>
      </c>
      <c r="C48" s="3020">
        <v>111</v>
      </c>
      <c r="D48" s="3019">
        <v>111</v>
      </c>
      <c r="E48" s="3625">
        <v>111</v>
      </c>
      <c r="F48" s="3625">
        <v>111</v>
      </c>
    </row>
    <row r="49" spans="1:6" ht="15.75">
      <c r="A49" s="3021">
        <v>1125</v>
      </c>
      <c r="B49" s="3021">
        <v>1150</v>
      </c>
      <c r="C49" s="3020">
        <v>114</v>
      </c>
      <c r="D49" s="3019">
        <v>114</v>
      </c>
      <c r="E49" s="3625">
        <v>114</v>
      </c>
      <c r="F49" s="3625">
        <v>114</v>
      </c>
    </row>
    <row r="50" spans="1:6" ht="15.75">
      <c r="A50" s="3021">
        <v>1150</v>
      </c>
      <c r="B50" s="3021">
        <v>1175</v>
      </c>
      <c r="C50" s="3020">
        <v>116</v>
      </c>
      <c r="D50" s="3019">
        <v>116</v>
      </c>
      <c r="E50" s="3625">
        <v>116</v>
      </c>
      <c r="F50" s="3625">
        <v>116</v>
      </c>
    </row>
    <row r="51" spans="1:6" ht="15.75">
      <c r="A51" s="3021">
        <v>1175</v>
      </c>
      <c r="B51" s="3021">
        <v>1200</v>
      </c>
      <c r="C51" s="3020">
        <v>119</v>
      </c>
      <c r="D51" s="3019">
        <v>119</v>
      </c>
      <c r="E51" s="3625">
        <v>119</v>
      </c>
      <c r="F51" s="3625">
        <v>119</v>
      </c>
    </row>
    <row r="52" spans="1:6" ht="15.75">
      <c r="A52" s="3021">
        <v>1200</v>
      </c>
      <c r="B52" s="3021">
        <v>1225</v>
      </c>
      <c r="C52" s="3020">
        <v>121</v>
      </c>
      <c r="D52" s="3019">
        <v>121</v>
      </c>
      <c r="E52" s="3625">
        <v>121</v>
      </c>
      <c r="F52" s="3625">
        <v>121</v>
      </c>
    </row>
    <row r="53" spans="1:6" ht="15.75">
      <c r="A53" s="3021">
        <v>1225</v>
      </c>
      <c r="B53" s="3021">
        <v>1250</v>
      </c>
      <c r="C53" s="3020">
        <v>124</v>
      </c>
      <c r="D53" s="3019">
        <v>124</v>
      </c>
      <c r="E53" s="3625">
        <v>124</v>
      </c>
      <c r="F53" s="3625">
        <v>124</v>
      </c>
    </row>
    <row r="54" spans="1:6" ht="15.75">
      <c r="A54" s="3021">
        <v>1250</v>
      </c>
      <c r="B54" s="3021">
        <v>1275</v>
      </c>
      <c r="C54" s="3020">
        <v>126</v>
      </c>
      <c r="D54" s="3019">
        <v>126</v>
      </c>
      <c r="E54" s="3625">
        <v>126</v>
      </c>
      <c r="F54" s="3625">
        <v>126</v>
      </c>
    </row>
    <row r="55" spans="1:6" ht="15.75">
      <c r="A55" s="3021">
        <v>1275</v>
      </c>
      <c r="B55" s="3021">
        <v>1300</v>
      </c>
      <c r="C55" s="3020">
        <v>129</v>
      </c>
      <c r="D55" s="3019">
        <v>129</v>
      </c>
      <c r="E55" s="3625">
        <v>129</v>
      </c>
      <c r="F55" s="3625">
        <v>129</v>
      </c>
    </row>
    <row r="56" spans="1:6" ht="15.75">
      <c r="A56" s="3021">
        <v>1300</v>
      </c>
      <c r="B56" s="3021">
        <v>1325</v>
      </c>
      <c r="C56" s="3020">
        <v>131</v>
      </c>
      <c r="D56" s="3019">
        <v>131</v>
      </c>
      <c r="E56" s="3625">
        <v>131</v>
      </c>
      <c r="F56" s="3625">
        <v>131</v>
      </c>
    </row>
    <row r="57" spans="1:6" ht="15.75">
      <c r="A57" s="3021">
        <v>1325</v>
      </c>
      <c r="B57" s="3021">
        <v>1350</v>
      </c>
      <c r="C57" s="3020">
        <v>134</v>
      </c>
      <c r="D57" s="3019">
        <v>134</v>
      </c>
      <c r="E57" s="3625">
        <v>134</v>
      </c>
      <c r="F57" s="3625">
        <v>134</v>
      </c>
    </row>
    <row r="58" spans="1:6" ht="15.75">
      <c r="A58" s="3021">
        <v>1350</v>
      </c>
      <c r="B58" s="3021">
        <v>1375</v>
      </c>
      <c r="C58" s="3020">
        <v>136</v>
      </c>
      <c r="D58" s="3019">
        <v>136</v>
      </c>
      <c r="E58" s="3625">
        <v>136</v>
      </c>
      <c r="F58" s="3625">
        <v>136</v>
      </c>
    </row>
    <row r="59" spans="1:6" ht="15.75">
      <c r="A59" s="3021">
        <v>1375</v>
      </c>
      <c r="B59" s="3021">
        <v>1400</v>
      </c>
      <c r="C59" s="3020">
        <v>139</v>
      </c>
      <c r="D59" s="3019">
        <v>139</v>
      </c>
      <c r="E59" s="3625">
        <v>139</v>
      </c>
      <c r="F59" s="3625">
        <v>139</v>
      </c>
    </row>
    <row r="60" spans="1:6" ht="15.75">
      <c r="A60" s="3021">
        <v>1400</v>
      </c>
      <c r="B60" s="3021">
        <v>1425</v>
      </c>
      <c r="C60" s="3020">
        <v>141</v>
      </c>
      <c r="D60" s="3019">
        <v>141</v>
      </c>
      <c r="E60" s="3625">
        <v>141</v>
      </c>
      <c r="F60" s="3625">
        <v>141</v>
      </c>
    </row>
    <row r="61" spans="1:6" ht="15.75">
      <c r="A61" s="3021">
        <v>1425</v>
      </c>
      <c r="B61" s="3021">
        <v>1450</v>
      </c>
      <c r="C61" s="3020">
        <v>144</v>
      </c>
      <c r="D61" s="3019">
        <v>144</v>
      </c>
      <c r="E61" s="3625">
        <v>144</v>
      </c>
      <c r="F61" s="3625">
        <v>144</v>
      </c>
    </row>
    <row r="62" spans="1:6" ht="15.75">
      <c r="A62" s="3021">
        <v>1450</v>
      </c>
      <c r="B62" s="3021">
        <v>1475</v>
      </c>
      <c r="C62" s="3020">
        <v>146</v>
      </c>
      <c r="D62" s="3019">
        <v>146</v>
      </c>
      <c r="E62" s="3625">
        <v>146</v>
      </c>
      <c r="F62" s="3625">
        <v>146</v>
      </c>
    </row>
    <row r="63" spans="1:6" ht="15.75">
      <c r="A63" s="3021">
        <v>1475</v>
      </c>
      <c r="B63" s="3021">
        <v>1500</v>
      </c>
      <c r="C63" s="3020">
        <v>149</v>
      </c>
      <c r="D63" s="3019">
        <v>149</v>
      </c>
      <c r="E63" s="3625">
        <v>149</v>
      </c>
      <c r="F63" s="3625">
        <v>149</v>
      </c>
    </row>
    <row r="64" spans="1:6" ht="15.75">
      <c r="A64" s="3021">
        <v>1500</v>
      </c>
      <c r="B64" s="3021">
        <v>1525</v>
      </c>
      <c r="C64" s="3020">
        <v>151</v>
      </c>
      <c r="D64" s="3019">
        <v>151</v>
      </c>
      <c r="E64" s="3625">
        <v>151</v>
      </c>
      <c r="F64" s="3625">
        <v>151</v>
      </c>
    </row>
    <row r="65" spans="1:6" ht="15.75">
      <c r="A65" s="3021">
        <v>1525</v>
      </c>
      <c r="B65" s="3021">
        <v>1550</v>
      </c>
      <c r="C65" s="3020">
        <v>154</v>
      </c>
      <c r="D65" s="3019">
        <v>154</v>
      </c>
      <c r="E65" s="3625">
        <v>154</v>
      </c>
      <c r="F65" s="3625">
        <v>154</v>
      </c>
    </row>
    <row r="66" spans="1:6" ht="15.75">
      <c r="A66" s="3021">
        <v>1550</v>
      </c>
      <c r="B66" s="3021">
        <v>1575</v>
      </c>
      <c r="C66" s="3020">
        <v>156</v>
      </c>
      <c r="D66" s="3019">
        <v>156</v>
      </c>
      <c r="E66" s="3625">
        <v>156</v>
      </c>
      <c r="F66" s="3625">
        <v>156</v>
      </c>
    </row>
    <row r="67" spans="1:6" ht="15.75">
      <c r="A67" s="3021">
        <v>1575</v>
      </c>
      <c r="B67" s="3021">
        <v>1600</v>
      </c>
      <c r="C67" s="3020">
        <v>159</v>
      </c>
      <c r="D67" s="3019">
        <v>159</v>
      </c>
      <c r="E67" s="3625">
        <v>159</v>
      </c>
      <c r="F67" s="3625">
        <v>159</v>
      </c>
    </row>
    <row r="68" spans="1:6" ht="15.75">
      <c r="A68" s="3021">
        <v>1600</v>
      </c>
      <c r="B68" s="3021">
        <v>1625</v>
      </c>
      <c r="C68" s="3020">
        <v>161</v>
      </c>
      <c r="D68" s="3019">
        <v>161</v>
      </c>
      <c r="E68" s="3625">
        <v>161</v>
      </c>
      <c r="F68" s="3625">
        <v>161</v>
      </c>
    </row>
    <row r="69" spans="1:6" ht="15.75">
      <c r="A69" s="3021">
        <v>1625</v>
      </c>
      <c r="B69" s="3021">
        <v>1650</v>
      </c>
      <c r="C69" s="3020">
        <v>164</v>
      </c>
      <c r="D69" s="3019">
        <v>164</v>
      </c>
      <c r="E69" s="3625">
        <v>164</v>
      </c>
      <c r="F69" s="3625">
        <v>164</v>
      </c>
    </row>
    <row r="70" spans="1:6" ht="15.75">
      <c r="A70" s="3021">
        <v>1650</v>
      </c>
      <c r="B70" s="3021">
        <v>1675</v>
      </c>
      <c r="C70" s="3020">
        <v>166</v>
      </c>
      <c r="D70" s="3019">
        <v>166</v>
      </c>
      <c r="E70" s="3625">
        <v>166</v>
      </c>
      <c r="F70" s="3625">
        <v>166</v>
      </c>
    </row>
    <row r="71" spans="1:6" ht="15.75">
      <c r="A71" s="3021">
        <v>1675</v>
      </c>
      <c r="B71" s="3021">
        <v>1700</v>
      </c>
      <c r="C71" s="3020">
        <v>169</v>
      </c>
      <c r="D71" s="3019">
        <v>169</v>
      </c>
      <c r="E71" s="3625">
        <v>169</v>
      </c>
      <c r="F71" s="3625">
        <v>169</v>
      </c>
    </row>
    <row r="72" spans="1:6" ht="15.75">
      <c r="A72" s="3021">
        <v>1700</v>
      </c>
      <c r="B72" s="3021">
        <v>1725</v>
      </c>
      <c r="C72" s="3020">
        <v>171</v>
      </c>
      <c r="D72" s="3019">
        <v>171</v>
      </c>
      <c r="E72" s="3625">
        <v>171</v>
      </c>
      <c r="F72" s="3625">
        <v>171</v>
      </c>
    </row>
    <row r="73" spans="1:6" ht="15.75">
      <c r="A73" s="3021">
        <v>1725</v>
      </c>
      <c r="B73" s="3021">
        <v>1750</v>
      </c>
      <c r="C73" s="3020">
        <v>174</v>
      </c>
      <c r="D73" s="3019">
        <v>174</v>
      </c>
      <c r="E73" s="3625">
        <v>174</v>
      </c>
      <c r="F73" s="3625">
        <v>174</v>
      </c>
    </row>
    <row r="74" spans="1:6" ht="15.75">
      <c r="A74" s="3021">
        <v>1750</v>
      </c>
      <c r="B74" s="3021">
        <v>1775</v>
      </c>
      <c r="C74" s="3020">
        <v>176</v>
      </c>
      <c r="D74" s="3019">
        <v>176</v>
      </c>
      <c r="E74" s="3625">
        <v>176</v>
      </c>
      <c r="F74" s="3625">
        <v>176</v>
      </c>
    </row>
    <row r="75" spans="1:6" ht="15.75">
      <c r="A75" s="3021">
        <v>1775</v>
      </c>
      <c r="B75" s="3021">
        <v>1800</v>
      </c>
      <c r="C75" s="3020">
        <v>179</v>
      </c>
      <c r="D75" s="3019">
        <v>179</v>
      </c>
      <c r="E75" s="3625">
        <v>179</v>
      </c>
      <c r="F75" s="3625">
        <v>179</v>
      </c>
    </row>
    <row r="76" spans="1:6" ht="15.75">
      <c r="A76" s="3021">
        <v>1800</v>
      </c>
      <c r="B76" s="3021">
        <v>1825</v>
      </c>
      <c r="C76" s="3020">
        <v>181</v>
      </c>
      <c r="D76" s="3019">
        <v>181</v>
      </c>
      <c r="E76" s="3625">
        <v>181</v>
      </c>
      <c r="F76" s="3625">
        <v>181</v>
      </c>
    </row>
    <row r="77" spans="1:6" ht="15.75">
      <c r="A77" s="3021">
        <v>1825</v>
      </c>
      <c r="B77" s="3021">
        <v>1850</v>
      </c>
      <c r="C77" s="3020">
        <v>184</v>
      </c>
      <c r="D77" s="3019">
        <v>184</v>
      </c>
      <c r="E77" s="3625">
        <v>184</v>
      </c>
      <c r="F77" s="3625">
        <v>184</v>
      </c>
    </row>
    <row r="78" spans="1:6" ht="15.75">
      <c r="A78" s="3021">
        <v>1850</v>
      </c>
      <c r="B78" s="3021">
        <v>1875</v>
      </c>
      <c r="C78" s="3020">
        <v>186</v>
      </c>
      <c r="D78" s="3019">
        <v>186</v>
      </c>
      <c r="E78" s="3625">
        <v>186</v>
      </c>
      <c r="F78" s="3625">
        <v>186</v>
      </c>
    </row>
    <row r="79" spans="1:6" ht="15.75">
      <c r="A79" s="3021">
        <v>1875</v>
      </c>
      <c r="B79" s="3021">
        <v>1900</v>
      </c>
      <c r="C79" s="3020">
        <v>189</v>
      </c>
      <c r="D79" s="3019">
        <v>189</v>
      </c>
      <c r="E79" s="3625">
        <v>189</v>
      </c>
      <c r="F79" s="3625">
        <v>189</v>
      </c>
    </row>
    <row r="80" spans="1:6" ht="15.75">
      <c r="A80" s="3021">
        <v>1900</v>
      </c>
      <c r="B80" s="3021">
        <v>1925</v>
      </c>
      <c r="C80" s="3020">
        <v>191</v>
      </c>
      <c r="D80" s="3019">
        <v>191</v>
      </c>
      <c r="E80" s="3625">
        <v>191</v>
      </c>
      <c r="F80" s="3625">
        <v>191</v>
      </c>
    </row>
    <row r="81" spans="1:6" ht="15.75">
      <c r="A81" s="3021">
        <v>1925</v>
      </c>
      <c r="B81" s="3021">
        <v>1950</v>
      </c>
      <c r="C81" s="3020">
        <v>194</v>
      </c>
      <c r="D81" s="3019">
        <v>194</v>
      </c>
      <c r="E81" s="3625">
        <v>194</v>
      </c>
      <c r="F81" s="3625">
        <v>194</v>
      </c>
    </row>
    <row r="82" spans="1:6" ht="15.75">
      <c r="A82" s="3021">
        <v>1950</v>
      </c>
      <c r="B82" s="3021">
        <v>1975</v>
      </c>
      <c r="C82" s="3020">
        <v>196</v>
      </c>
      <c r="D82" s="3019">
        <v>196</v>
      </c>
      <c r="E82" s="3625">
        <v>196</v>
      </c>
      <c r="F82" s="3625">
        <v>196</v>
      </c>
    </row>
    <row r="83" spans="1:6" ht="15.75">
      <c r="A83" s="3021">
        <v>1975</v>
      </c>
      <c r="B83" s="3021">
        <v>2000</v>
      </c>
      <c r="C83" s="3020">
        <v>199</v>
      </c>
      <c r="D83" s="3019">
        <v>199</v>
      </c>
      <c r="E83" s="3625">
        <v>199</v>
      </c>
      <c r="F83" s="3625">
        <v>199</v>
      </c>
    </row>
    <row r="84" spans="1:6" ht="15.75">
      <c r="A84" s="3021">
        <v>2000</v>
      </c>
      <c r="B84" s="3021">
        <v>2025</v>
      </c>
      <c r="C84" s="3020">
        <v>201</v>
      </c>
      <c r="D84" s="3019">
        <v>201</v>
      </c>
      <c r="E84" s="3625">
        <v>201</v>
      </c>
      <c r="F84" s="3625">
        <v>201</v>
      </c>
    </row>
    <row r="85" spans="1:6" ht="15.75">
      <c r="A85" s="3021">
        <v>2025</v>
      </c>
      <c r="B85" s="3021">
        <v>2050</v>
      </c>
      <c r="C85" s="3020">
        <v>204</v>
      </c>
      <c r="D85" s="3019">
        <v>204</v>
      </c>
      <c r="E85" s="3625">
        <v>204</v>
      </c>
      <c r="F85" s="3625">
        <v>204</v>
      </c>
    </row>
    <row r="86" spans="1:6" ht="15.75">
      <c r="A86" s="3021">
        <v>2050</v>
      </c>
      <c r="B86" s="3021">
        <v>2075</v>
      </c>
      <c r="C86" s="3020">
        <v>206</v>
      </c>
      <c r="D86" s="3019">
        <v>206</v>
      </c>
      <c r="E86" s="3625">
        <v>206</v>
      </c>
      <c r="F86" s="3625">
        <v>206</v>
      </c>
    </row>
    <row r="87" spans="1:6" ht="15.75">
      <c r="A87" s="3021">
        <v>2075</v>
      </c>
      <c r="B87" s="3021">
        <v>2100</v>
      </c>
      <c r="C87" s="3020">
        <v>209</v>
      </c>
      <c r="D87" s="3019">
        <v>209</v>
      </c>
      <c r="E87" s="3625">
        <v>209</v>
      </c>
      <c r="F87" s="3625">
        <v>209</v>
      </c>
    </row>
    <row r="88" spans="1:6" ht="15.75">
      <c r="A88" s="3021">
        <v>2100</v>
      </c>
      <c r="B88" s="3021">
        <v>2125</v>
      </c>
      <c r="C88" s="3020">
        <v>211</v>
      </c>
      <c r="D88" s="3019">
        <v>211</v>
      </c>
      <c r="E88" s="3625">
        <v>211</v>
      </c>
      <c r="F88" s="3625">
        <v>211</v>
      </c>
    </row>
    <row r="89" spans="1:6" ht="15.75">
      <c r="A89" s="3021">
        <v>2125</v>
      </c>
      <c r="B89" s="3021">
        <v>2150</v>
      </c>
      <c r="C89" s="3020">
        <v>214</v>
      </c>
      <c r="D89" s="3019">
        <v>214</v>
      </c>
      <c r="E89" s="3625">
        <v>214</v>
      </c>
      <c r="F89" s="3625">
        <v>214</v>
      </c>
    </row>
    <row r="90" spans="1:6" ht="15.75">
      <c r="A90" s="3021">
        <v>2150</v>
      </c>
      <c r="B90" s="3021">
        <v>2175</v>
      </c>
      <c r="C90" s="3020">
        <v>216</v>
      </c>
      <c r="D90" s="3019">
        <v>216</v>
      </c>
      <c r="E90" s="3625">
        <v>216</v>
      </c>
      <c r="F90" s="3625">
        <v>216</v>
      </c>
    </row>
    <row r="91" spans="1:6" ht="15.75">
      <c r="A91" s="3021">
        <v>2175</v>
      </c>
      <c r="B91" s="3021">
        <v>2200</v>
      </c>
      <c r="C91" s="3020">
        <v>219</v>
      </c>
      <c r="D91" s="3019">
        <v>219</v>
      </c>
      <c r="E91" s="3625">
        <v>219</v>
      </c>
      <c r="F91" s="3625">
        <v>219</v>
      </c>
    </row>
    <row r="92" spans="1:6" ht="15.75">
      <c r="A92" s="3021">
        <v>2200</v>
      </c>
      <c r="B92" s="3021">
        <v>2225</v>
      </c>
      <c r="C92" s="3020">
        <v>221</v>
      </c>
      <c r="D92" s="3019">
        <v>221</v>
      </c>
      <c r="E92" s="3625">
        <v>221</v>
      </c>
      <c r="F92" s="3625">
        <v>221</v>
      </c>
    </row>
    <row r="93" spans="1:6" ht="15.75">
      <c r="A93" s="3021">
        <v>2225</v>
      </c>
      <c r="B93" s="3021">
        <v>2250</v>
      </c>
      <c r="C93" s="3020">
        <v>224</v>
      </c>
      <c r="D93" s="3019">
        <v>224</v>
      </c>
      <c r="E93" s="3625">
        <v>224</v>
      </c>
      <c r="F93" s="3625">
        <v>224</v>
      </c>
    </row>
    <row r="94" spans="1:6" ht="15.75">
      <c r="A94" s="3021">
        <v>2250</v>
      </c>
      <c r="B94" s="3021">
        <v>2275</v>
      </c>
      <c r="C94" s="3020">
        <v>226</v>
      </c>
      <c r="D94" s="3019">
        <v>226</v>
      </c>
      <c r="E94" s="3625">
        <v>226</v>
      </c>
      <c r="F94" s="3625">
        <v>226</v>
      </c>
    </row>
    <row r="95" spans="1:6" ht="15.75">
      <c r="A95" s="3021">
        <v>2275</v>
      </c>
      <c r="B95" s="3021">
        <v>2300</v>
      </c>
      <c r="C95" s="3020">
        <v>229</v>
      </c>
      <c r="D95" s="3019">
        <v>229</v>
      </c>
      <c r="E95" s="3625">
        <v>229</v>
      </c>
      <c r="F95" s="3625">
        <v>229</v>
      </c>
    </row>
    <row r="96" spans="1:6" ht="15.75">
      <c r="A96" s="3021">
        <v>2300</v>
      </c>
      <c r="B96" s="3021">
        <v>2325</v>
      </c>
      <c r="C96" s="3020">
        <v>231</v>
      </c>
      <c r="D96" s="3019">
        <v>231</v>
      </c>
      <c r="E96" s="3625">
        <v>231</v>
      </c>
      <c r="F96" s="3625">
        <v>231</v>
      </c>
    </row>
    <row r="97" spans="1:6" ht="15.75">
      <c r="A97" s="3021">
        <v>2325</v>
      </c>
      <c r="B97" s="3021">
        <v>2350</v>
      </c>
      <c r="C97" s="3020">
        <v>234</v>
      </c>
      <c r="D97" s="3019">
        <v>234</v>
      </c>
      <c r="E97" s="3625">
        <v>234</v>
      </c>
      <c r="F97" s="3625">
        <v>234</v>
      </c>
    </row>
    <row r="98" spans="1:6" ht="15.75">
      <c r="A98" s="3021">
        <v>2350</v>
      </c>
      <c r="B98" s="3021">
        <v>2375</v>
      </c>
      <c r="C98" s="3020">
        <v>236</v>
      </c>
      <c r="D98" s="3019">
        <v>236</v>
      </c>
      <c r="E98" s="3625">
        <v>236</v>
      </c>
      <c r="F98" s="3625">
        <v>236</v>
      </c>
    </row>
    <row r="99" spans="1:6" ht="15.75">
      <c r="A99" s="3021">
        <v>2375</v>
      </c>
      <c r="B99" s="3021">
        <v>2400</v>
      </c>
      <c r="C99" s="3020">
        <v>239</v>
      </c>
      <c r="D99" s="3019">
        <v>239</v>
      </c>
      <c r="E99" s="3625">
        <v>239</v>
      </c>
      <c r="F99" s="3625">
        <v>239</v>
      </c>
    </row>
    <row r="100" spans="1:6" ht="15.75">
      <c r="A100" s="3021">
        <v>2400</v>
      </c>
      <c r="B100" s="3021">
        <v>2425</v>
      </c>
      <c r="C100" s="3020">
        <v>241</v>
      </c>
      <c r="D100" s="3019">
        <v>241</v>
      </c>
      <c r="E100" s="3625">
        <v>241</v>
      </c>
      <c r="F100" s="3625">
        <v>241</v>
      </c>
    </row>
    <row r="101" spans="1:6" ht="15.75">
      <c r="A101" s="3021">
        <v>2425</v>
      </c>
      <c r="B101" s="3021">
        <v>2450</v>
      </c>
      <c r="C101" s="3020">
        <v>244</v>
      </c>
      <c r="D101" s="3019">
        <v>244</v>
      </c>
      <c r="E101" s="3625">
        <v>244</v>
      </c>
      <c r="F101" s="3625">
        <v>244</v>
      </c>
    </row>
    <row r="102" spans="1:6" ht="15.75">
      <c r="A102" s="3021">
        <v>2450</v>
      </c>
      <c r="B102" s="3021">
        <v>2475</v>
      </c>
      <c r="C102" s="3020">
        <v>246</v>
      </c>
      <c r="D102" s="3019">
        <v>246</v>
      </c>
      <c r="E102" s="3625">
        <v>246</v>
      </c>
      <c r="F102" s="3625">
        <v>246</v>
      </c>
    </row>
    <row r="103" spans="1:6" ht="15.75">
      <c r="A103" s="3021">
        <v>2475</v>
      </c>
      <c r="B103" s="3021">
        <v>2500</v>
      </c>
      <c r="C103" s="3020">
        <v>249</v>
      </c>
      <c r="D103" s="3019">
        <v>249</v>
      </c>
      <c r="E103" s="3625">
        <v>249</v>
      </c>
      <c r="F103" s="3625">
        <v>249</v>
      </c>
    </row>
    <row r="104" spans="1:6" ht="15.75">
      <c r="A104" s="3021">
        <v>2500</v>
      </c>
      <c r="B104" s="3021">
        <v>2525</v>
      </c>
      <c r="C104" s="3020">
        <v>251</v>
      </c>
      <c r="D104" s="3019">
        <v>251</v>
      </c>
      <c r="E104" s="3625">
        <v>251</v>
      </c>
      <c r="F104" s="3625">
        <v>251</v>
      </c>
    </row>
    <row r="105" spans="1:6" ht="15.75">
      <c r="A105" s="3021">
        <v>2525</v>
      </c>
      <c r="B105" s="3021">
        <v>2550</v>
      </c>
      <c r="C105" s="3020">
        <v>254</v>
      </c>
      <c r="D105" s="3019">
        <v>254</v>
      </c>
      <c r="E105" s="3625">
        <v>254</v>
      </c>
      <c r="F105" s="3625">
        <v>254</v>
      </c>
    </row>
    <row r="106" spans="1:6" ht="15.75">
      <c r="A106" s="3021">
        <v>2550</v>
      </c>
      <c r="B106" s="3021">
        <v>2575</v>
      </c>
      <c r="C106" s="3020">
        <v>256</v>
      </c>
      <c r="D106" s="3019">
        <v>256</v>
      </c>
      <c r="E106" s="3625">
        <v>256</v>
      </c>
      <c r="F106" s="3625">
        <v>256</v>
      </c>
    </row>
    <row r="107" spans="1:6" ht="15.75">
      <c r="A107" s="3021">
        <v>2575</v>
      </c>
      <c r="B107" s="3021">
        <v>2600</v>
      </c>
      <c r="C107" s="3020">
        <v>259</v>
      </c>
      <c r="D107" s="3019">
        <v>259</v>
      </c>
      <c r="E107" s="3625">
        <v>259</v>
      </c>
      <c r="F107" s="3625">
        <v>259</v>
      </c>
    </row>
    <row r="108" spans="1:6" ht="15.75">
      <c r="A108" s="3021">
        <v>2600</v>
      </c>
      <c r="B108" s="3021">
        <v>2625</v>
      </c>
      <c r="C108" s="3020">
        <v>261</v>
      </c>
      <c r="D108" s="3019">
        <v>261</v>
      </c>
      <c r="E108" s="3625">
        <v>261</v>
      </c>
      <c r="F108" s="3625">
        <v>261</v>
      </c>
    </row>
    <row r="109" spans="1:6" ht="15.75">
      <c r="A109" s="3021">
        <v>2625</v>
      </c>
      <c r="B109" s="3021">
        <v>2650</v>
      </c>
      <c r="C109" s="3020">
        <v>264</v>
      </c>
      <c r="D109" s="3019">
        <v>264</v>
      </c>
      <c r="E109" s="3625">
        <v>264</v>
      </c>
      <c r="F109" s="3625">
        <v>264</v>
      </c>
    </row>
    <row r="110" spans="1:6" ht="15.75">
      <c r="A110" s="3021">
        <v>2650</v>
      </c>
      <c r="B110" s="3021">
        <v>2675</v>
      </c>
      <c r="C110" s="3020">
        <v>266</v>
      </c>
      <c r="D110" s="3019">
        <v>266</v>
      </c>
      <c r="E110" s="3625">
        <v>266</v>
      </c>
      <c r="F110" s="3625">
        <v>266</v>
      </c>
    </row>
    <row r="111" spans="1:6" ht="15.75">
      <c r="A111" s="3021">
        <v>2675</v>
      </c>
      <c r="B111" s="3021">
        <v>2700</v>
      </c>
      <c r="C111" s="3020">
        <v>269</v>
      </c>
      <c r="D111" s="3019">
        <v>269</v>
      </c>
      <c r="E111" s="3625">
        <v>269</v>
      </c>
      <c r="F111" s="3625">
        <v>269</v>
      </c>
    </row>
    <row r="112" spans="1:6" ht="15.75">
      <c r="A112" s="3021">
        <v>2700</v>
      </c>
      <c r="B112" s="3021">
        <v>2725</v>
      </c>
      <c r="C112" s="3020">
        <v>271</v>
      </c>
      <c r="D112" s="3019">
        <v>271</v>
      </c>
      <c r="E112" s="3625">
        <v>271</v>
      </c>
      <c r="F112" s="3625">
        <v>271</v>
      </c>
    </row>
    <row r="113" spans="1:6" ht="15.75">
      <c r="A113" s="3021">
        <v>2725</v>
      </c>
      <c r="B113" s="3021">
        <v>2750</v>
      </c>
      <c r="C113" s="3020">
        <v>274</v>
      </c>
      <c r="D113" s="3019">
        <v>274</v>
      </c>
      <c r="E113" s="3625">
        <v>274</v>
      </c>
      <c r="F113" s="3625">
        <v>274</v>
      </c>
    </row>
    <row r="114" spans="1:6" ht="15.75">
      <c r="A114" s="3021">
        <v>2750</v>
      </c>
      <c r="B114" s="3021">
        <v>2775</v>
      </c>
      <c r="C114" s="3020">
        <v>276</v>
      </c>
      <c r="D114" s="3019">
        <v>276</v>
      </c>
      <c r="E114" s="3625">
        <v>276</v>
      </c>
      <c r="F114" s="3625">
        <v>276</v>
      </c>
    </row>
    <row r="115" spans="1:6" ht="15.75">
      <c r="A115" s="3021">
        <v>2775</v>
      </c>
      <c r="B115" s="3021">
        <v>2800</v>
      </c>
      <c r="C115" s="3020">
        <v>279</v>
      </c>
      <c r="D115" s="3019">
        <v>279</v>
      </c>
      <c r="E115" s="3625">
        <v>279</v>
      </c>
      <c r="F115" s="3625">
        <v>279</v>
      </c>
    </row>
    <row r="116" spans="1:6" ht="15.75">
      <c r="A116" s="3021">
        <v>2800</v>
      </c>
      <c r="B116" s="3021">
        <v>2825</v>
      </c>
      <c r="C116" s="3020">
        <v>281</v>
      </c>
      <c r="D116" s="3019">
        <v>281</v>
      </c>
      <c r="E116" s="3625">
        <v>281</v>
      </c>
      <c r="F116" s="3625">
        <v>281</v>
      </c>
    </row>
    <row r="117" spans="1:6" ht="15.75">
      <c r="A117" s="3021">
        <v>2825</v>
      </c>
      <c r="B117" s="3021">
        <v>2850</v>
      </c>
      <c r="C117" s="3020">
        <v>284</v>
      </c>
      <c r="D117" s="3019">
        <v>284</v>
      </c>
      <c r="E117" s="3625">
        <v>284</v>
      </c>
      <c r="F117" s="3625">
        <v>284</v>
      </c>
    </row>
    <row r="118" spans="1:6" ht="15.75">
      <c r="A118" s="3021">
        <v>2850</v>
      </c>
      <c r="B118" s="3021">
        <v>2875</v>
      </c>
      <c r="C118" s="3020">
        <v>286</v>
      </c>
      <c r="D118" s="3019">
        <v>286</v>
      </c>
      <c r="E118" s="3625">
        <v>286</v>
      </c>
      <c r="F118" s="3625">
        <v>286</v>
      </c>
    </row>
    <row r="119" spans="1:6" ht="15.75">
      <c r="A119" s="3021">
        <v>2875</v>
      </c>
      <c r="B119" s="3021">
        <v>2900</v>
      </c>
      <c r="C119" s="3020">
        <v>289</v>
      </c>
      <c r="D119" s="3019">
        <v>289</v>
      </c>
      <c r="E119" s="3625">
        <v>289</v>
      </c>
      <c r="F119" s="3625">
        <v>289</v>
      </c>
    </row>
    <row r="120" spans="1:6" ht="15.75">
      <c r="A120" s="3021">
        <v>2900</v>
      </c>
      <c r="B120" s="3021">
        <v>2925</v>
      </c>
      <c r="C120" s="3020">
        <v>291</v>
      </c>
      <c r="D120" s="3019">
        <v>291</v>
      </c>
      <c r="E120" s="3625">
        <v>291</v>
      </c>
      <c r="F120" s="3625">
        <v>291</v>
      </c>
    </row>
    <row r="121" spans="1:6" ht="15.75">
      <c r="A121" s="3021">
        <v>2925</v>
      </c>
      <c r="B121" s="3021">
        <v>2950</v>
      </c>
      <c r="C121" s="3020">
        <v>294</v>
      </c>
      <c r="D121" s="3019">
        <v>294</v>
      </c>
      <c r="E121" s="3625">
        <v>294</v>
      </c>
      <c r="F121" s="3625">
        <v>294</v>
      </c>
    </row>
    <row r="122" spans="1:6" ht="15.75">
      <c r="A122" s="3021">
        <v>2950</v>
      </c>
      <c r="B122" s="3021">
        <v>2975</v>
      </c>
      <c r="C122" s="3020">
        <v>296</v>
      </c>
      <c r="D122" s="3019">
        <v>296</v>
      </c>
      <c r="E122" s="3625">
        <v>296</v>
      </c>
      <c r="F122" s="3625">
        <v>296</v>
      </c>
    </row>
    <row r="123" spans="1:6" ht="15.75">
      <c r="A123" s="3021">
        <v>2975</v>
      </c>
      <c r="B123" s="3021">
        <v>3000</v>
      </c>
      <c r="C123" s="3020">
        <v>299</v>
      </c>
      <c r="D123" s="3019">
        <v>299</v>
      </c>
      <c r="E123" s="3625">
        <v>299</v>
      </c>
      <c r="F123" s="3625">
        <v>299</v>
      </c>
    </row>
    <row r="124" spans="1:6" ht="15.75">
      <c r="A124" s="3021">
        <v>3000</v>
      </c>
      <c r="B124" s="3021">
        <v>3050</v>
      </c>
      <c r="C124" s="3020">
        <v>303</v>
      </c>
      <c r="D124" s="3019">
        <v>303</v>
      </c>
      <c r="E124" s="3625">
        <v>303</v>
      </c>
      <c r="F124" s="3625">
        <v>303</v>
      </c>
    </row>
    <row r="125" spans="1:6" ht="15.75">
      <c r="A125" s="3021">
        <v>3050</v>
      </c>
      <c r="B125" s="3021">
        <v>3100</v>
      </c>
      <c r="C125" s="3020">
        <v>308</v>
      </c>
      <c r="D125" s="3019">
        <v>308</v>
      </c>
      <c r="E125" s="3625">
        <v>308</v>
      </c>
      <c r="F125" s="3625">
        <v>308</v>
      </c>
    </row>
    <row r="126" spans="1:6" ht="15.75">
      <c r="A126" s="3021">
        <v>3100</v>
      </c>
      <c r="B126" s="3021">
        <v>3150</v>
      </c>
      <c r="C126" s="3020">
        <v>313</v>
      </c>
      <c r="D126" s="3019">
        <v>313</v>
      </c>
      <c r="E126" s="3625">
        <v>313</v>
      </c>
      <c r="F126" s="3625">
        <v>313</v>
      </c>
    </row>
    <row r="127" spans="1:6" ht="15.75">
      <c r="A127" s="3021">
        <v>3150</v>
      </c>
      <c r="B127" s="3021">
        <v>3200</v>
      </c>
      <c r="C127" s="3020">
        <v>318</v>
      </c>
      <c r="D127" s="3019">
        <v>318</v>
      </c>
      <c r="E127" s="3625">
        <v>318</v>
      </c>
      <c r="F127" s="3625">
        <v>318</v>
      </c>
    </row>
    <row r="128" spans="1:6" ht="15.75">
      <c r="A128" s="3021">
        <v>3200</v>
      </c>
      <c r="B128" s="3021">
        <v>3250</v>
      </c>
      <c r="C128" s="3020">
        <v>323</v>
      </c>
      <c r="D128" s="3019">
        <v>323</v>
      </c>
      <c r="E128" s="3625">
        <v>323</v>
      </c>
      <c r="F128" s="3625">
        <v>323</v>
      </c>
    </row>
    <row r="129" spans="1:6" ht="15.75">
      <c r="A129" s="3021">
        <v>3250</v>
      </c>
      <c r="B129" s="3021">
        <v>3300</v>
      </c>
      <c r="C129" s="3020">
        <v>328</v>
      </c>
      <c r="D129" s="3019">
        <v>328</v>
      </c>
      <c r="E129" s="3625">
        <v>328</v>
      </c>
      <c r="F129" s="3625">
        <v>328</v>
      </c>
    </row>
    <row r="130" spans="1:6" ht="15.75">
      <c r="A130" s="3021">
        <v>3300</v>
      </c>
      <c r="B130" s="3021">
        <v>3350</v>
      </c>
      <c r="C130" s="3020">
        <v>333</v>
      </c>
      <c r="D130" s="3019">
        <v>333</v>
      </c>
      <c r="E130" s="3625">
        <v>333</v>
      </c>
      <c r="F130" s="3625">
        <v>333</v>
      </c>
    </row>
    <row r="131" spans="1:6" ht="15.75">
      <c r="A131" s="3021">
        <v>3350</v>
      </c>
      <c r="B131" s="3021">
        <v>3400</v>
      </c>
      <c r="C131" s="3020">
        <v>338</v>
      </c>
      <c r="D131" s="3019">
        <v>338</v>
      </c>
      <c r="E131" s="3625">
        <v>338</v>
      </c>
      <c r="F131" s="3625">
        <v>338</v>
      </c>
    </row>
    <row r="132" spans="1:6" ht="15.75">
      <c r="A132" s="3021">
        <v>3400</v>
      </c>
      <c r="B132" s="3021">
        <v>3450</v>
      </c>
      <c r="C132" s="3020">
        <v>343</v>
      </c>
      <c r="D132" s="3019">
        <v>343</v>
      </c>
      <c r="E132" s="3625">
        <v>343</v>
      </c>
      <c r="F132" s="3625">
        <v>343</v>
      </c>
    </row>
    <row r="133" spans="1:6" ht="15.75">
      <c r="A133" s="3021">
        <v>3450</v>
      </c>
      <c r="B133" s="3021">
        <v>3500</v>
      </c>
      <c r="C133" s="3020">
        <v>348</v>
      </c>
      <c r="D133" s="3019">
        <v>348</v>
      </c>
      <c r="E133" s="3625">
        <v>348</v>
      </c>
      <c r="F133" s="3625">
        <v>348</v>
      </c>
    </row>
    <row r="134" spans="1:6" ht="15.75">
      <c r="A134" s="3021">
        <v>3500</v>
      </c>
      <c r="B134" s="3021">
        <v>3550</v>
      </c>
      <c r="C134" s="3020">
        <v>353</v>
      </c>
      <c r="D134" s="3019">
        <v>353</v>
      </c>
      <c r="E134" s="3625">
        <v>353</v>
      </c>
      <c r="F134" s="3625">
        <v>353</v>
      </c>
    </row>
    <row r="135" spans="1:6" ht="15.75">
      <c r="A135" s="3021">
        <v>3550</v>
      </c>
      <c r="B135" s="3021">
        <v>3600</v>
      </c>
      <c r="C135" s="3020">
        <v>358</v>
      </c>
      <c r="D135" s="3019">
        <v>358</v>
      </c>
      <c r="E135" s="3625">
        <v>358</v>
      </c>
      <c r="F135" s="3625">
        <v>358</v>
      </c>
    </row>
    <row r="136" spans="1:6" ht="15.75">
      <c r="A136" s="3021">
        <v>3600</v>
      </c>
      <c r="B136" s="3021">
        <v>3650</v>
      </c>
      <c r="C136" s="3020">
        <v>363</v>
      </c>
      <c r="D136" s="3019">
        <v>363</v>
      </c>
      <c r="E136" s="3625">
        <v>363</v>
      </c>
      <c r="F136" s="3625">
        <v>363</v>
      </c>
    </row>
    <row r="137" spans="1:6" ht="15.75">
      <c r="A137" s="3021">
        <v>3650</v>
      </c>
      <c r="B137" s="3021">
        <v>3700</v>
      </c>
      <c r="C137" s="3020">
        <v>368</v>
      </c>
      <c r="D137" s="3019">
        <v>368</v>
      </c>
      <c r="E137" s="3625">
        <v>368</v>
      </c>
      <c r="F137" s="3625">
        <v>368</v>
      </c>
    </row>
    <row r="138" spans="1:6" ht="15.75">
      <c r="A138" s="3021">
        <v>3700</v>
      </c>
      <c r="B138" s="3021">
        <v>3750</v>
      </c>
      <c r="C138" s="3020">
        <v>373</v>
      </c>
      <c r="D138" s="3019">
        <v>373</v>
      </c>
      <c r="E138" s="3625">
        <v>373</v>
      </c>
      <c r="F138" s="3625">
        <v>373</v>
      </c>
    </row>
    <row r="139" spans="1:6" ht="15.75">
      <c r="A139" s="3021">
        <v>3750</v>
      </c>
      <c r="B139" s="3021">
        <v>3800</v>
      </c>
      <c r="C139" s="3020">
        <v>378</v>
      </c>
      <c r="D139" s="3019">
        <v>378</v>
      </c>
      <c r="E139" s="3625">
        <v>378</v>
      </c>
      <c r="F139" s="3625">
        <v>378</v>
      </c>
    </row>
    <row r="140" spans="1:6" ht="15.75">
      <c r="A140" s="3021">
        <v>3800</v>
      </c>
      <c r="B140" s="3021">
        <v>3850</v>
      </c>
      <c r="C140" s="3020">
        <v>383</v>
      </c>
      <c r="D140" s="3019">
        <v>383</v>
      </c>
      <c r="E140" s="3625">
        <v>383</v>
      </c>
      <c r="F140" s="3625">
        <v>383</v>
      </c>
    </row>
    <row r="141" spans="1:6" ht="15.75">
      <c r="A141" s="3021">
        <v>3850</v>
      </c>
      <c r="B141" s="3021">
        <v>3900</v>
      </c>
      <c r="C141" s="3020">
        <v>388</v>
      </c>
      <c r="D141" s="3019">
        <v>388</v>
      </c>
      <c r="E141" s="3625">
        <v>388</v>
      </c>
      <c r="F141" s="3625">
        <v>388</v>
      </c>
    </row>
    <row r="142" spans="1:6" ht="15.75">
      <c r="A142" s="3021">
        <v>3900</v>
      </c>
      <c r="B142" s="3021">
        <v>3950</v>
      </c>
      <c r="C142" s="3020">
        <v>393</v>
      </c>
      <c r="D142" s="3019">
        <v>393</v>
      </c>
      <c r="E142" s="3625">
        <v>393</v>
      </c>
      <c r="F142" s="3625">
        <v>393</v>
      </c>
    </row>
    <row r="143" spans="1:6" ht="15.75">
      <c r="A143" s="3021">
        <v>3950</v>
      </c>
      <c r="B143" s="3021">
        <v>4000</v>
      </c>
      <c r="C143" s="3020">
        <v>398</v>
      </c>
      <c r="D143" s="3019">
        <v>398</v>
      </c>
      <c r="E143" s="3625">
        <v>398</v>
      </c>
      <c r="F143" s="3625">
        <v>398</v>
      </c>
    </row>
    <row r="144" spans="1:6" ht="15.75">
      <c r="A144" s="3021">
        <v>4000</v>
      </c>
      <c r="B144" s="3021">
        <v>4050</v>
      </c>
      <c r="C144" s="3020">
        <v>403</v>
      </c>
      <c r="D144" s="3019">
        <v>403</v>
      </c>
      <c r="E144" s="3625">
        <v>403</v>
      </c>
      <c r="F144" s="3625">
        <v>403</v>
      </c>
    </row>
    <row r="145" spans="1:6" ht="15.75">
      <c r="A145" s="3021">
        <v>4050</v>
      </c>
      <c r="B145" s="3021">
        <v>4100</v>
      </c>
      <c r="C145" s="3020">
        <v>408</v>
      </c>
      <c r="D145" s="3019">
        <v>408</v>
      </c>
      <c r="E145" s="3625">
        <v>408</v>
      </c>
      <c r="F145" s="3625">
        <v>408</v>
      </c>
    </row>
    <row r="146" spans="1:6" ht="15.75">
      <c r="A146" s="3021">
        <v>4100</v>
      </c>
      <c r="B146" s="3021">
        <v>4150</v>
      </c>
      <c r="C146" s="3020">
        <v>413</v>
      </c>
      <c r="D146" s="3019">
        <v>413</v>
      </c>
      <c r="E146" s="3625">
        <v>413</v>
      </c>
      <c r="F146" s="3625">
        <v>413</v>
      </c>
    </row>
    <row r="147" spans="1:6" ht="15.75">
      <c r="A147" s="3021">
        <v>4150</v>
      </c>
      <c r="B147" s="3021">
        <v>4200</v>
      </c>
      <c r="C147" s="3020">
        <v>418</v>
      </c>
      <c r="D147" s="3019">
        <v>418</v>
      </c>
      <c r="E147" s="3625">
        <v>418</v>
      </c>
      <c r="F147" s="3625">
        <v>418</v>
      </c>
    </row>
    <row r="148" spans="1:6" ht="15.75">
      <c r="A148" s="3021">
        <v>4200</v>
      </c>
      <c r="B148" s="3021">
        <v>4250</v>
      </c>
      <c r="C148" s="3020">
        <v>423</v>
      </c>
      <c r="D148" s="3019">
        <v>423</v>
      </c>
      <c r="E148" s="3625">
        <v>423</v>
      </c>
      <c r="F148" s="3625">
        <v>423</v>
      </c>
    </row>
    <row r="149" spans="1:6" ht="15.75">
      <c r="A149" s="3021">
        <v>4250</v>
      </c>
      <c r="B149" s="3021">
        <v>4300</v>
      </c>
      <c r="C149" s="3020">
        <v>428</v>
      </c>
      <c r="D149" s="3019">
        <v>428</v>
      </c>
      <c r="E149" s="3625">
        <v>428</v>
      </c>
      <c r="F149" s="3625">
        <v>428</v>
      </c>
    </row>
    <row r="150" spans="1:6" ht="15.75">
      <c r="A150" s="3021">
        <v>4300</v>
      </c>
      <c r="B150" s="3021">
        <v>4350</v>
      </c>
      <c r="C150" s="3020">
        <v>433</v>
      </c>
      <c r="D150" s="3019">
        <v>433</v>
      </c>
      <c r="E150" s="3625">
        <v>433</v>
      </c>
      <c r="F150" s="3625">
        <v>433</v>
      </c>
    </row>
    <row r="151" spans="1:6" ht="15.75">
      <c r="A151" s="3021">
        <v>4350</v>
      </c>
      <c r="B151" s="3021">
        <v>4400</v>
      </c>
      <c r="C151" s="3020">
        <v>438</v>
      </c>
      <c r="D151" s="3019">
        <v>438</v>
      </c>
      <c r="E151" s="3625">
        <v>438</v>
      </c>
      <c r="F151" s="3625">
        <v>438</v>
      </c>
    </row>
    <row r="152" spans="1:6" ht="15.75">
      <c r="A152" s="3021">
        <v>4400</v>
      </c>
      <c r="B152" s="3021">
        <v>4450</v>
      </c>
      <c r="C152" s="3020">
        <v>443</v>
      </c>
      <c r="D152" s="3019">
        <v>443</v>
      </c>
      <c r="E152" s="3625">
        <v>443</v>
      </c>
      <c r="F152" s="3625">
        <v>443</v>
      </c>
    </row>
    <row r="153" spans="1:6" ht="15.75">
      <c r="A153" s="3021">
        <v>4450</v>
      </c>
      <c r="B153" s="3021">
        <v>4500</v>
      </c>
      <c r="C153" s="3020">
        <v>448</v>
      </c>
      <c r="D153" s="3019">
        <v>448</v>
      </c>
      <c r="E153" s="3625">
        <v>448</v>
      </c>
      <c r="F153" s="3625">
        <v>448</v>
      </c>
    </row>
    <row r="154" spans="1:6" ht="15.75">
      <c r="A154" s="3021">
        <v>4500</v>
      </c>
      <c r="B154" s="3021">
        <v>4550</v>
      </c>
      <c r="C154" s="3020">
        <v>453</v>
      </c>
      <c r="D154" s="3019">
        <v>453</v>
      </c>
      <c r="E154" s="3625">
        <v>453</v>
      </c>
      <c r="F154" s="3625">
        <v>453</v>
      </c>
    </row>
    <row r="155" spans="1:6" ht="15.75">
      <c r="A155" s="3021">
        <v>4550</v>
      </c>
      <c r="B155" s="3021">
        <v>4600</v>
      </c>
      <c r="C155" s="3020">
        <v>458</v>
      </c>
      <c r="D155" s="3019">
        <v>458</v>
      </c>
      <c r="E155" s="3625">
        <v>458</v>
      </c>
      <c r="F155" s="3625">
        <v>458</v>
      </c>
    </row>
    <row r="156" spans="1:6" ht="15.75">
      <c r="A156" s="3021">
        <v>4600</v>
      </c>
      <c r="B156" s="3021">
        <v>4650</v>
      </c>
      <c r="C156" s="3020">
        <v>463</v>
      </c>
      <c r="D156" s="3019">
        <v>463</v>
      </c>
      <c r="E156" s="3625">
        <v>463</v>
      </c>
      <c r="F156" s="3625">
        <v>463</v>
      </c>
    </row>
    <row r="157" spans="1:6" ht="15.75">
      <c r="A157" s="3021">
        <v>4650</v>
      </c>
      <c r="B157" s="3021">
        <v>4700</v>
      </c>
      <c r="C157" s="3020">
        <v>468</v>
      </c>
      <c r="D157" s="3019">
        <v>468</v>
      </c>
      <c r="E157" s="3625">
        <v>468</v>
      </c>
      <c r="F157" s="3625">
        <v>468</v>
      </c>
    </row>
    <row r="158" spans="1:6" ht="15.75">
      <c r="A158" s="3021">
        <v>4700</v>
      </c>
      <c r="B158" s="3021">
        <v>4750</v>
      </c>
      <c r="C158" s="3020">
        <v>473</v>
      </c>
      <c r="D158" s="3019">
        <v>473</v>
      </c>
      <c r="E158" s="3625">
        <v>473</v>
      </c>
      <c r="F158" s="3625">
        <v>473</v>
      </c>
    </row>
    <row r="159" spans="1:6" ht="15.75">
      <c r="A159" s="3021">
        <v>4750</v>
      </c>
      <c r="B159" s="3021">
        <v>4800</v>
      </c>
      <c r="C159" s="3020">
        <v>478</v>
      </c>
      <c r="D159" s="3019">
        <v>478</v>
      </c>
      <c r="E159" s="3625">
        <v>478</v>
      </c>
      <c r="F159" s="3625">
        <v>478</v>
      </c>
    </row>
    <row r="160" spans="1:6" ht="15.75">
      <c r="A160" s="3021">
        <v>4800</v>
      </c>
      <c r="B160" s="3021">
        <v>4850</v>
      </c>
      <c r="C160" s="3020">
        <v>483</v>
      </c>
      <c r="D160" s="3019">
        <v>483</v>
      </c>
      <c r="E160" s="3625">
        <v>483</v>
      </c>
      <c r="F160" s="3625">
        <v>483</v>
      </c>
    </row>
    <row r="161" spans="1:6" ht="15.75">
      <c r="A161" s="3021">
        <v>4850</v>
      </c>
      <c r="B161" s="3021">
        <v>4900</v>
      </c>
      <c r="C161" s="3020">
        <v>488</v>
      </c>
      <c r="D161" s="3019">
        <v>488</v>
      </c>
      <c r="E161" s="3625">
        <v>488</v>
      </c>
      <c r="F161" s="3625">
        <v>488</v>
      </c>
    </row>
    <row r="162" spans="1:6" ht="15.75">
      <c r="A162" s="3021">
        <v>4900</v>
      </c>
      <c r="B162" s="3021">
        <v>4950</v>
      </c>
      <c r="C162" s="3020">
        <v>493</v>
      </c>
      <c r="D162" s="3019">
        <v>493</v>
      </c>
      <c r="E162" s="3625">
        <v>493</v>
      </c>
      <c r="F162" s="3625">
        <v>493</v>
      </c>
    </row>
    <row r="163" spans="1:6" ht="15.75">
      <c r="A163" s="3021">
        <v>4950</v>
      </c>
      <c r="B163" s="3021">
        <v>5000</v>
      </c>
      <c r="C163" s="3020">
        <v>498</v>
      </c>
      <c r="D163" s="3019">
        <v>498</v>
      </c>
      <c r="E163" s="3625">
        <v>498</v>
      </c>
      <c r="F163" s="3625">
        <v>498</v>
      </c>
    </row>
    <row r="164" spans="1:6" ht="15.75">
      <c r="A164" s="3021">
        <v>5000</v>
      </c>
      <c r="B164" s="3021">
        <v>5050</v>
      </c>
      <c r="C164" s="3020">
        <v>503</v>
      </c>
      <c r="D164" s="3019">
        <v>503</v>
      </c>
      <c r="E164" s="3625">
        <v>503</v>
      </c>
      <c r="F164" s="3625">
        <v>503</v>
      </c>
    </row>
    <row r="165" spans="1:6" ht="15.75">
      <c r="A165" s="3021">
        <v>5050</v>
      </c>
      <c r="B165" s="3021">
        <v>5100</v>
      </c>
      <c r="C165" s="3020">
        <v>508</v>
      </c>
      <c r="D165" s="3019">
        <v>508</v>
      </c>
      <c r="E165" s="3625">
        <v>508</v>
      </c>
      <c r="F165" s="3625">
        <v>508</v>
      </c>
    </row>
    <row r="166" spans="1:6" ht="15.75">
      <c r="A166" s="3021">
        <v>5100</v>
      </c>
      <c r="B166" s="3021">
        <v>5150</v>
      </c>
      <c r="C166" s="3020">
        <v>513</v>
      </c>
      <c r="D166" s="3019">
        <v>513</v>
      </c>
      <c r="E166" s="3625">
        <v>513</v>
      </c>
      <c r="F166" s="3625">
        <v>513</v>
      </c>
    </row>
    <row r="167" spans="1:6" ht="15.75">
      <c r="A167" s="3021">
        <v>5150</v>
      </c>
      <c r="B167" s="3021">
        <v>5200</v>
      </c>
      <c r="C167" s="3020">
        <v>518</v>
      </c>
      <c r="D167" s="3019">
        <v>518</v>
      </c>
      <c r="E167" s="3625">
        <v>518</v>
      </c>
      <c r="F167" s="3625">
        <v>518</v>
      </c>
    </row>
    <row r="168" spans="1:6" ht="15.75">
      <c r="A168" s="3021">
        <v>5200</v>
      </c>
      <c r="B168" s="3021">
        <v>5250</v>
      </c>
      <c r="C168" s="3020">
        <v>523</v>
      </c>
      <c r="D168" s="3019">
        <v>523</v>
      </c>
      <c r="E168" s="3625">
        <v>523</v>
      </c>
      <c r="F168" s="3625">
        <v>523</v>
      </c>
    </row>
    <row r="169" spans="1:6" ht="15.75">
      <c r="A169" s="3021">
        <v>5250</v>
      </c>
      <c r="B169" s="3021">
        <v>5300</v>
      </c>
      <c r="C169" s="3020">
        <v>528</v>
      </c>
      <c r="D169" s="3019">
        <v>528</v>
      </c>
      <c r="E169" s="3625">
        <v>528</v>
      </c>
      <c r="F169" s="3625">
        <v>528</v>
      </c>
    </row>
    <row r="170" spans="1:6" ht="15.75">
      <c r="A170" s="3021">
        <v>5300</v>
      </c>
      <c r="B170" s="3021">
        <v>5350</v>
      </c>
      <c r="C170" s="3020">
        <v>533</v>
      </c>
      <c r="D170" s="3019">
        <v>533</v>
      </c>
      <c r="E170" s="3625">
        <v>533</v>
      </c>
      <c r="F170" s="3625">
        <v>533</v>
      </c>
    </row>
    <row r="171" spans="1:6" ht="15.75">
      <c r="A171" s="3021">
        <v>5350</v>
      </c>
      <c r="B171" s="3021">
        <v>5400</v>
      </c>
      <c r="C171" s="3020">
        <v>538</v>
      </c>
      <c r="D171" s="3019">
        <v>538</v>
      </c>
      <c r="E171" s="3625">
        <v>538</v>
      </c>
      <c r="F171" s="3625">
        <v>538</v>
      </c>
    </row>
    <row r="172" spans="1:6" ht="15.75">
      <c r="A172" s="3021">
        <v>5400</v>
      </c>
      <c r="B172" s="3021">
        <v>5450</v>
      </c>
      <c r="C172" s="3020">
        <v>543</v>
      </c>
      <c r="D172" s="3019">
        <v>543</v>
      </c>
      <c r="E172" s="3625">
        <v>543</v>
      </c>
      <c r="F172" s="3625">
        <v>543</v>
      </c>
    </row>
    <row r="173" spans="1:6" ht="15.75">
      <c r="A173" s="3021">
        <v>5450</v>
      </c>
      <c r="B173" s="3021">
        <v>5500</v>
      </c>
      <c r="C173" s="3020">
        <v>548</v>
      </c>
      <c r="D173" s="3019">
        <v>548</v>
      </c>
      <c r="E173" s="3625">
        <v>548</v>
      </c>
      <c r="F173" s="3625">
        <v>548</v>
      </c>
    </row>
    <row r="174" spans="1:6" ht="15.75">
      <c r="A174" s="3021">
        <v>5500</v>
      </c>
      <c r="B174" s="3021">
        <v>5550</v>
      </c>
      <c r="C174" s="3020">
        <v>553</v>
      </c>
      <c r="D174" s="3019">
        <v>553</v>
      </c>
      <c r="E174" s="3625">
        <v>553</v>
      </c>
      <c r="F174" s="3625">
        <v>553</v>
      </c>
    </row>
    <row r="175" spans="1:6" ht="15.75">
      <c r="A175" s="3021">
        <v>5550</v>
      </c>
      <c r="B175" s="3021">
        <v>5600</v>
      </c>
      <c r="C175" s="3020">
        <v>558</v>
      </c>
      <c r="D175" s="3019">
        <v>558</v>
      </c>
      <c r="E175" s="3625">
        <v>558</v>
      </c>
      <c r="F175" s="3625">
        <v>558</v>
      </c>
    </row>
    <row r="176" spans="1:6" ht="15.75">
      <c r="A176" s="3021">
        <v>5600</v>
      </c>
      <c r="B176" s="3021">
        <v>5650</v>
      </c>
      <c r="C176" s="3020">
        <v>563</v>
      </c>
      <c r="D176" s="3019">
        <v>563</v>
      </c>
      <c r="E176" s="3625">
        <v>563</v>
      </c>
      <c r="F176" s="3625">
        <v>563</v>
      </c>
    </row>
    <row r="177" spans="1:6" ht="15.75">
      <c r="A177" s="3021">
        <v>5650</v>
      </c>
      <c r="B177" s="3021">
        <v>5700</v>
      </c>
      <c r="C177" s="3020">
        <v>568</v>
      </c>
      <c r="D177" s="3019">
        <v>568</v>
      </c>
      <c r="E177" s="3625">
        <v>568</v>
      </c>
      <c r="F177" s="3625">
        <v>568</v>
      </c>
    </row>
    <row r="178" spans="1:6" ht="15.75">
      <c r="A178" s="3021">
        <v>5700</v>
      </c>
      <c r="B178" s="3021">
        <v>5750</v>
      </c>
      <c r="C178" s="3020">
        <v>573</v>
      </c>
      <c r="D178" s="3019">
        <v>573</v>
      </c>
      <c r="E178" s="3625">
        <v>573</v>
      </c>
      <c r="F178" s="3625">
        <v>573</v>
      </c>
    </row>
    <row r="179" spans="1:6" ht="15.75">
      <c r="A179" s="3021">
        <v>5750</v>
      </c>
      <c r="B179" s="3021">
        <v>5800</v>
      </c>
      <c r="C179" s="3020">
        <v>578</v>
      </c>
      <c r="D179" s="3019">
        <v>578</v>
      </c>
      <c r="E179" s="3625">
        <v>578</v>
      </c>
      <c r="F179" s="3625">
        <v>578</v>
      </c>
    </row>
    <row r="180" spans="1:6" ht="15.75">
      <c r="A180" s="3021">
        <v>5800</v>
      </c>
      <c r="B180" s="3021">
        <v>5850</v>
      </c>
      <c r="C180" s="3020">
        <v>583</v>
      </c>
      <c r="D180" s="3019">
        <v>583</v>
      </c>
      <c r="E180" s="3625">
        <v>583</v>
      </c>
      <c r="F180" s="3625">
        <v>583</v>
      </c>
    </row>
    <row r="181" spans="1:6" ht="15.75">
      <c r="A181" s="3021">
        <v>5850</v>
      </c>
      <c r="B181" s="3021">
        <v>5900</v>
      </c>
      <c r="C181" s="3020">
        <v>588</v>
      </c>
      <c r="D181" s="3019">
        <v>588</v>
      </c>
      <c r="E181" s="3625">
        <v>588</v>
      </c>
      <c r="F181" s="3625">
        <v>588</v>
      </c>
    </row>
    <row r="182" spans="1:6" ht="15.75">
      <c r="A182" s="3021">
        <v>5900</v>
      </c>
      <c r="B182" s="3021">
        <v>5950</v>
      </c>
      <c r="C182" s="3020">
        <v>593</v>
      </c>
      <c r="D182" s="3019">
        <v>593</v>
      </c>
      <c r="E182" s="3625">
        <v>593</v>
      </c>
      <c r="F182" s="3625">
        <v>593</v>
      </c>
    </row>
    <row r="183" spans="1:6" ht="15.75">
      <c r="A183" s="3021">
        <v>5950</v>
      </c>
      <c r="B183" s="3021">
        <v>6000</v>
      </c>
      <c r="C183" s="3020">
        <v>598</v>
      </c>
      <c r="D183" s="3019">
        <v>598</v>
      </c>
      <c r="E183" s="3625">
        <v>598</v>
      </c>
      <c r="F183" s="3625">
        <v>598</v>
      </c>
    </row>
    <row r="184" spans="1:6" ht="15.75">
      <c r="A184" s="3021">
        <v>6000</v>
      </c>
      <c r="B184" s="3021">
        <v>6050</v>
      </c>
      <c r="C184" s="3020">
        <v>603</v>
      </c>
      <c r="D184" s="3019">
        <v>603</v>
      </c>
      <c r="E184" s="3625">
        <v>603</v>
      </c>
      <c r="F184" s="3625">
        <v>603</v>
      </c>
    </row>
    <row r="185" spans="1:6" ht="15.75">
      <c r="A185" s="3021">
        <v>6050</v>
      </c>
      <c r="B185" s="3021">
        <v>6100</v>
      </c>
      <c r="C185" s="3020">
        <v>608</v>
      </c>
      <c r="D185" s="3019">
        <v>608</v>
      </c>
      <c r="E185" s="3625">
        <v>608</v>
      </c>
      <c r="F185" s="3625">
        <v>608</v>
      </c>
    </row>
    <row r="186" spans="1:6" ht="15.75">
      <c r="A186" s="3021">
        <v>6100</v>
      </c>
      <c r="B186" s="3021">
        <v>6150</v>
      </c>
      <c r="C186" s="3020">
        <v>613</v>
      </c>
      <c r="D186" s="3019">
        <v>613</v>
      </c>
      <c r="E186" s="3625">
        <v>613</v>
      </c>
      <c r="F186" s="3625">
        <v>613</v>
      </c>
    </row>
    <row r="187" spans="1:6" ht="15.75">
      <c r="A187" s="3021">
        <v>6150</v>
      </c>
      <c r="B187" s="3021">
        <v>6200</v>
      </c>
      <c r="C187" s="3020">
        <v>618</v>
      </c>
      <c r="D187" s="3019">
        <v>618</v>
      </c>
      <c r="E187" s="3625">
        <v>618</v>
      </c>
      <c r="F187" s="3625">
        <v>618</v>
      </c>
    </row>
    <row r="188" spans="1:6" ht="15.75">
      <c r="A188" s="3021">
        <v>6200</v>
      </c>
      <c r="B188" s="3021">
        <v>6250</v>
      </c>
      <c r="C188" s="3020">
        <v>623</v>
      </c>
      <c r="D188" s="3019">
        <v>623</v>
      </c>
      <c r="E188" s="3625">
        <v>623</v>
      </c>
      <c r="F188" s="3625">
        <v>623</v>
      </c>
    </row>
    <row r="189" spans="1:6" ht="15.75">
      <c r="A189" s="3021">
        <v>6250</v>
      </c>
      <c r="B189" s="3021">
        <v>6300</v>
      </c>
      <c r="C189" s="3020">
        <v>628</v>
      </c>
      <c r="D189" s="3019">
        <v>628</v>
      </c>
      <c r="E189" s="3625">
        <v>628</v>
      </c>
      <c r="F189" s="3625">
        <v>628</v>
      </c>
    </row>
    <row r="190" spans="1:6" ht="15.75">
      <c r="A190" s="3021">
        <v>6300</v>
      </c>
      <c r="B190" s="3021">
        <v>6350</v>
      </c>
      <c r="C190" s="3020">
        <v>633</v>
      </c>
      <c r="D190" s="3019">
        <v>633</v>
      </c>
      <c r="E190" s="3625">
        <v>633</v>
      </c>
      <c r="F190" s="3625">
        <v>633</v>
      </c>
    </row>
    <row r="191" spans="1:6" ht="15.75">
      <c r="A191" s="3021">
        <v>6350</v>
      </c>
      <c r="B191" s="3021">
        <v>6400</v>
      </c>
      <c r="C191" s="3020">
        <v>638</v>
      </c>
      <c r="D191" s="3019">
        <v>638</v>
      </c>
      <c r="E191" s="3625">
        <v>638</v>
      </c>
      <c r="F191" s="3625">
        <v>638</v>
      </c>
    </row>
    <row r="192" spans="1:6" ht="15.75">
      <c r="A192" s="3021">
        <v>6400</v>
      </c>
      <c r="B192" s="3021">
        <v>6450</v>
      </c>
      <c r="C192" s="3020">
        <v>643</v>
      </c>
      <c r="D192" s="3019">
        <v>643</v>
      </c>
      <c r="E192" s="3625">
        <v>643</v>
      </c>
      <c r="F192" s="3625">
        <v>643</v>
      </c>
    </row>
    <row r="193" spans="1:6" ht="15.75">
      <c r="A193" s="3021">
        <v>6450</v>
      </c>
      <c r="B193" s="3021">
        <v>6500</v>
      </c>
      <c r="C193" s="3020">
        <v>648</v>
      </c>
      <c r="D193" s="3019">
        <v>648</v>
      </c>
      <c r="E193" s="3625">
        <v>648</v>
      </c>
      <c r="F193" s="3625">
        <v>648</v>
      </c>
    </row>
    <row r="194" spans="1:6" ht="15.75">
      <c r="A194" s="3021">
        <v>6500</v>
      </c>
      <c r="B194" s="3021">
        <v>6550</v>
      </c>
      <c r="C194" s="3020">
        <v>653</v>
      </c>
      <c r="D194" s="3019">
        <v>653</v>
      </c>
      <c r="E194" s="3625">
        <v>653</v>
      </c>
      <c r="F194" s="3625">
        <v>653</v>
      </c>
    </row>
    <row r="195" spans="1:6" ht="15.75">
      <c r="A195" s="3021">
        <v>6550</v>
      </c>
      <c r="B195" s="3021">
        <v>6600</v>
      </c>
      <c r="C195" s="3020">
        <v>658</v>
      </c>
      <c r="D195" s="3019">
        <v>658</v>
      </c>
      <c r="E195" s="3625">
        <v>658</v>
      </c>
      <c r="F195" s="3625">
        <v>658</v>
      </c>
    </row>
    <row r="196" spans="1:6" ht="15.75">
      <c r="A196" s="3021">
        <v>6600</v>
      </c>
      <c r="B196" s="3021">
        <v>6650</v>
      </c>
      <c r="C196" s="3020">
        <v>663</v>
      </c>
      <c r="D196" s="3019">
        <v>663</v>
      </c>
      <c r="E196" s="3625">
        <v>663</v>
      </c>
      <c r="F196" s="3625">
        <v>663</v>
      </c>
    </row>
    <row r="197" spans="1:6" ht="15.75">
      <c r="A197" s="3021">
        <v>6650</v>
      </c>
      <c r="B197" s="3021">
        <v>6700</v>
      </c>
      <c r="C197" s="3020">
        <v>668</v>
      </c>
      <c r="D197" s="3019">
        <v>668</v>
      </c>
      <c r="E197" s="3625">
        <v>668</v>
      </c>
      <c r="F197" s="3625">
        <v>668</v>
      </c>
    </row>
    <row r="198" spans="1:6" ht="15.75">
      <c r="A198" s="3021">
        <v>6700</v>
      </c>
      <c r="B198" s="3021">
        <v>6750</v>
      </c>
      <c r="C198" s="3020">
        <v>673</v>
      </c>
      <c r="D198" s="3019">
        <v>673</v>
      </c>
      <c r="E198" s="3625">
        <v>673</v>
      </c>
      <c r="F198" s="3625">
        <v>673</v>
      </c>
    </row>
    <row r="199" spans="1:6" ht="15.75">
      <c r="A199" s="3021">
        <v>6750</v>
      </c>
      <c r="B199" s="3021">
        <v>6800</v>
      </c>
      <c r="C199" s="3020">
        <v>678</v>
      </c>
      <c r="D199" s="3019">
        <v>678</v>
      </c>
      <c r="E199" s="3625">
        <v>678</v>
      </c>
      <c r="F199" s="3625">
        <v>678</v>
      </c>
    </row>
    <row r="200" spans="1:6" ht="15.75">
      <c r="A200" s="3021">
        <v>6800</v>
      </c>
      <c r="B200" s="3021">
        <v>6850</v>
      </c>
      <c r="C200" s="3020">
        <v>683</v>
      </c>
      <c r="D200" s="3019">
        <v>683</v>
      </c>
      <c r="E200" s="3625">
        <v>683</v>
      </c>
      <c r="F200" s="3625">
        <v>683</v>
      </c>
    </row>
    <row r="201" spans="1:6" ht="15.75">
      <c r="A201" s="3021">
        <v>6850</v>
      </c>
      <c r="B201" s="3021">
        <v>6900</v>
      </c>
      <c r="C201" s="3020">
        <v>688</v>
      </c>
      <c r="D201" s="3019">
        <v>688</v>
      </c>
      <c r="E201" s="3625">
        <v>688</v>
      </c>
      <c r="F201" s="3625">
        <v>688</v>
      </c>
    </row>
    <row r="202" spans="1:6" ht="15.75">
      <c r="A202" s="3021">
        <v>6900</v>
      </c>
      <c r="B202" s="3021">
        <v>6950</v>
      </c>
      <c r="C202" s="3020">
        <v>693</v>
      </c>
      <c r="D202" s="3019">
        <v>693</v>
      </c>
      <c r="E202" s="3625">
        <v>693</v>
      </c>
      <c r="F202" s="3625">
        <v>693</v>
      </c>
    </row>
    <row r="203" spans="1:6" ht="15.75">
      <c r="A203" s="3021">
        <v>6950</v>
      </c>
      <c r="B203" s="3021">
        <v>7000</v>
      </c>
      <c r="C203" s="3020">
        <v>698</v>
      </c>
      <c r="D203" s="3019">
        <v>698</v>
      </c>
      <c r="E203" s="3625">
        <v>698</v>
      </c>
      <c r="F203" s="3625">
        <v>698</v>
      </c>
    </row>
    <row r="204" spans="1:6" ht="15.75">
      <c r="A204" s="3021">
        <v>7000</v>
      </c>
      <c r="B204" s="3021">
        <v>7050</v>
      </c>
      <c r="C204" s="3020">
        <v>703</v>
      </c>
      <c r="D204" s="3019">
        <v>703</v>
      </c>
      <c r="E204" s="3625">
        <v>703</v>
      </c>
      <c r="F204" s="3625">
        <v>703</v>
      </c>
    </row>
    <row r="205" spans="1:6" ht="15.75">
      <c r="A205" s="3021">
        <v>7050</v>
      </c>
      <c r="B205" s="3021">
        <v>7100</v>
      </c>
      <c r="C205" s="3020">
        <v>708</v>
      </c>
      <c r="D205" s="3019">
        <v>708</v>
      </c>
      <c r="E205" s="3625">
        <v>708</v>
      </c>
      <c r="F205" s="3625">
        <v>708</v>
      </c>
    </row>
    <row r="206" spans="1:6" ht="15.75">
      <c r="A206" s="3021">
        <v>7100</v>
      </c>
      <c r="B206" s="3021">
        <v>7150</v>
      </c>
      <c r="C206" s="3020">
        <v>713</v>
      </c>
      <c r="D206" s="3019">
        <v>713</v>
      </c>
      <c r="E206" s="3625">
        <v>713</v>
      </c>
      <c r="F206" s="3625">
        <v>713</v>
      </c>
    </row>
    <row r="207" spans="1:6" ht="15.75">
      <c r="A207" s="3021">
        <v>7150</v>
      </c>
      <c r="B207" s="3021">
        <v>7200</v>
      </c>
      <c r="C207" s="3020">
        <v>718</v>
      </c>
      <c r="D207" s="3019">
        <v>718</v>
      </c>
      <c r="E207" s="3625">
        <v>718</v>
      </c>
      <c r="F207" s="3625">
        <v>718</v>
      </c>
    </row>
    <row r="208" spans="1:6" ht="15.75">
      <c r="A208" s="3021">
        <v>7200</v>
      </c>
      <c r="B208" s="3021">
        <v>7250</v>
      </c>
      <c r="C208" s="3020">
        <v>723</v>
      </c>
      <c r="D208" s="3019">
        <v>723</v>
      </c>
      <c r="E208" s="3625">
        <v>723</v>
      </c>
      <c r="F208" s="3625">
        <v>723</v>
      </c>
    </row>
    <row r="209" spans="1:6" ht="15.75">
      <c r="A209" s="3021">
        <v>7250</v>
      </c>
      <c r="B209" s="3021">
        <v>7300</v>
      </c>
      <c r="C209" s="3020">
        <v>728</v>
      </c>
      <c r="D209" s="3019">
        <v>728</v>
      </c>
      <c r="E209" s="3625">
        <v>728</v>
      </c>
      <c r="F209" s="3625">
        <v>728</v>
      </c>
    </row>
    <row r="210" spans="1:6" ht="15.75">
      <c r="A210" s="3021">
        <v>7300</v>
      </c>
      <c r="B210" s="3021">
        <v>7350</v>
      </c>
      <c r="C210" s="3020">
        <v>733</v>
      </c>
      <c r="D210" s="3019">
        <v>733</v>
      </c>
      <c r="E210" s="3625">
        <v>733</v>
      </c>
      <c r="F210" s="3625">
        <v>733</v>
      </c>
    </row>
    <row r="211" spans="1:6" ht="15.75">
      <c r="A211" s="3021">
        <v>7350</v>
      </c>
      <c r="B211" s="3021">
        <v>7400</v>
      </c>
      <c r="C211" s="3020">
        <v>738</v>
      </c>
      <c r="D211" s="3019">
        <v>738</v>
      </c>
      <c r="E211" s="3625">
        <v>738</v>
      </c>
      <c r="F211" s="3625">
        <v>738</v>
      </c>
    </row>
    <row r="212" spans="1:6" ht="15.75">
      <c r="A212" s="3021">
        <v>7400</v>
      </c>
      <c r="B212" s="3021">
        <v>7450</v>
      </c>
      <c r="C212" s="3020">
        <v>743</v>
      </c>
      <c r="D212" s="3019">
        <v>743</v>
      </c>
      <c r="E212" s="3625">
        <v>743</v>
      </c>
      <c r="F212" s="3625">
        <v>743</v>
      </c>
    </row>
    <row r="213" spans="1:6" ht="15.75">
      <c r="A213" s="3021">
        <v>7450</v>
      </c>
      <c r="B213" s="3021">
        <v>7500</v>
      </c>
      <c r="C213" s="3020">
        <v>748</v>
      </c>
      <c r="D213" s="3019">
        <v>748</v>
      </c>
      <c r="E213" s="3625">
        <v>748</v>
      </c>
      <c r="F213" s="3625">
        <v>748</v>
      </c>
    </row>
    <row r="214" spans="1:6" ht="15.75">
      <c r="A214" s="3021">
        <v>7500</v>
      </c>
      <c r="B214" s="3021">
        <v>7550</v>
      </c>
      <c r="C214" s="3020">
        <v>753</v>
      </c>
      <c r="D214" s="3019">
        <v>753</v>
      </c>
      <c r="E214" s="3625">
        <v>753</v>
      </c>
      <c r="F214" s="3625">
        <v>753</v>
      </c>
    </row>
    <row r="215" spans="1:6" ht="15.75">
      <c r="A215" s="3021">
        <v>7550</v>
      </c>
      <c r="B215" s="3021">
        <v>7600</v>
      </c>
      <c r="C215" s="3020">
        <v>758</v>
      </c>
      <c r="D215" s="3019">
        <v>758</v>
      </c>
      <c r="E215" s="3625">
        <v>758</v>
      </c>
      <c r="F215" s="3625">
        <v>758</v>
      </c>
    </row>
    <row r="216" spans="1:6" ht="15.75">
      <c r="A216" s="3021">
        <v>7600</v>
      </c>
      <c r="B216" s="3021">
        <v>7650</v>
      </c>
      <c r="C216" s="3020">
        <v>763</v>
      </c>
      <c r="D216" s="3019">
        <v>763</v>
      </c>
      <c r="E216" s="3625">
        <v>763</v>
      </c>
      <c r="F216" s="3625">
        <v>763</v>
      </c>
    </row>
    <row r="217" spans="1:6" ht="15.75">
      <c r="A217" s="3021">
        <v>7650</v>
      </c>
      <c r="B217" s="3021">
        <v>7700</v>
      </c>
      <c r="C217" s="3020">
        <v>768</v>
      </c>
      <c r="D217" s="3019">
        <v>768</v>
      </c>
      <c r="E217" s="3625">
        <v>768</v>
      </c>
      <c r="F217" s="3625">
        <v>768</v>
      </c>
    </row>
    <row r="218" spans="1:6" ht="15.75">
      <c r="A218" s="3021">
        <v>7700</v>
      </c>
      <c r="B218" s="3021">
        <v>7750</v>
      </c>
      <c r="C218" s="3020">
        <v>773</v>
      </c>
      <c r="D218" s="3019">
        <v>773</v>
      </c>
      <c r="E218" s="3625">
        <v>773</v>
      </c>
      <c r="F218" s="3625">
        <v>773</v>
      </c>
    </row>
    <row r="219" spans="1:6" ht="15.75">
      <c r="A219" s="3021">
        <v>7750</v>
      </c>
      <c r="B219" s="3021">
        <v>7800</v>
      </c>
      <c r="C219" s="3020">
        <v>778</v>
      </c>
      <c r="D219" s="3019">
        <v>778</v>
      </c>
      <c r="E219" s="3625">
        <v>778</v>
      </c>
      <c r="F219" s="3625">
        <v>778</v>
      </c>
    </row>
    <row r="220" spans="1:6" ht="15.75">
      <c r="A220" s="3021">
        <v>7800</v>
      </c>
      <c r="B220" s="3021">
        <v>7850</v>
      </c>
      <c r="C220" s="3020">
        <v>783</v>
      </c>
      <c r="D220" s="3019">
        <v>783</v>
      </c>
      <c r="E220" s="3625">
        <v>783</v>
      </c>
      <c r="F220" s="3625">
        <v>783</v>
      </c>
    </row>
    <row r="221" spans="1:6" ht="15.75">
      <c r="A221" s="3021">
        <v>7850</v>
      </c>
      <c r="B221" s="3021">
        <v>7900</v>
      </c>
      <c r="C221" s="3020">
        <v>788</v>
      </c>
      <c r="D221" s="3019">
        <v>788</v>
      </c>
      <c r="E221" s="3625">
        <v>788</v>
      </c>
      <c r="F221" s="3625">
        <v>788</v>
      </c>
    </row>
    <row r="222" spans="1:6" ht="15.75">
      <c r="A222" s="3021">
        <v>7900</v>
      </c>
      <c r="B222" s="3021">
        <v>7950</v>
      </c>
      <c r="C222" s="3020">
        <v>793</v>
      </c>
      <c r="D222" s="3019">
        <v>793</v>
      </c>
      <c r="E222" s="3625">
        <v>793</v>
      </c>
      <c r="F222" s="3625">
        <v>793</v>
      </c>
    </row>
    <row r="223" spans="1:6" ht="15.75">
      <c r="A223" s="3021">
        <v>7950</v>
      </c>
      <c r="B223" s="3021">
        <v>8000</v>
      </c>
      <c r="C223" s="3020">
        <v>798</v>
      </c>
      <c r="D223" s="3019">
        <v>798</v>
      </c>
      <c r="E223" s="3625">
        <v>798</v>
      </c>
      <c r="F223" s="3625">
        <v>798</v>
      </c>
    </row>
    <row r="224" spans="1:6" ht="15.75">
      <c r="A224" s="3021">
        <v>8000</v>
      </c>
      <c r="B224" s="3021">
        <v>8050</v>
      </c>
      <c r="C224" s="3020">
        <v>803</v>
      </c>
      <c r="D224" s="3019">
        <v>803</v>
      </c>
      <c r="E224" s="3625">
        <v>803</v>
      </c>
      <c r="F224" s="3625">
        <v>803</v>
      </c>
    </row>
    <row r="225" spans="1:6" ht="15.75">
      <c r="A225" s="3021">
        <v>8050</v>
      </c>
      <c r="B225" s="3021">
        <v>8100</v>
      </c>
      <c r="C225" s="3020">
        <v>808</v>
      </c>
      <c r="D225" s="3019">
        <v>808</v>
      </c>
      <c r="E225" s="3625">
        <v>808</v>
      </c>
      <c r="F225" s="3625">
        <v>808</v>
      </c>
    </row>
    <row r="226" spans="1:6" ht="15.75">
      <c r="A226" s="3021">
        <v>8100</v>
      </c>
      <c r="B226" s="3021">
        <v>8150</v>
      </c>
      <c r="C226" s="3020">
        <v>813</v>
      </c>
      <c r="D226" s="3019">
        <v>813</v>
      </c>
      <c r="E226" s="3625">
        <v>813</v>
      </c>
      <c r="F226" s="3625">
        <v>813</v>
      </c>
    </row>
    <row r="227" spans="1:6" ht="15.75">
      <c r="A227" s="3021">
        <v>8150</v>
      </c>
      <c r="B227" s="3021">
        <v>8200</v>
      </c>
      <c r="C227" s="3020">
        <v>818</v>
      </c>
      <c r="D227" s="3019">
        <v>818</v>
      </c>
      <c r="E227" s="3625">
        <v>818</v>
      </c>
      <c r="F227" s="3625">
        <v>818</v>
      </c>
    </row>
    <row r="228" spans="1:6" ht="15.75">
      <c r="A228" s="3021">
        <v>8200</v>
      </c>
      <c r="B228" s="3021">
        <v>8250</v>
      </c>
      <c r="C228" s="3020">
        <v>823</v>
      </c>
      <c r="D228" s="3019">
        <v>823</v>
      </c>
      <c r="E228" s="3625">
        <v>823</v>
      </c>
      <c r="F228" s="3625">
        <v>823</v>
      </c>
    </row>
    <row r="229" spans="1:6" ht="15.75">
      <c r="A229" s="3021">
        <v>8250</v>
      </c>
      <c r="B229" s="3021">
        <v>8300</v>
      </c>
      <c r="C229" s="3020">
        <v>828</v>
      </c>
      <c r="D229" s="3019">
        <v>828</v>
      </c>
      <c r="E229" s="3625">
        <v>828</v>
      </c>
      <c r="F229" s="3625">
        <v>828</v>
      </c>
    </row>
    <row r="230" spans="1:6" ht="15.75">
      <c r="A230" s="3021">
        <v>8300</v>
      </c>
      <c r="B230" s="3021">
        <v>8350</v>
      </c>
      <c r="C230" s="3020">
        <v>833</v>
      </c>
      <c r="D230" s="3019">
        <v>833</v>
      </c>
      <c r="E230" s="3625">
        <v>833</v>
      </c>
      <c r="F230" s="3625">
        <v>833</v>
      </c>
    </row>
    <row r="231" spans="1:6" ht="15.75">
      <c r="A231" s="3021">
        <v>8350</v>
      </c>
      <c r="B231" s="3021">
        <v>8400</v>
      </c>
      <c r="C231" s="3020">
        <v>838</v>
      </c>
      <c r="D231" s="3019">
        <v>838</v>
      </c>
      <c r="E231" s="3625">
        <v>838</v>
      </c>
      <c r="F231" s="3625">
        <v>838</v>
      </c>
    </row>
    <row r="232" spans="1:6" ht="15.75">
      <c r="A232" s="3021">
        <v>8400</v>
      </c>
      <c r="B232" s="3021">
        <v>8450</v>
      </c>
      <c r="C232" s="3020">
        <v>843</v>
      </c>
      <c r="D232" s="3019">
        <v>843</v>
      </c>
      <c r="E232" s="3625">
        <v>843</v>
      </c>
      <c r="F232" s="3625">
        <v>843</v>
      </c>
    </row>
    <row r="233" spans="1:6" ht="15.75">
      <c r="A233" s="3021">
        <v>8450</v>
      </c>
      <c r="B233" s="3021">
        <v>8500</v>
      </c>
      <c r="C233" s="3020">
        <v>848</v>
      </c>
      <c r="D233" s="3019">
        <v>848</v>
      </c>
      <c r="E233" s="3625">
        <v>848</v>
      </c>
      <c r="F233" s="3625">
        <v>848</v>
      </c>
    </row>
    <row r="234" spans="1:6" ht="15.75">
      <c r="A234" s="3021">
        <v>8500</v>
      </c>
      <c r="B234" s="3021">
        <v>8550</v>
      </c>
      <c r="C234" s="3020">
        <v>853</v>
      </c>
      <c r="D234" s="3019">
        <v>853</v>
      </c>
      <c r="E234" s="3625">
        <v>853</v>
      </c>
      <c r="F234" s="3625">
        <v>853</v>
      </c>
    </row>
    <row r="235" spans="1:6" ht="15.75">
      <c r="A235" s="3021">
        <v>8550</v>
      </c>
      <c r="B235" s="3021">
        <v>8600</v>
      </c>
      <c r="C235" s="3020">
        <v>858</v>
      </c>
      <c r="D235" s="3019">
        <v>858</v>
      </c>
      <c r="E235" s="3625">
        <v>858</v>
      </c>
      <c r="F235" s="3625">
        <v>858</v>
      </c>
    </row>
    <row r="236" spans="1:6" ht="15.75">
      <c r="A236" s="3021">
        <v>8600</v>
      </c>
      <c r="B236" s="3021">
        <v>8650</v>
      </c>
      <c r="C236" s="3020">
        <v>863</v>
      </c>
      <c r="D236" s="3019">
        <v>863</v>
      </c>
      <c r="E236" s="3625">
        <v>863</v>
      </c>
      <c r="F236" s="3625">
        <v>863</v>
      </c>
    </row>
    <row r="237" spans="1:6" ht="15.75">
      <c r="A237" s="3021">
        <v>8650</v>
      </c>
      <c r="B237" s="3021">
        <v>8700</v>
      </c>
      <c r="C237" s="3020">
        <v>868</v>
      </c>
      <c r="D237" s="3019">
        <v>868</v>
      </c>
      <c r="E237" s="3625">
        <v>868</v>
      </c>
      <c r="F237" s="3625">
        <v>868</v>
      </c>
    </row>
    <row r="238" spans="1:6" ht="15.75">
      <c r="A238" s="3021">
        <v>8700</v>
      </c>
      <c r="B238" s="3021">
        <v>8750</v>
      </c>
      <c r="C238" s="3020">
        <v>873</v>
      </c>
      <c r="D238" s="3019">
        <v>873</v>
      </c>
      <c r="E238" s="3625">
        <v>873</v>
      </c>
      <c r="F238" s="3625">
        <v>873</v>
      </c>
    </row>
    <row r="239" spans="1:6" ht="15.75">
      <c r="A239" s="3021">
        <v>8750</v>
      </c>
      <c r="B239" s="3021">
        <v>8800</v>
      </c>
      <c r="C239" s="3020">
        <v>878</v>
      </c>
      <c r="D239" s="3019">
        <v>878</v>
      </c>
      <c r="E239" s="3625">
        <v>878</v>
      </c>
      <c r="F239" s="3625">
        <v>878</v>
      </c>
    </row>
    <row r="240" spans="1:6" ht="15.75">
      <c r="A240" s="3021">
        <v>8800</v>
      </c>
      <c r="B240" s="3021">
        <v>8850</v>
      </c>
      <c r="C240" s="3020">
        <v>883</v>
      </c>
      <c r="D240" s="3019">
        <v>883</v>
      </c>
      <c r="E240" s="3625">
        <v>883</v>
      </c>
      <c r="F240" s="3625">
        <v>883</v>
      </c>
    </row>
    <row r="241" spans="1:6" ht="15.75">
      <c r="A241" s="3021">
        <v>8850</v>
      </c>
      <c r="B241" s="3021">
        <v>8900</v>
      </c>
      <c r="C241" s="3020">
        <v>888</v>
      </c>
      <c r="D241" s="3019">
        <v>888</v>
      </c>
      <c r="E241" s="3625">
        <v>888</v>
      </c>
      <c r="F241" s="3625">
        <v>888</v>
      </c>
    </row>
    <row r="242" spans="1:6" ht="15.75">
      <c r="A242" s="3021">
        <v>8900</v>
      </c>
      <c r="B242" s="3021">
        <v>8950</v>
      </c>
      <c r="C242" s="3020">
        <v>893</v>
      </c>
      <c r="D242" s="3019">
        <v>893</v>
      </c>
      <c r="E242" s="3625">
        <v>893</v>
      </c>
      <c r="F242" s="3625">
        <v>893</v>
      </c>
    </row>
    <row r="243" spans="1:6" ht="15.75">
      <c r="A243" s="3021">
        <v>8950</v>
      </c>
      <c r="B243" s="3021">
        <v>9000</v>
      </c>
      <c r="C243" s="3020">
        <v>898</v>
      </c>
      <c r="D243" s="3019">
        <v>898</v>
      </c>
      <c r="E243" s="3625">
        <v>898</v>
      </c>
      <c r="F243" s="3625">
        <v>898</v>
      </c>
    </row>
    <row r="244" spans="1:6" ht="15.75">
      <c r="A244" s="3021">
        <v>9000</v>
      </c>
      <c r="B244" s="3021">
        <v>9050</v>
      </c>
      <c r="C244" s="3020">
        <v>903</v>
      </c>
      <c r="D244" s="3019">
        <v>903</v>
      </c>
      <c r="E244" s="3625">
        <v>903</v>
      </c>
      <c r="F244" s="3625">
        <v>903</v>
      </c>
    </row>
    <row r="245" spans="1:6" ht="15.75">
      <c r="A245" s="3021">
        <v>9050</v>
      </c>
      <c r="B245" s="3021">
        <v>9100</v>
      </c>
      <c r="C245" s="3020">
        <v>908</v>
      </c>
      <c r="D245" s="3019">
        <v>908</v>
      </c>
      <c r="E245" s="3625">
        <v>908</v>
      </c>
      <c r="F245" s="3625">
        <v>908</v>
      </c>
    </row>
    <row r="246" spans="1:6" ht="15.75">
      <c r="A246" s="3021">
        <v>9100</v>
      </c>
      <c r="B246" s="3021">
        <v>9150</v>
      </c>
      <c r="C246" s="3020">
        <v>913</v>
      </c>
      <c r="D246" s="3019">
        <v>913</v>
      </c>
      <c r="E246" s="3625">
        <v>913</v>
      </c>
      <c r="F246" s="3625">
        <v>913</v>
      </c>
    </row>
    <row r="247" spans="1:6" ht="15.75">
      <c r="A247" s="3021">
        <v>9150</v>
      </c>
      <c r="B247" s="3021">
        <v>9200</v>
      </c>
      <c r="C247" s="3020">
        <v>918</v>
      </c>
      <c r="D247" s="3019">
        <v>918</v>
      </c>
      <c r="E247" s="3625">
        <v>918</v>
      </c>
      <c r="F247" s="3625">
        <v>918</v>
      </c>
    </row>
    <row r="248" spans="1:6" ht="15.75">
      <c r="A248" s="3021">
        <v>9200</v>
      </c>
      <c r="B248" s="3021">
        <v>9250</v>
      </c>
      <c r="C248" s="3020">
        <v>923</v>
      </c>
      <c r="D248" s="3019">
        <v>923</v>
      </c>
      <c r="E248" s="3625">
        <v>923</v>
      </c>
      <c r="F248" s="3625">
        <v>923</v>
      </c>
    </row>
    <row r="249" spans="1:6" ht="15.75">
      <c r="A249" s="3021">
        <v>9250</v>
      </c>
      <c r="B249" s="3021">
        <v>9300</v>
      </c>
      <c r="C249" s="3020">
        <v>928</v>
      </c>
      <c r="D249" s="3019">
        <v>928</v>
      </c>
      <c r="E249" s="3625">
        <v>928</v>
      </c>
      <c r="F249" s="3625">
        <v>928</v>
      </c>
    </row>
    <row r="250" spans="1:6" ht="15.75">
      <c r="A250" s="3021">
        <v>9300</v>
      </c>
      <c r="B250" s="3021">
        <v>9350</v>
      </c>
      <c r="C250" s="3020">
        <v>935</v>
      </c>
      <c r="D250" s="3019">
        <v>933</v>
      </c>
      <c r="E250" s="3625">
        <v>935</v>
      </c>
      <c r="F250" s="3625">
        <v>933</v>
      </c>
    </row>
    <row r="251" spans="1:6" ht="15.75">
      <c r="A251" s="3021">
        <v>9350</v>
      </c>
      <c r="B251" s="3021">
        <v>9400</v>
      </c>
      <c r="C251" s="3020">
        <v>943</v>
      </c>
      <c r="D251" s="3019">
        <v>938</v>
      </c>
      <c r="E251" s="3625">
        <v>943</v>
      </c>
      <c r="F251" s="3625">
        <v>938</v>
      </c>
    </row>
    <row r="252" spans="1:6" ht="15.75">
      <c r="A252" s="3021">
        <v>9400</v>
      </c>
      <c r="B252" s="3021">
        <v>9450</v>
      </c>
      <c r="C252" s="3020">
        <v>950</v>
      </c>
      <c r="D252" s="3019">
        <v>943</v>
      </c>
      <c r="E252" s="3625">
        <v>950</v>
      </c>
      <c r="F252" s="3625">
        <v>943</v>
      </c>
    </row>
    <row r="253" spans="1:6" ht="15.75">
      <c r="A253" s="3021">
        <v>9450</v>
      </c>
      <c r="B253" s="3021">
        <v>9500</v>
      </c>
      <c r="C253" s="3020">
        <v>958</v>
      </c>
      <c r="D253" s="3019">
        <v>948</v>
      </c>
      <c r="E253" s="3625">
        <v>958</v>
      </c>
      <c r="F253" s="3625">
        <v>948</v>
      </c>
    </row>
    <row r="254" spans="1:6" ht="15.75">
      <c r="A254" s="3021">
        <v>9500</v>
      </c>
      <c r="B254" s="3021">
        <v>9550</v>
      </c>
      <c r="C254" s="3020">
        <v>965</v>
      </c>
      <c r="D254" s="3019">
        <v>953</v>
      </c>
      <c r="E254" s="3625">
        <v>965</v>
      </c>
      <c r="F254" s="3625">
        <v>953</v>
      </c>
    </row>
    <row r="255" spans="1:6" ht="15.75">
      <c r="A255" s="3021">
        <v>9550</v>
      </c>
      <c r="B255" s="3021">
        <v>9600</v>
      </c>
      <c r="C255" s="3020">
        <v>973</v>
      </c>
      <c r="D255" s="3019">
        <v>958</v>
      </c>
      <c r="E255" s="3625">
        <v>973</v>
      </c>
      <c r="F255" s="3625">
        <v>958</v>
      </c>
    </row>
    <row r="256" spans="1:6" ht="15.75">
      <c r="A256" s="3021">
        <v>9600</v>
      </c>
      <c r="B256" s="3021">
        <v>9650</v>
      </c>
      <c r="C256" s="3020">
        <v>980</v>
      </c>
      <c r="D256" s="3019">
        <v>963</v>
      </c>
      <c r="E256" s="3625">
        <v>980</v>
      </c>
      <c r="F256" s="3625">
        <v>963</v>
      </c>
    </row>
    <row r="257" spans="1:6" ht="15.75">
      <c r="A257" s="3021">
        <v>9650</v>
      </c>
      <c r="B257" s="3021">
        <v>9700</v>
      </c>
      <c r="C257" s="3020">
        <v>988</v>
      </c>
      <c r="D257" s="3019">
        <v>968</v>
      </c>
      <c r="E257" s="3625">
        <v>988</v>
      </c>
      <c r="F257" s="3625">
        <v>968</v>
      </c>
    </row>
    <row r="258" spans="1:6" ht="15.75">
      <c r="A258" s="3021">
        <v>9700</v>
      </c>
      <c r="B258" s="3021">
        <v>9750</v>
      </c>
      <c r="C258" s="3020">
        <v>995</v>
      </c>
      <c r="D258" s="3019">
        <v>973</v>
      </c>
      <c r="E258" s="3625">
        <v>995</v>
      </c>
      <c r="F258" s="3625">
        <v>973</v>
      </c>
    </row>
    <row r="259" spans="1:6" ht="15.75">
      <c r="A259" s="3021">
        <v>9750</v>
      </c>
      <c r="B259" s="3021">
        <v>9800</v>
      </c>
      <c r="C259" s="3981">
        <v>1003</v>
      </c>
      <c r="D259" s="3019">
        <v>978</v>
      </c>
      <c r="E259" s="3626">
        <v>1003</v>
      </c>
      <c r="F259" s="3625">
        <v>978</v>
      </c>
    </row>
    <row r="260" spans="1:6" ht="15.75">
      <c r="A260" s="3021">
        <v>9800</v>
      </c>
      <c r="B260" s="3021">
        <v>9850</v>
      </c>
      <c r="C260" s="3981">
        <v>1010</v>
      </c>
      <c r="D260" s="3019">
        <v>983</v>
      </c>
      <c r="E260" s="3626">
        <v>1010</v>
      </c>
      <c r="F260" s="3625">
        <v>983</v>
      </c>
    </row>
    <row r="261" spans="1:6" ht="15.75">
      <c r="A261" s="3021">
        <v>9850</v>
      </c>
      <c r="B261" s="3021">
        <v>9900</v>
      </c>
      <c r="C261" s="3981">
        <v>1018</v>
      </c>
      <c r="D261" s="3019">
        <v>988</v>
      </c>
      <c r="E261" s="3626">
        <v>1018</v>
      </c>
      <c r="F261" s="3625">
        <v>988</v>
      </c>
    </row>
    <row r="262" spans="1:6" ht="15.75">
      <c r="A262" s="3021">
        <v>9900</v>
      </c>
      <c r="B262" s="3021">
        <v>9950</v>
      </c>
      <c r="C262" s="3981">
        <v>1025</v>
      </c>
      <c r="D262" s="3019">
        <v>993</v>
      </c>
      <c r="E262" s="3626">
        <v>1025</v>
      </c>
      <c r="F262" s="3625">
        <v>993</v>
      </c>
    </row>
    <row r="263" spans="1:6" ht="15.75">
      <c r="A263" s="3021">
        <v>9950</v>
      </c>
      <c r="B263" s="3021">
        <v>10000</v>
      </c>
      <c r="C263" s="3981">
        <v>1033</v>
      </c>
      <c r="D263" s="3019">
        <v>998</v>
      </c>
      <c r="E263" s="3626">
        <v>1033</v>
      </c>
      <c r="F263" s="3625">
        <v>998</v>
      </c>
    </row>
    <row r="264" spans="1:6" ht="15.75">
      <c r="A264" s="3021">
        <v>10000</v>
      </c>
      <c r="B264" s="3021">
        <v>10050</v>
      </c>
      <c r="C264" s="3981">
        <v>1040</v>
      </c>
      <c r="D264" s="3021">
        <v>1003</v>
      </c>
      <c r="E264" s="3626">
        <v>1040</v>
      </c>
      <c r="F264" s="3626">
        <v>1003</v>
      </c>
    </row>
    <row r="265" spans="1:6" ht="15.75">
      <c r="A265" s="3021">
        <v>10050</v>
      </c>
      <c r="B265" s="3021">
        <v>10100</v>
      </c>
      <c r="C265" s="3981">
        <v>1048</v>
      </c>
      <c r="D265" s="3021">
        <v>1008</v>
      </c>
      <c r="E265" s="3626">
        <v>1048</v>
      </c>
      <c r="F265" s="3626">
        <v>1008</v>
      </c>
    </row>
    <row r="266" spans="1:6" ht="15.75">
      <c r="A266" s="3021">
        <v>10100</v>
      </c>
      <c r="B266" s="3021">
        <v>10150</v>
      </c>
      <c r="C266" s="3981">
        <v>1055</v>
      </c>
      <c r="D266" s="3021">
        <v>1013</v>
      </c>
      <c r="E266" s="3626">
        <v>1055</v>
      </c>
      <c r="F266" s="3626">
        <v>1013</v>
      </c>
    </row>
    <row r="267" spans="1:6" ht="15.75">
      <c r="A267" s="3021">
        <v>10150</v>
      </c>
      <c r="B267" s="3021">
        <v>10200</v>
      </c>
      <c r="C267" s="3981">
        <v>1063</v>
      </c>
      <c r="D267" s="3021">
        <v>1018</v>
      </c>
      <c r="E267" s="3626">
        <v>1063</v>
      </c>
      <c r="F267" s="3626">
        <v>1018</v>
      </c>
    </row>
    <row r="268" spans="1:6" ht="15.75">
      <c r="A268" s="3021">
        <v>10200</v>
      </c>
      <c r="B268" s="3021">
        <v>10250</v>
      </c>
      <c r="C268" s="3981">
        <v>1070</v>
      </c>
      <c r="D268" s="3021">
        <v>1023</v>
      </c>
      <c r="E268" s="3626">
        <v>1070</v>
      </c>
      <c r="F268" s="3626">
        <v>1023</v>
      </c>
    </row>
    <row r="269" spans="1:6" ht="15.75">
      <c r="A269" s="3021">
        <v>10250</v>
      </c>
      <c r="B269" s="3021">
        <v>10300</v>
      </c>
      <c r="C269" s="3981">
        <v>1078</v>
      </c>
      <c r="D269" s="3021">
        <v>1028</v>
      </c>
      <c r="E269" s="3626">
        <v>1078</v>
      </c>
      <c r="F269" s="3626">
        <v>1028</v>
      </c>
    </row>
    <row r="270" spans="1:6" ht="15.75">
      <c r="A270" s="3021">
        <v>10300</v>
      </c>
      <c r="B270" s="3021">
        <v>10350</v>
      </c>
      <c r="C270" s="3981">
        <v>1085</v>
      </c>
      <c r="D270" s="3021">
        <v>1033</v>
      </c>
      <c r="E270" s="3626">
        <v>1085</v>
      </c>
      <c r="F270" s="3626">
        <v>1033</v>
      </c>
    </row>
    <row r="271" spans="1:6" ht="15.75">
      <c r="A271" s="3021">
        <v>10350</v>
      </c>
      <c r="B271" s="3021">
        <v>10400</v>
      </c>
      <c r="C271" s="3981">
        <v>1093</v>
      </c>
      <c r="D271" s="3021">
        <v>1038</v>
      </c>
      <c r="E271" s="3626">
        <v>1093</v>
      </c>
      <c r="F271" s="3626">
        <v>1038</v>
      </c>
    </row>
    <row r="272" spans="1:6" ht="15.75">
      <c r="A272" s="3021">
        <v>10400</v>
      </c>
      <c r="B272" s="3021">
        <v>10450</v>
      </c>
      <c r="C272" s="3981">
        <v>1100</v>
      </c>
      <c r="D272" s="3021">
        <v>1043</v>
      </c>
      <c r="E272" s="3626">
        <v>1100</v>
      </c>
      <c r="F272" s="3626">
        <v>1043</v>
      </c>
    </row>
    <row r="273" spans="1:6" ht="15.75">
      <c r="A273" s="3021">
        <v>10450</v>
      </c>
      <c r="B273" s="3021">
        <v>10500</v>
      </c>
      <c r="C273" s="3981">
        <v>1108</v>
      </c>
      <c r="D273" s="3021">
        <v>1048</v>
      </c>
      <c r="E273" s="3626">
        <v>1108</v>
      </c>
      <c r="F273" s="3626">
        <v>1048</v>
      </c>
    </row>
    <row r="274" spans="1:6" ht="15.75">
      <c r="A274" s="3021">
        <v>10500</v>
      </c>
      <c r="B274" s="3021">
        <v>10550</v>
      </c>
      <c r="C274" s="3981">
        <v>1115</v>
      </c>
      <c r="D274" s="3021">
        <v>1053</v>
      </c>
      <c r="E274" s="3626">
        <v>1115</v>
      </c>
      <c r="F274" s="3626">
        <v>1053</v>
      </c>
    </row>
    <row r="275" spans="1:6" ht="15.75">
      <c r="A275" s="3021">
        <v>10550</v>
      </c>
      <c r="B275" s="3021">
        <v>10600</v>
      </c>
      <c r="C275" s="3981">
        <v>1123</v>
      </c>
      <c r="D275" s="3021">
        <v>1058</v>
      </c>
      <c r="E275" s="3626">
        <v>1123</v>
      </c>
      <c r="F275" s="3626">
        <v>1058</v>
      </c>
    </row>
    <row r="276" spans="1:6" ht="15.75">
      <c r="A276" s="3021">
        <v>10600</v>
      </c>
      <c r="B276" s="3021">
        <v>10650</v>
      </c>
      <c r="C276" s="3981">
        <v>1130</v>
      </c>
      <c r="D276" s="3021">
        <v>1063</v>
      </c>
      <c r="E276" s="3626">
        <v>1130</v>
      </c>
      <c r="F276" s="3626">
        <v>1063</v>
      </c>
    </row>
    <row r="277" spans="1:6" ht="15.75">
      <c r="A277" s="3021">
        <v>10650</v>
      </c>
      <c r="B277" s="3021">
        <v>10700</v>
      </c>
      <c r="C277" s="3981">
        <v>1138</v>
      </c>
      <c r="D277" s="3021">
        <v>1068</v>
      </c>
      <c r="E277" s="3626">
        <v>1138</v>
      </c>
      <c r="F277" s="3626">
        <v>1068</v>
      </c>
    </row>
    <row r="278" spans="1:6" ht="15.75">
      <c r="A278" s="3021">
        <v>10700</v>
      </c>
      <c r="B278" s="3021">
        <v>10750</v>
      </c>
      <c r="C278" s="3981">
        <v>1145</v>
      </c>
      <c r="D278" s="3021">
        <v>1073</v>
      </c>
      <c r="E278" s="3626">
        <v>1145</v>
      </c>
      <c r="F278" s="3626">
        <v>1073</v>
      </c>
    </row>
    <row r="279" spans="1:6" ht="15.75">
      <c r="A279" s="3021">
        <v>10750</v>
      </c>
      <c r="B279" s="3021">
        <v>10800</v>
      </c>
      <c r="C279" s="3981">
        <v>1153</v>
      </c>
      <c r="D279" s="3021">
        <v>1078</v>
      </c>
      <c r="E279" s="3626">
        <v>1153</v>
      </c>
      <c r="F279" s="3626">
        <v>1078</v>
      </c>
    </row>
    <row r="280" spans="1:6" ht="15.75">
      <c r="A280" s="3021">
        <v>10800</v>
      </c>
      <c r="B280" s="3021">
        <v>10850</v>
      </c>
      <c r="C280" s="3981">
        <v>1160</v>
      </c>
      <c r="D280" s="3021">
        <v>1083</v>
      </c>
      <c r="E280" s="3626">
        <v>1160</v>
      </c>
      <c r="F280" s="3626">
        <v>1083</v>
      </c>
    </row>
    <row r="281" spans="1:6" ht="15.75">
      <c r="A281" s="3021">
        <v>10850</v>
      </c>
      <c r="B281" s="3021">
        <v>10900</v>
      </c>
      <c r="C281" s="3981">
        <v>1168</v>
      </c>
      <c r="D281" s="3021">
        <v>1088</v>
      </c>
      <c r="E281" s="3626">
        <v>1168</v>
      </c>
      <c r="F281" s="3626">
        <v>1088</v>
      </c>
    </row>
    <row r="282" spans="1:6" ht="15.75">
      <c r="A282" s="3021">
        <v>10900</v>
      </c>
      <c r="B282" s="3021">
        <v>10950</v>
      </c>
      <c r="C282" s="3981">
        <v>1175</v>
      </c>
      <c r="D282" s="3021">
        <v>1093</v>
      </c>
      <c r="E282" s="3626">
        <v>1175</v>
      </c>
      <c r="F282" s="3626">
        <v>1093</v>
      </c>
    </row>
    <row r="283" spans="1:6" ht="15.75">
      <c r="A283" s="3021">
        <v>10950</v>
      </c>
      <c r="B283" s="3021">
        <v>11000</v>
      </c>
      <c r="C283" s="3981">
        <v>1183</v>
      </c>
      <c r="D283" s="3021">
        <v>1098</v>
      </c>
      <c r="E283" s="3626">
        <v>1183</v>
      </c>
      <c r="F283" s="3626">
        <v>1098</v>
      </c>
    </row>
    <row r="284" spans="1:6" ht="15.75">
      <c r="A284" s="3021">
        <v>11000</v>
      </c>
      <c r="B284" s="3021">
        <v>11050</v>
      </c>
      <c r="C284" s="3981">
        <v>1190</v>
      </c>
      <c r="D284" s="3021">
        <v>1103</v>
      </c>
      <c r="E284" s="3626">
        <v>1190</v>
      </c>
      <c r="F284" s="3626">
        <v>1103</v>
      </c>
    </row>
    <row r="285" spans="1:6" ht="15.75">
      <c r="A285" s="3021">
        <v>11050</v>
      </c>
      <c r="B285" s="3021">
        <v>11100</v>
      </c>
      <c r="C285" s="3981">
        <v>1198</v>
      </c>
      <c r="D285" s="3021">
        <v>1108</v>
      </c>
      <c r="E285" s="3626">
        <v>1198</v>
      </c>
      <c r="F285" s="3626">
        <v>1108</v>
      </c>
    </row>
    <row r="286" spans="1:6" ht="15.75">
      <c r="A286" s="3021">
        <v>11100</v>
      </c>
      <c r="B286" s="3021">
        <v>11150</v>
      </c>
      <c r="C286" s="3981">
        <v>1205</v>
      </c>
      <c r="D286" s="3021">
        <v>1113</v>
      </c>
      <c r="E286" s="3626">
        <v>1205</v>
      </c>
      <c r="F286" s="3626">
        <v>1113</v>
      </c>
    </row>
    <row r="287" spans="1:6" ht="15.75">
      <c r="A287" s="3021">
        <v>11150</v>
      </c>
      <c r="B287" s="3021">
        <v>11200</v>
      </c>
      <c r="C287" s="3981">
        <v>1213</v>
      </c>
      <c r="D287" s="3021">
        <v>1118</v>
      </c>
      <c r="E287" s="3626">
        <v>1213</v>
      </c>
      <c r="F287" s="3626">
        <v>1118</v>
      </c>
    </row>
    <row r="288" spans="1:6" ht="15.75">
      <c r="A288" s="3021">
        <v>11200</v>
      </c>
      <c r="B288" s="3021">
        <v>11250</v>
      </c>
      <c r="C288" s="3981">
        <v>1220</v>
      </c>
      <c r="D288" s="3021">
        <v>1123</v>
      </c>
      <c r="E288" s="3626">
        <v>1220</v>
      </c>
      <c r="F288" s="3626">
        <v>1123</v>
      </c>
    </row>
    <row r="289" spans="1:6" ht="15.75">
      <c r="A289" s="3021">
        <v>11250</v>
      </c>
      <c r="B289" s="3021">
        <v>11300</v>
      </c>
      <c r="C289" s="3981">
        <v>1228</v>
      </c>
      <c r="D289" s="3021">
        <v>1128</v>
      </c>
      <c r="E289" s="3626">
        <v>1228</v>
      </c>
      <c r="F289" s="3626">
        <v>1128</v>
      </c>
    </row>
    <row r="290" spans="1:6" ht="15.75">
      <c r="A290" s="3021">
        <v>11300</v>
      </c>
      <c r="B290" s="3021">
        <v>11350</v>
      </c>
      <c r="C290" s="3981">
        <v>1235</v>
      </c>
      <c r="D290" s="3021">
        <v>1133</v>
      </c>
      <c r="E290" s="3626">
        <v>1235</v>
      </c>
      <c r="F290" s="3626">
        <v>1133</v>
      </c>
    </row>
    <row r="291" spans="1:6" ht="15.75">
      <c r="A291" s="3021">
        <v>11350</v>
      </c>
      <c r="B291" s="3021">
        <v>11400</v>
      </c>
      <c r="C291" s="3981">
        <v>1243</v>
      </c>
      <c r="D291" s="3021">
        <v>1138</v>
      </c>
      <c r="E291" s="3626">
        <v>1243</v>
      </c>
      <c r="F291" s="3626">
        <v>1138</v>
      </c>
    </row>
    <row r="292" spans="1:6" ht="15.75">
      <c r="A292" s="3021">
        <v>11400</v>
      </c>
      <c r="B292" s="3021">
        <v>11450</v>
      </c>
      <c r="C292" s="3981">
        <v>1250</v>
      </c>
      <c r="D292" s="3021">
        <v>1143</v>
      </c>
      <c r="E292" s="3626">
        <v>1250</v>
      </c>
      <c r="F292" s="3626">
        <v>1143</v>
      </c>
    </row>
    <row r="293" spans="1:6" ht="15.75">
      <c r="A293" s="3021">
        <v>11450</v>
      </c>
      <c r="B293" s="3021">
        <v>11500</v>
      </c>
      <c r="C293" s="3981">
        <v>1258</v>
      </c>
      <c r="D293" s="3021">
        <v>1148</v>
      </c>
      <c r="E293" s="3626">
        <v>1258</v>
      </c>
      <c r="F293" s="3626">
        <v>1148</v>
      </c>
    </row>
    <row r="294" spans="1:6" ht="15.75">
      <c r="A294" s="3021">
        <v>11500</v>
      </c>
      <c r="B294" s="3021">
        <v>11550</v>
      </c>
      <c r="C294" s="3981">
        <v>1265</v>
      </c>
      <c r="D294" s="3021">
        <v>1153</v>
      </c>
      <c r="E294" s="3626">
        <v>1265</v>
      </c>
      <c r="F294" s="3626">
        <v>1153</v>
      </c>
    </row>
    <row r="295" spans="1:6" ht="15.75">
      <c r="A295" s="3021">
        <v>11550</v>
      </c>
      <c r="B295" s="3021">
        <v>11600</v>
      </c>
      <c r="C295" s="3981">
        <v>1273</v>
      </c>
      <c r="D295" s="3021">
        <v>1158</v>
      </c>
      <c r="E295" s="3626">
        <v>1273</v>
      </c>
      <c r="F295" s="3626">
        <v>1158</v>
      </c>
    </row>
    <row r="296" spans="1:6" ht="15.75">
      <c r="A296" s="3021">
        <v>11600</v>
      </c>
      <c r="B296" s="3021">
        <v>11650</v>
      </c>
      <c r="C296" s="3981">
        <v>1280</v>
      </c>
      <c r="D296" s="3021">
        <v>1163</v>
      </c>
      <c r="E296" s="3626">
        <v>1280</v>
      </c>
      <c r="F296" s="3626">
        <v>1163</v>
      </c>
    </row>
    <row r="297" spans="1:6" ht="15.75">
      <c r="A297" s="3021">
        <v>11650</v>
      </c>
      <c r="B297" s="3021">
        <v>11700</v>
      </c>
      <c r="C297" s="3981">
        <v>1288</v>
      </c>
      <c r="D297" s="3021">
        <v>1168</v>
      </c>
      <c r="E297" s="3626">
        <v>1288</v>
      </c>
      <c r="F297" s="3626">
        <v>1168</v>
      </c>
    </row>
    <row r="298" spans="1:6" ht="15.75">
      <c r="A298" s="3021">
        <v>11700</v>
      </c>
      <c r="B298" s="3021">
        <v>11750</v>
      </c>
      <c r="C298" s="3981">
        <v>1295</v>
      </c>
      <c r="D298" s="3021">
        <v>1173</v>
      </c>
      <c r="E298" s="3626">
        <v>1295</v>
      </c>
      <c r="F298" s="3626">
        <v>1173</v>
      </c>
    </row>
    <row r="299" spans="1:6" ht="15.75">
      <c r="A299" s="3021">
        <v>11750</v>
      </c>
      <c r="B299" s="3021">
        <v>11800</v>
      </c>
      <c r="C299" s="3981">
        <v>1303</v>
      </c>
      <c r="D299" s="3021">
        <v>1178</v>
      </c>
      <c r="E299" s="3626">
        <v>1303</v>
      </c>
      <c r="F299" s="3626">
        <v>1178</v>
      </c>
    </row>
    <row r="300" spans="1:6" ht="15.75">
      <c r="A300" s="3021">
        <v>11800</v>
      </c>
      <c r="B300" s="3021">
        <v>11850</v>
      </c>
      <c r="C300" s="3981">
        <v>1310</v>
      </c>
      <c r="D300" s="3021">
        <v>1183</v>
      </c>
      <c r="E300" s="3626">
        <v>1310</v>
      </c>
      <c r="F300" s="3626">
        <v>1183</v>
      </c>
    </row>
    <row r="301" spans="1:6" ht="15.75">
      <c r="A301" s="3021">
        <v>11850</v>
      </c>
      <c r="B301" s="3021">
        <v>11900</v>
      </c>
      <c r="C301" s="3981">
        <v>1318</v>
      </c>
      <c r="D301" s="3021">
        <v>1188</v>
      </c>
      <c r="E301" s="3626">
        <v>1318</v>
      </c>
      <c r="F301" s="3626">
        <v>1188</v>
      </c>
    </row>
    <row r="302" spans="1:6" ht="15.75">
      <c r="A302" s="3021">
        <v>11900</v>
      </c>
      <c r="B302" s="3021">
        <v>11950</v>
      </c>
      <c r="C302" s="3981">
        <v>1325</v>
      </c>
      <c r="D302" s="3021">
        <v>1193</v>
      </c>
      <c r="E302" s="3626">
        <v>1325</v>
      </c>
      <c r="F302" s="3626">
        <v>1193</v>
      </c>
    </row>
    <row r="303" spans="1:6" ht="15.75">
      <c r="A303" s="3021">
        <v>11950</v>
      </c>
      <c r="B303" s="3021">
        <v>12000</v>
      </c>
      <c r="C303" s="3981">
        <v>1333</v>
      </c>
      <c r="D303" s="3021">
        <v>1198</v>
      </c>
      <c r="E303" s="3626">
        <v>1333</v>
      </c>
      <c r="F303" s="3626">
        <v>1198</v>
      </c>
    </row>
    <row r="304" spans="1:6" ht="15.75">
      <c r="A304" s="3021">
        <v>12000</v>
      </c>
      <c r="B304" s="3021">
        <v>12050</v>
      </c>
      <c r="C304" s="3981">
        <v>1340</v>
      </c>
      <c r="D304" s="3021">
        <v>1203</v>
      </c>
      <c r="E304" s="3626">
        <v>1340</v>
      </c>
      <c r="F304" s="3626">
        <v>1203</v>
      </c>
    </row>
    <row r="305" spans="1:6" ht="15.75">
      <c r="A305" s="3021">
        <v>12050</v>
      </c>
      <c r="B305" s="3021">
        <v>12100</v>
      </c>
      <c r="C305" s="3981">
        <v>1348</v>
      </c>
      <c r="D305" s="3021">
        <v>1208</v>
      </c>
      <c r="E305" s="3626">
        <v>1348</v>
      </c>
      <c r="F305" s="3626">
        <v>1208</v>
      </c>
    </row>
    <row r="306" spans="1:6" ht="15.75">
      <c r="A306" s="3021">
        <v>12100</v>
      </c>
      <c r="B306" s="3021">
        <v>12150</v>
      </c>
      <c r="C306" s="3981">
        <v>1355</v>
      </c>
      <c r="D306" s="3021">
        <v>1213</v>
      </c>
      <c r="E306" s="3626">
        <v>1355</v>
      </c>
      <c r="F306" s="3626">
        <v>1213</v>
      </c>
    </row>
    <row r="307" spans="1:6" ht="15.75">
      <c r="A307" s="3021">
        <v>12150</v>
      </c>
      <c r="B307" s="3021">
        <v>12200</v>
      </c>
      <c r="C307" s="3981">
        <v>1363</v>
      </c>
      <c r="D307" s="3021">
        <v>1218</v>
      </c>
      <c r="E307" s="3626">
        <v>1363</v>
      </c>
      <c r="F307" s="3626">
        <v>1218</v>
      </c>
    </row>
    <row r="308" spans="1:6" ht="15.75">
      <c r="A308" s="3021">
        <v>12200</v>
      </c>
      <c r="B308" s="3021">
        <v>12250</v>
      </c>
      <c r="C308" s="3981">
        <v>1370</v>
      </c>
      <c r="D308" s="3021">
        <v>1223</v>
      </c>
      <c r="E308" s="3626">
        <v>1370</v>
      </c>
      <c r="F308" s="3626">
        <v>1223</v>
      </c>
    </row>
    <row r="309" spans="1:6" ht="15.75">
      <c r="A309" s="3021">
        <v>12250</v>
      </c>
      <c r="B309" s="3021">
        <v>12300</v>
      </c>
      <c r="C309" s="3981">
        <v>1378</v>
      </c>
      <c r="D309" s="3021">
        <v>1228</v>
      </c>
      <c r="E309" s="3626">
        <v>1378</v>
      </c>
      <c r="F309" s="3626">
        <v>1228</v>
      </c>
    </row>
    <row r="310" spans="1:6" ht="15.75">
      <c r="A310" s="3021">
        <v>12300</v>
      </c>
      <c r="B310" s="3021">
        <v>12350</v>
      </c>
      <c r="C310" s="3981">
        <v>1385</v>
      </c>
      <c r="D310" s="3021">
        <v>1233</v>
      </c>
      <c r="E310" s="3626">
        <v>1385</v>
      </c>
      <c r="F310" s="3626">
        <v>1233</v>
      </c>
    </row>
    <row r="311" spans="1:6" ht="15.75">
      <c r="A311" s="3021">
        <v>12350</v>
      </c>
      <c r="B311" s="3021">
        <v>12400</v>
      </c>
      <c r="C311" s="3981">
        <v>1393</v>
      </c>
      <c r="D311" s="3021">
        <v>1238</v>
      </c>
      <c r="E311" s="3626">
        <v>1393</v>
      </c>
      <c r="F311" s="3626">
        <v>1238</v>
      </c>
    </row>
    <row r="312" spans="1:6" ht="15.75">
      <c r="A312" s="3021">
        <v>12400</v>
      </c>
      <c r="B312" s="3021">
        <v>12450</v>
      </c>
      <c r="C312" s="3981">
        <v>1400</v>
      </c>
      <c r="D312" s="3021">
        <v>1243</v>
      </c>
      <c r="E312" s="3626">
        <v>1400</v>
      </c>
      <c r="F312" s="3626">
        <v>1243</v>
      </c>
    </row>
    <row r="313" spans="1:6" ht="15.75">
      <c r="A313" s="3021">
        <v>12450</v>
      </c>
      <c r="B313" s="3021">
        <v>12500</v>
      </c>
      <c r="C313" s="3981">
        <v>1408</v>
      </c>
      <c r="D313" s="3021">
        <v>1248</v>
      </c>
      <c r="E313" s="3626">
        <v>1408</v>
      </c>
      <c r="F313" s="3626">
        <v>1248</v>
      </c>
    </row>
    <row r="314" spans="1:6" ht="15.75">
      <c r="A314" s="3021">
        <v>12500</v>
      </c>
      <c r="B314" s="3021">
        <v>12550</v>
      </c>
      <c r="C314" s="3981">
        <v>1415</v>
      </c>
      <c r="D314" s="3021">
        <v>1253</v>
      </c>
      <c r="E314" s="3626">
        <v>1415</v>
      </c>
      <c r="F314" s="3626">
        <v>1253</v>
      </c>
    </row>
    <row r="315" spans="1:6" ht="15.75">
      <c r="A315" s="3021">
        <v>12550</v>
      </c>
      <c r="B315" s="3021">
        <v>12600</v>
      </c>
      <c r="C315" s="3981">
        <v>1423</v>
      </c>
      <c r="D315" s="3021">
        <v>1258</v>
      </c>
      <c r="E315" s="3626">
        <v>1423</v>
      </c>
      <c r="F315" s="3626">
        <v>1258</v>
      </c>
    </row>
    <row r="316" spans="1:6" ht="15.75">
      <c r="A316" s="3021">
        <v>12600</v>
      </c>
      <c r="B316" s="3021">
        <v>12650</v>
      </c>
      <c r="C316" s="3981">
        <v>1430</v>
      </c>
      <c r="D316" s="3021">
        <v>1263</v>
      </c>
      <c r="E316" s="3626">
        <v>1430</v>
      </c>
      <c r="F316" s="3626">
        <v>1263</v>
      </c>
    </row>
    <row r="317" spans="1:6" ht="15.75">
      <c r="A317" s="3021">
        <v>12650</v>
      </c>
      <c r="B317" s="3021">
        <v>12700</v>
      </c>
      <c r="C317" s="3981">
        <v>1438</v>
      </c>
      <c r="D317" s="3021">
        <v>1268</v>
      </c>
      <c r="E317" s="3626">
        <v>1438</v>
      </c>
      <c r="F317" s="3626">
        <v>1268</v>
      </c>
    </row>
    <row r="318" spans="1:6" ht="15.75">
      <c r="A318" s="3021">
        <v>12700</v>
      </c>
      <c r="B318" s="3021">
        <v>12750</v>
      </c>
      <c r="C318" s="3981">
        <v>1445</v>
      </c>
      <c r="D318" s="3021">
        <v>1273</v>
      </c>
      <c r="E318" s="3626">
        <v>1445</v>
      </c>
      <c r="F318" s="3626">
        <v>1273</v>
      </c>
    </row>
    <row r="319" spans="1:6" ht="15.75">
      <c r="A319" s="3021">
        <v>12750</v>
      </c>
      <c r="B319" s="3021">
        <v>12800</v>
      </c>
      <c r="C319" s="3981">
        <v>1453</v>
      </c>
      <c r="D319" s="3021">
        <v>1278</v>
      </c>
      <c r="E319" s="3626">
        <v>1453</v>
      </c>
      <c r="F319" s="3626">
        <v>1278</v>
      </c>
    </row>
    <row r="320" spans="1:6" ht="15.75">
      <c r="A320" s="3021">
        <v>12800</v>
      </c>
      <c r="B320" s="3021">
        <v>12850</v>
      </c>
      <c r="C320" s="3981">
        <v>1460</v>
      </c>
      <c r="D320" s="3021">
        <v>1283</v>
      </c>
      <c r="E320" s="3626">
        <v>1460</v>
      </c>
      <c r="F320" s="3626">
        <v>1283</v>
      </c>
    </row>
    <row r="321" spans="1:6" ht="15.75">
      <c r="A321" s="3021">
        <v>12850</v>
      </c>
      <c r="B321" s="3021">
        <v>12900</v>
      </c>
      <c r="C321" s="3981">
        <v>1468</v>
      </c>
      <c r="D321" s="3021">
        <v>1288</v>
      </c>
      <c r="E321" s="3626">
        <v>1468</v>
      </c>
      <c r="F321" s="3626">
        <v>1288</v>
      </c>
    </row>
    <row r="322" spans="1:6" ht="15.75">
      <c r="A322" s="3021">
        <v>12900</v>
      </c>
      <c r="B322" s="3021">
        <v>12950</v>
      </c>
      <c r="C322" s="3981">
        <v>1475</v>
      </c>
      <c r="D322" s="3021">
        <v>1293</v>
      </c>
      <c r="E322" s="3626">
        <v>1475</v>
      </c>
      <c r="F322" s="3626">
        <v>1293</v>
      </c>
    </row>
    <row r="323" spans="1:6" ht="15.75">
      <c r="A323" s="3021">
        <v>12950</v>
      </c>
      <c r="B323" s="3021">
        <v>13000</v>
      </c>
      <c r="C323" s="3981">
        <v>1483</v>
      </c>
      <c r="D323" s="3021">
        <v>1298</v>
      </c>
      <c r="E323" s="3626">
        <v>1483</v>
      </c>
      <c r="F323" s="3626">
        <v>1298</v>
      </c>
    </row>
    <row r="324" spans="1:6" ht="15.75">
      <c r="A324" s="3021">
        <v>13000</v>
      </c>
      <c r="B324" s="3021">
        <v>13050</v>
      </c>
      <c r="C324" s="3981">
        <v>1490</v>
      </c>
      <c r="D324" s="3626">
        <v>1303</v>
      </c>
      <c r="E324" s="3626">
        <v>1490</v>
      </c>
      <c r="F324" s="3626">
        <v>1303</v>
      </c>
    </row>
    <row r="325" spans="1:6" ht="15.75">
      <c r="A325" s="3021">
        <v>13050</v>
      </c>
      <c r="B325" s="3021">
        <v>13100</v>
      </c>
      <c r="C325" s="3981">
        <v>1498</v>
      </c>
      <c r="D325" s="3626">
        <v>1308</v>
      </c>
      <c r="E325" s="3626">
        <v>1498</v>
      </c>
      <c r="F325" s="3626">
        <v>1308</v>
      </c>
    </row>
    <row r="326" spans="1:6" ht="15.75">
      <c r="A326" s="3021">
        <v>13100</v>
      </c>
      <c r="B326" s="3021">
        <v>13150</v>
      </c>
      <c r="C326" s="3981">
        <v>1505</v>
      </c>
      <c r="D326" s="3626">
        <v>1313</v>
      </c>
      <c r="E326" s="3626">
        <v>1505</v>
      </c>
      <c r="F326" s="3626">
        <v>1313</v>
      </c>
    </row>
    <row r="327" spans="1:6" ht="15.75">
      <c r="A327" s="3021">
        <v>13150</v>
      </c>
      <c r="B327" s="3021">
        <v>13200</v>
      </c>
      <c r="C327" s="3981">
        <v>1513</v>
      </c>
      <c r="D327" s="3626">
        <v>1318</v>
      </c>
      <c r="E327" s="3626">
        <v>1513</v>
      </c>
      <c r="F327" s="3626">
        <v>1318</v>
      </c>
    </row>
    <row r="328" spans="1:6" ht="15.75">
      <c r="A328" s="3021">
        <v>13200</v>
      </c>
      <c r="B328" s="3021">
        <v>13250</v>
      </c>
      <c r="C328" s="3981">
        <v>1520</v>
      </c>
      <c r="D328" s="3626">
        <v>1323</v>
      </c>
      <c r="E328" s="3626">
        <v>1520</v>
      </c>
      <c r="F328" s="3626">
        <v>1323</v>
      </c>
    </row>
    <row r="329" spans="1:6" ht="15.75">
      <c r="A329" s="3021">
        <v>13250</v>
      </c>
      <c r="B329" s="3021">
        <v>13300</v>
      </c>
      <c r="C329" s="3981">
        <v>1528</v>
      </c>
      <c r="D329" s="3626">
        <v>1328</v>
      </c>
      <c r="E329" s="3626">
        <v>1528</v>
      </c>
      <c r="F329" s="3626">
        <v>1329</v>
      </c>
    </row>
    <row r="330" spans="1:6" ht="15.75">
      <c r="A330" s="3021">
        <v>13300</v>
      </c>
      <c r="B330" s="3021">
        <v>13350</v>
      </c>
      <c r="C330" s="3981">
        <v>1535</v>
      </c>
      <c r="D330" s="3626">
        <v>1333</v>
      </c>
      <c r="E330" s="3626">
        <v>1535</v>
      </c>
      <c r="F330" s="3626">
        <v>1336</v>
      </c>
    </row>
    <row r="331" spans="1:6" ht="15.75">
      <c r="A331" s="3021">
        <v>13350</v>
      </c>
      <c r="B331" s="3021">
        <v>13400</v>
      </c>
      <c r="C331" s="3981">
        <v>1543</v>
      </c>
      <c r="D331" s="3626">
        <v>1338</v>
      </c>
      <c r="E331" s="3626">
        <v>1543</v>
      </c>
      <c r="F331" s="3626">
        <v>1344</v>
      </c>
    </row>
    <row r="332" spans="1:6" ht="15.75">
      <c r="A332" s="3021">
        <v>13400</v>
      </c>
      <c r="B332" s="3021">
        <v>13450</v>
      </c>
      <c r="C332" s="3981">
        <v>1550</v>
      </c>
      <c r="D332" s="3626">
        <v>1343</v>
      </c>
      <c r="E332" s="3626">
        <v>1550</v>
      </c>
      <c r="F332" s="3626">
        <v>1351</v>
      </c>
    </row>
    <row r="333" spans="1:6" ht="15.75">
      <c r="A333" s="3021">
        <v>13450</v>
      </c>
      <c r="B333" s="3021">
        <v>13500</v>
      </c>
      <c r="C333" s="3981">
        <v>1558</v>
      </c>
      <c r="D333" s="3626">
        <v>1348</v>
      </c>
      <c r="E333" s="3626">
        <v>1558</v>
      </c>
      <c r="F333" s="3626">
        <v>1359</v>
      </c>
    </row>
    <row r="334" spans="1:6" ht="15.75">
      <c r="A334" s="3021">
        <v>13500</v>
      </c>
      <c r="B334" s="3021">
        <v>13550</v>
      </c>
      <c r="C334" s="3981">
        <v>1565</v>
      </c>
      <c r="D334" s="3626">
        <v>1353</v>
      </c>
      <c r="E334" s="3626">
        <v>1565</v>
      </c>
      <c r="F334" s="3626">
        <v>1366</v>
      </c>
    </row>
    <row r="335" spans="1:6" ht="15.75">
      <c r="A335" s="3021">
        <v>13550</v>
      </c>
      <c r="B335" s="3021">
        <v>13600</v>
      </c>
      <c r="C335" s="3981">
        <v>1573</v>
      </c>
      <c r="D335" s="3626">
        <v>1358</v>
      </c>
      <c r="E335" s="3626">
        <v>1573</v>
      </c>
      <c r="F335" s="3626">
        <v>1374</v>
      </c>
    </row>
    <row r="336" spans="1:6" ht="15.75">
      <c r="A336" s="3021">
        <v>13600</v>
      </c>
      <c r="B336" s="3021">
        <v>13650</v>
      </c>
      <c r="C336" s="3981">
        <v>1580</v>
      </c>
      <c r="D336" s="3626">
        <v>1363</v>
      </c>
      <c r="E336" s="3626">
        <v>1580</v>
      </c>
      <c r="F336" s="3626">
        <v>1381</v>
      </c>
    </row>
    <row r="337" spans="1:6" ht="15.75">
      <c r="A337" s="3021">
        <v>13650</v>
      </c>
      <c r="B337" s="3021">
        <v>13700</v>
      </c>
      <c r="C337" s="3981">
        <v>1588</v>
      </c>
      <c r="D337" s="3626">
        <v>1368</v>
      </c>
      <c r="E337" s="3626">
        <v>1588</v>
      </c>
      <c r="F337" s="3626">
        <v>1389</v>
      </c>
    </row>
    <row r="338" spans="1:6" ht="15.75">
      <c r="A338" s="3021">
        <v>13700</v>
      </c>
      <c r="B338" s="3021">
        <v>13750</v>
      </c>
      <c r="C338" s="3981">
        <v>1595</v>
      </c>
      <c r="D338" s="3626">
        <v>1373</v>
      </c>
      <c r="E338" s="3626">
        <v>1595</v>
      </c>
      <c r="F338" s="3626">
        <v>1396</v>
      </c>
    </row>
    <row r="339" spans="1:6" ht="15.75">
      <c r="A339" s="3021">
        <v>13750</v>
      </c>
      <c r="B339" s="3021">
        <v>13800</v>
      </c>
      <c r="C339" s="3981">
        <v>1603</v>
      </c>
      <c r="D339" s="3626">
        <v>1378</v>
      </c>
      <c r="E339" s="3626">
        <v>1603</v>
      </c>
      <c r="F339" s="3626">
        <v>1404</v>
      </c>
    </row>
    <row r="340" spans="1:6" ht="15.75">
      <c r="A340" s="3021">
        <v>13800</v>
      </c>
      <c r="B340" s="3021">
        <v>13850</v>
      </c>
      <c r="C340" s="3981">
        <v>1610</v>
      </c>
      <c r="D340" s="3626">
        <v>1383</v>
      </c>
      <c r="E340" s="3626">
        <v>1610</v>
      </c>
      <c r="F340" s="3626">
        <v>1411</v>
      </c>
    </row>
    <row r="341" spans="1:6" ht="15.75">
      <c r="A341" s="3021">
        <v>13850</v>
      </c>
      <c r="B341" s="3021">
        <v>13900</v>
      </c>
      <c r="C341" s="3981">
        <v>1618</v>
      </c>
      <c r="D341" s="3626">
        <v>1388</v>
      </c>
      <c r="E341" s="3626">
        <v>1618</v>
      </c>
      <c r="F341" s="3626">
        <v>1419</v>
      </c>
    </row>
    <row r="342" spans="1:6" ht="15.75">
      <c r="A342" s="3021">
        <v>13900</v>
      </c>
      <c r="B342" s="3021">
        <v>13950</v>
      </c>
      <c r="C342" s="3981">
        <v>1625</v>
      </c>
      <c r="D342" s="3626">
        <v>1393</v>
      </c>
      <c r="E342" s="3626">
        <v>1625</v>
      </c>
      <c r="F342" s="3626">
        <v>1426</v>
      </c>
    </row>
    <row r="343" spans="1:6" ht="15.75">
      <c r="A343" s="3021">
        <v>13950</v>
      </c>
      <c r="B343" s="3021">
        <v>14000</v>
      </c>
      <c r="C343" s="3981">
        <v>1633</v>
      </c>
      <c r="D343" s="3626">
        <v>1398</v>
      </c>
      <c r="E343" s="3626">
        <v>1633</v>
      </c>
      <c r="F343" s="3626">
        <v>1434</v>
      </c>
    </row>
    <row r="344" spans="1:6" ht="15.75">
      <c r="A344" s="3021">
        <v>14000</v>
      </c>
      <c r="B344" s="3021">
        <v>14050</v>
      </c>
      <c r="C344" s="3981">
        <v>1640</v>
      </c>
      <c r="D344" s="3626">
        <v>1403</v>
      </c>
      <c r="E344" s="3626">
        <v>1640</v>
      </c>
      <c r="F344" s="3626">
        <v>1441</v>
      </c>
    </row>
    <row r="345" spans="1:6" ht="15.75">
      <c r="A345" s="3021">
        <v>14050</v>
      </c>
      <c r="B345" s="3021">
        <v>14100</v>
      </c>
      <c r="C345" s="3981">
        <v>1648</v>
      </c>
      <c r="D345" s="3626">
        <v>1408</v>
      </c>
      <c r="E345" s="3626">
        <v>1648</v>
      </c>
      <c r="F345" s="3626">
        <v>1449</v>
      </c>
    </row>
    <row r="346" spans="1:6" ht="15.75">
      <c r="A346" s="3021">
        <v>14100</v>
      </c>
      <c r="B346" s="3021">
        <v>14150</v>
      </c>
      <c r="C346" s="3981">
        <v>1655</v>
      </c>
      <c r="D346" s="3626">
        <v>1413</v>
      </c>
      <c r="E346" s="3626">
        <v>1655</v>
      </c>
      <c r="F346" s="3626">
        <v>1456</v>
      </c>
    </row>
    <row r="347" spans="1:6" ht="15.75">
      <c r="A347" s="3021">
        <v>14150</v>
      </c>
      <c r="B347" s="3021">
        <v>14200</v>
      </c>
      <c r="C347" s="3981">
        <v>1663</v>
      </c>
      <c r="D347" s="3626">
        <v>1418</v>
      </c>
      <c r="E347" s="3626">
        <v>1663</v>
      </c>
      <c r="F347" s="3626">
        <v>1464</v>
      </c>
    </row>
    <row r="348" spans="1:6" ht="15.75">
      <c r="A348" s="3021">
        <v>14200</v>
      </c>
      <c r="B348" s="3021">
        <v>14250</v>
      </c>
      <c r="C348" s="3981">
        <v>1670</v>
      </c>
      <c r="D348" s="3626">
        <v>1423</v>
      </c>
      <c r="E348" s="3626">
        <v>1670</v>
      </c>
      <c r="F348" s="3626">
        <v>1471</v>
      </c>
    </row>
    <row r="349" spans="1:6" ht="15.75">
      <c r="A349" s="3021">
        <v>14250</v>
      </c>
      <c r="B349" s="3021">
        <v>14300</v>
      </c>
      <c r="C349" s="3981">
        <v>1678</v>
      </c>
      <c r="D349" s="3626">
        <v>1428</v>
      </c>
      <c r="E349" s="3626">
        <v>1678</v>
      </c>
      <c r="F349" s="3626">
        <v>1479</v>
      </c>
    </row>
    <row r="350" spans="1:6" ht="15.75">
      <c r="A350" s="3021">
        <v>14300</v>
      </c>
      <c r="B350" s="3021">
        <v>14350</v>
      </c>
      <c r="C350" s="3981">
        <v>1685</v>
      </c>
      <c r="D350" s="3626">
        <v>1433</v>
      </c>
      <c r="E350" s="3626">
        <v>1685</v>
      </c>
      <c r="F350" s="3626">
        <v>1486</v>
      </c>
    </row>
    <row r="351" spans="1:6" ht="15.75">
      <c r="A351" s="3021">
        <v>14350</v>
      </c>
      <c r="B351" s="3021">
        <v>14400</v>
      </c>
      <c r="C351" s="3981">
        <v>1693</v>
      </c>
      <c r="D351" s="3626">
        <v>1438</v>
      </c>
      <c r="E351" s="3626">
        <v>1693</v>
      </c>
      <c r="F351" s="3626">
        <v>1494</v>
      </c>
    </row>
    <row r="352" spans="1:6" ht="15.75">
      <c r="A352" s="3021">
        <v>14400</v>
      </c>
      <c r="B352" s="3021">
        <v>14450</v>
      </c>
      <c r="C352" s="3981">
        <v>1700</v>
      </c>
      <c r="D352" s="3626">
        <v>1443</v>
      </c>
      <c r="E352" s="3626">
        <v>1700</v>
      </c>
      <c r="F352" s="3626">
        <v>1501</v>
      </c>
    </row>
    <row r="353" spans="1:6" ht="15.75">
      <c r="A353" s="3021">
        <v>14450</v>
      </c>
      <c r="B353" s="3021">
        <v>14500</v>
      </c>
      <c r="C353" s="3981">
        <v>1708</v>
      </c>
      <c r="D353" s="3626">
        <v>1448</v>
      </c>
      <c r="E353" s="3626">
        <v>1708</v>
      </c>
      <c r="F353" s="3626">
        <v>1509</v>
      </c>
    </row>
    <row r="354" spans="1:6" ht="15.75">
      <c r="A354" s="3021">
        <v>14500</v>
      </c>
      <c r="B354" s="3021">
        <v>14550</v>
      </c>
      <c r="C354" s="3981">
        <v>1715</v>
      </c>
      <c r="D354" s="3626">
        <v>1453</v>
      </c>
      <c r="E354" s="3626">
        <v>1715</v>
      </c>
      <c r="F354" s="3626">
        <v>1516</v>
      </c>
    </row>
    <row r="355" spans="1:6" ht="15.75">
      <c r="A355" s="3021">
        <v>14550</v>
      </c>
      <c r="B355" s="3021">
        <v>14600</v>
      </c>
      <c r="C355" s="3981">
        <v>1723</v>
      </c>
      <c r="D355" s="3626">
        <v>1458</v>
      </c>
      <c r="E355" s="3626">
        <v>1723</v>
      </c>
      <c r="F355" s="3626">
        <v>1524</v>
      </c>
    </row>
    <row r="356" spans="1:6" ht="15.75">
      <c r="A356" s="3021">
        <v>14600</v>
      </c>
      <c r="B356" s="3021">
        <v>14650</v>
      </c>
      <c r="C356" s="3981">
        <v>1730</v>
      </c>
      <c r="D356" s="3626">
        <v>1463</v>
      </c>
      <c r="E356" s="3626">
        <v>1730</v>
      </c>
      <c r="F356" s="3626">
        <v>1531</v>
      </c>
    </row>
    <row r="357" spans="1:6" ht="15.75">
      <c r="A357" s="3021">
        <v>14650</v>
      </c>
      <c r="B357" s="3021">
        <v>14700</v>
      </c>
      <c r="C357" s="3981">
        <v>1738</v>
      </c>
      <c r="D357" s="3626">
        <v>1468</v>
      </c>
      <c r="E357" s="3626">
        <v>1738</v>
      </c>
      <c r="F357" s="3626">
        <v>1539</v>
      </c>
    </row>
    <row r="358" spans="1:6" ht="15.75">
      <c r="A358" s="3021">
        <v>14700</v>
      </c>
      <c r="B358" s="3021">
        <v>14750</v>
      </c>
      <c r="C358" s="3981">
        <v>1745</v>
      </c>
      <c r="D358" s="3626">
        <v>1473</v>
      </c>
      <c r="E358" s="3626">
        <v>1745</v>
      </c>
      <c r="F358" s="3626">
        <v>1546</v>
      </c>
    </row>
    <row r="359" spans="1:6" ht="15.75">
      <c r="A359" s="3021">
        <v>14750</v>
      </c>
      <c r="B359" s="3021">
        <v>14800</v>
      </c>
      <c r="C359" s="3981">
        <v>1753</v>
      </c>
      <c r="D359" s="3626">
        <v>1478</v>
      </c>
      <c r="E359" s="3626">
        <v>1753</v>
      </c>
      <c r="F359" s="3626">
        <v>1554</v>
      </c>
    </row>
    <row r="360" spans="1:6" ht="15.75">
      <c r="A360" s="3021">
        <v>14800</v>
      </c>
      <c r="B360" s="3021">
        <v>14850</v>
      </c>
      <c r="C360" s="3981">
        <v>1760</v>
      </c>
      <c r="D360" s="3626">
        <v>1483</v>
      </c>
      <c r="E360" s="3626">
        <v>1760</v>
      </c>
      <c r="F360" s="3626">
        <v>1561</v>
      </c>
    </row>
    <row r="361" spans="1:6" ht="15.75">
      <c r="A361" s="3021">
        <v>14850</v>
      </c>
      <c r="B361" s="3021">
        <v>14900</v>
      </c>
      <c r="C361" s="3981">
        <v>1768</v>
      </c>
      <c r="D361" s="3626">
        <v>1488</v>
      </c>
      <c r="E361" s="3626">
        <v>1768</v>
      </c>
      <c r="F361" s="3626">
        <v>1569</v>
      </c>
    </row>
    <row r="362" spans="1:6" ht="15.75">
      <c r="A362" s="3021">
        <v>14900</v>
      </c>
      <c r="B362" s="3021">
        <v>14950</v>
      </c>
      <c r="C362" s="3981">
        <v>1775</v>
      </c>
      <c r="D362" s="3626">
        <v>1493</v>
      </c>
      <c r="E362" s="3626">
        <v>1775</v>
      </c>
      <c r="F362" s="3626">
        <v>1576</v>
      </c>
    </row>
    <row r="363" spans="1:6" ht="15.75">
      <c r="A363" s="3021">
        <v>14950</v>
      </c>
      <c r="B363" s="3021">
        <v>15000</v>
      </c>
      <c r="C363" s="3981">
        <v>1783</v>
      </c>
      <c r="D363" s="3626">
        <v>1498</v>
      </c>
      <c r="E363" s="3626">
        <v>1783</v>
      </c>
      <c r="F363" s="3626">
        <v>1584</v>
      </c>
    </row>
    <row r="364" spans="1:6" ht="15.75">
      <c r="A364" s="3021">
        <v>15000</v>
      </c>
      <c r="B364" s="3021">
        <v>15050</v>
      </c>
      <c r="C364" s="3981">
        <v>1790</v>
      </c>
      <c r="D364" s="3626">
        <v>1503</v>
      </c>
      <c r="E364" s="3626">
        <v>1790</v>
      </c>
      <c r="F364" s="3626">
        <v>1591</v>
      </c>
    </row>
    <row r="365" spans="1:6" ht="15.75">
      <c r="A365" s="3021">
        <v>15050</v>
      </c>
      <c r="B365" s="3021">
        <v>15100</v>
      </c>
      <c r="C365" s="3981">
        <v>1798</v>
      </c>
      <c r="D365" s="3626">
        <v>1508</v>
      </c>
      <c r="E365" s="3626">
        <v>1798</v>
      </c>
      <c r="F365" s="3626">
        <v>1599</v>
      </c>
    </row>
    <row r="366" spans="1:6" ht="15.75">
      <c r="A366" s="3021">
        <v>15100</v>
      </c>
      <c r="B366" s="3021">
        <v>15150</v>
      </c>
      <c r="C366" s="3981">
        <v>1805</v>
      </c>
      <c r="D366" s="3626">
        <v>1513</v>
      </c>
      <c r="E366" s="3626">
        <v>1805</v>
      </c>
      <c r="F366" s="3626">
        <v>1606</v>
      </c>
    </row>
    <row r="367" spans="1:6" ht="15.75">
      <c r="A367" s="3021">
        <v>15150</v>
      </c>
      <c r="B367" s="3021">
        <v>15200</v>
      </c>
      <c r="C367" s="3981">
        <v>1813</v>
      </c>
      <c r="D367" s="3626">
        <v>1518</v>
      </c>
      <c r="E367" s="3626">
        <v>1813</v>
      </c>
      <c r="F367" s="3626">
        <v>1614</v>
      </c>
    </row>
    <row r="368" spans="1:6" ht="15.75">
      <c r="A368" s="3021">
        <v>15200</v>
      </c>
      <c r="B368" s="3021">
        <v>15250</v>
      </c>
      <c r="C368" s="3981">
        <v>1820</v>
      </c>
      <c r="D368" s="3626">
        <v>1523</v>
      </c>
      <c r="E368" s="3626">
        <v>1820</v>
      </c>
      <c r="F368" s="3626">
        <v>1621</v>
      </c>
    </row>
    <row r="369" spans="1:6" ht="15.75">
      <c r="A369" s="3021">
        <v>15250</v>
      </c>
      <c r="B369" s="3021">
        <v>15300</v>
      </c>
      <c r="C369" s="3981">
        <v>1828</v>
      </c>
      <c r="D369" s="3626">
        <v>1528</v>
      </c>
      <c r="E369" s="3626">
        <v>1828</v>
      </c>
      <c r="F369" s="3626">
        <v>1629</v>
      </c>
    </row>
    <row r="370" spans="1:6" ht="15.75">
      <c r="A370" s="3021">
        <v>15300</v>
      </c>
      <c r="B370" s="3021">
        <v>15350</v>
      </c>
      <c r="C370" s="3981">
        <v>1835</v>
      </c>
      <c r="D370" s="3626">
        <v>1533</v>
      </c>
      <c r="E370" s="3626">
        <v>1835</v>
      </c>
      <c r="F370" s="3626">
        <v>1636</v>
      </c>
    </row>
    <row r="371" spans="1:6" ht="15.75">
      <c r="A371" s="3021">
        <v>15350</v>
      </c>
      <c r="B371" s="3021">
        <v>15400</v>
      </c>
      <c r="C371" s="3981">
        <v>1843</v>
      </c>
      <c r="D371" s="3626">
        <v>1538</v>
      </c>
      <c r="E371" s="3626">
        <v>1843</v>
      </c>
      <c r="F371" s="3626">
        <v>1644</v>
      </c>
    </row>
    <row r="372" spans="1:6" ht="15.75">
      <c r="A372" s="3021">
        <v>15400</v>
      </c>
      <c r="B372" s="3021">
        <v>15450</v>
      </c>
      <c r="C372" s="3981">
        <v>1850</v>
      </c>
      <c r="D372" s="3626">
        <v>1543</v>
      </c>
      <c r="E372" s="3626">
        <v>1850</v>
      </c>
      <c r="F372" s="3626">
        <v>1651</v>
      </c>
    </row>
    <row r="373" spans="1:6" ht="15.75">
      <c r="A373" s="3021">
        <v>15450</v>
      </c>
      <c r="B373" s="3021">
        <v>15500</v>
      </c>
      <c r="C373" s="3981">
        <v>1858</v>
      </c>
      <c r="D373" s="3626">
        <v>1548</v>
      </c>
      <c r="E373" s="3626">
        <v>1858</v>
      </c>
      <c r="F373" s="3626">
        <v>1659</v>
      </c>
    </row>
    <row r="374" spans="1:6" ht="15.75">
      <c r="A374" s="3021">
        <v>15500</v>
      </c>
      <c r="B374" s="3021">
        <v>15550</v>
      </c>
      <c r="C374" s="3981">
        <v>1865</v>
      </c>
      <c r="D374" s="3626">
        <v>1553</v>
      </c>
      <c r="E374" s="3626">
        <v>1865</v>
      </c>
      <c r="F374" s="3626">
        <v>1666</v>
      </c>
    </row>
    <row r="375" spans="1:6" ht="15.75">
      <c r="A375" s="3021">
        <v>15550</v>
      </c>
      <c r="B375" s="3021">
        <v>15600</v>
      </c>
      <c r="C375" s="3981">
        <v>1873</v>
      </c>
      <c r="D375" s="3626">
        <v>1558</v>
      </c>
      <c r="E375" s="3626">
        <v>1873</v>
      </c>
      <c r="F375" s="3626">
        <v>1674</v>
      </c>
    </row>
    <row r="376" spans="1:6" ht="15.75">
      <c r="A376" s="3021">
        <v>15600</v>
      </c>
      <c r="B376" s="3021">
        <v>15650</v>
      </c>
      <c r="C376" s="3981">
        <v>1880</v>
      </c>
      <c r="D376" s="3626">
        <v>1563</v>
      </c>
      <c r="E376" s="3626">
        <v>1880</v>
      </c>
      <c r="F376" s="3626">
        <v>1681</v>
      </c>
    </row>
    <row r="377" spans="1:6" ht="15.75">
      <c r="A377" s="3021">
        <v>15650</v>
      </c>
      <c r="B377" s="3021">
        <v>15700</v>
      </c>
      <c r="C377" s="3981">
        <v>1888</v>
      </c>
      <c r="D377" s="3626">
        <v>1568</v>
      </c>
      <c r="E377" s="3626">
        <v>1888</v>
      </c>
      <c r="F377" s="3626">
        <v>1689</v>
      </c>
    </row>
    <row r="378" spans="1:6" ht="15.75">
      <c r="A378" s="3021">
        <v>15700</v>
      </c>
      <c r="B378" s="3021">
        <v>15750</v>
      </c>
      <c r="C378" s="3981">
        <v>1895</v>
      </c>
      <c r="D378" s="3626">
        <v>1573</v>
      </c>
      <c r="E378" s="3626">
        <v>1895</v>
      </c>
      <c r="F378" s="3626">
        <v>1696</v>
      </c>
    </row>
    <row r="379" spans="1:6" ht="15.75">
      <c r="A379" s="3021">
        <v>15750</v>
      </c>
      <c r="B379" s="3021">
        <v>15800</v>
      </c>
      <c r="C379" s="3981">
        <v>1903</v>
      </c>
      <c r="D379" s="3626">
        <v>1578</v>
      </c>
      <c r="E379" s="3626">
        <v>1903</v>
      </c>
      <c r="F379" s="3626">
        <v>1704</v>
      </c>
    </row>
    <row r="380" spans="1:6" ht="15.75">
      <c r="A380" s="3021">
        <v>15800</v>
      </c>
      <c r="B380" s="3021">
        <v>15850</v>
      </c>
      <c r="C380" s="3981">
        <v>1910</v>
      </c>
      <c r="D380" s="3626">
        <v>1583</v>
      </c>
      <c r="E380" s="3626">
        <v>1910</v>
      </c>
      <c r="F380" s="3626">
        <v>1711</v>
      </c>
    </row>
    <row r="381" spans="1:6" ht="15.75">
      <c r="A381" s="3021">
        <v>15850</v>
      </c>
      <c r="B381" s="3021">
        <v>15900</v>
      </c>
      <c r="C381" s="3981">
        <v>1918</v>
      </c>
      <c r="D381" s="3626">
        <v>1588</v>
      </c>
      <c r="E381" s="3626">
        <v>1918</v>
      </c>
      <c r="F381" s="3626">
        <v>1719</v>
      </c>
    </row>
    <row r="382" spans="1:6" ht="15.75">
      <c r="A382" s="3021">
        <v>15900</v>
      </c>
      <c r="B382" s="3021">
        <v>15950</v>
      </c>
      <c r="C382" s="3981">
        <v>1925</v>
      </c>
      <c r="D382" s="3626">
        <v>1593</v>
      </c>
      <c r="E382" s="3626">
        <v>1925</v>
      </c>
      <c r="F382" s="3626">
        <v>1726</v>
      </c>
    </row>
    <row r="383" spans="1:6" ht="15.75">
      <c r="A383" s="3021">
        <v>15950</v>
      </c>
      <c r="B383" s="3021">
        <v>16000</v>
      </c>
      <c r="C383" s="3981">
        <v>1933</v>
      </c>
      <c r="D383" s="3626">
        <v>1598</v>
      </c>
      <c r="E383" s="3626">
        <v>1933</v>
      </c>
      <c r="F383" s="3626">
        <v>1734</v>
      </c>
    </row>
    <row r="384" spans="1:6" ht="15.75">
      <c r="A384" s="3021">
        <v>16000</v>
      </c>
      <c r="B384" s="3021">
        <v>16050</v>
      </c>
      <c r="C384" s="3981">
        <v>1940</v>
      </c>
      <c r="D384" s="3626">
        <v>1603</v>
      </c>
      <c r="E384" s="3626">
        <v>1940</v>
      </c>
      <c r="F384" s="3626">
        <v>1741</v>
      </c>
    </row>
    <row r="385" spans="1:6" ht="15.75">
      <c r="A385" s="3021">
        <v>16050</v>
      </c>
      <c r="B385" s="3021">
        <v>16100</v>
      </c>
      <c r="C385" s="3981">
        <v>1948</v>
      </c>
      <c r="D385" s="3626">
        <v>1608</v>
      </c>
      <c r="E385" s="3626">
        <v>1948</v>
      </c>
      <c r="F385" s="3626">
        <v>1749</v>
      </c>
    </row>
    <row r="386" spans="1:6" ht="15.75">
      <c r="A386" s="3021">
        <v>16100</v>
      </c>
      <c r="B386" s="3021">
        <v>16150</v>
      </c>
      <c r="C386" s="3981">
        <v>1955</v>
      </c>
      <c r="D386" s="3626">
        <v>1613</v>
      </c>
      <c r="E386" s="3626">
        <v>1955</v>
      </c>
      <c r="F386" s="3626">
        <v>1756</v>
      </c>
    </row>
    <row r="387" spans="1:6" ht="15.75">
      <c r="A387" s="3021">
        <v>16150</v>
      </c>
      <c r="B387" s="3021">
        <v>16200</v>
      </c>
      <c r="C387" s="3981">
        <v>1963</v>
      </c>
      <c r="D387" s="3626">
        <v>1618</v>
      </c>
      <c r="E387" s="3626">
        <v>1963</v>
      </c>
      <c r="F387" s="3626">
        <v>1764</v>
      </c>
    </row>
    <row r="388" spans="1:6" ht="15.75">
      <c r="A388" s="3021">
        <v>16200</v>
      </c>
      <c r="B388" s="3021">
        <v>16250</v>
      </c>
      <c r="C388" s="3981">
        <v>1970</v>
      </c>
      <c r="D388" s="3626">
        <v>1623</v>
      </c>
      <c r="E388" s="3626">
        <v>1970</v>
      </c>
      <c r="F388" s="3626">
        <v>1771</v>
      </c>
    </row>
    <row r="389" spans="1:6" ht="15.75">
      <c r="A389" s="3021">
        <v>16250</v>
      </c>
      <c r="B389" s="3021">
        <v>16300</v>
      </c>
      <c r="C389" s="3981">
        <v>1978</v>
      </c>
      <c r="D389" s="3626">
        <v>1628</v>
      </c>
      <c r="E389" s="3626">
        <v>1978</v>
      </c>
      <c r="F389" s="3626">
        <v>1779</v>
      </c>
    </row>
    <row r="390" spans="1:6" ht="15.75">
      <c r="A390" s="3021">
        <v>16300</v>
      </c>
      <c r="B390" s="3021">
        <v>16350</v>
      </c>
      <c r="C390" s="3981">
        <v>1985</v>
      </c>
      <c r="D390" s="3626">
        <v>1633</v>
      </c>
      <c r="E390" s="3626">
        <v>1985</v>
      </c>
      <c r="F390" s="3626">
        <v>1786</v>
      </c>
    </row>
    <row r="391" spans="1:6" ht="15.75">
      <c r="A391" s="3021">
        <v>16350</v>
      </c>
      <c r="B391" s="3021">
        <v>16400</v>
      </c>
      <c r="C391" s="3981">
        <v>1993</v>
      </c>
      <c r="D391" s="3626">
        <v>1638</v>
      </c>
      <c r="E391" s="3626">
        <v>1993</v>
      </c>
      <c r="F391" s="3626">
        <v>1794</v>
      </c>
    </row>
    <row r="392" spans="1:6" ht="15.75">
      <c r="A392" s="3021">
        <v>16400</v>
      </c>
      <c r="B392" s="3021">
        <v>16450</v>
      </c>
      <c r="C392" s="3981">
        <v>2000</v>
      </c>
      <c r="D392" s="3626">
        <v>1643</v>
      </c>
      <c r="E392" s="3626">
        <v>2000</v>
      </c>
      <c r="F392" s="3626">
        <v>1801</v>
      </c>
    </row>
    <row r="393" spans="1:6" ht="15.75">
      <c r="A393" s="3021">
        <v>16450</v>
      </c>
      <c r="B393" s="3021">
        <v>16500</v>
      </c>
      <c r="C393" s="3981">
        <v>2008</v>
      </c>
      <c r="D393" s="3626">
        <v>1648</v>
      </c>
      <c r="E393" s="3626">
        <v>2008</v>
      </c>
      <c r="F393" s="3626">
        <v>1809</v>
      </c>
    </row>
    <row r="394" spans="1:6" ht="15.75">
      <c r="A394" s="3021">
        <v>16500</v>
      </c>
      <c r="B394" s="3021">
        <v>16550</v>
      </c>
      <c r="C394" s="3981">
        <v>2015</v>
      </c>
      <c r="D394" s="3626">
        <v>1653</v>
      </c>
      <c r="E394" s="3626">
        <v>2015</v>
      </c>
      <c r="F394" s="3626">
        <v>1816</v>
      </c>
    </row>
    <row r="395" spans="1:6" ht="15.75">
      <c r="A395" s="3021">
        <v>16550</v>
      </c>
      <c r="B395" s="3021">
        <v>16600</v>
      </c>
      <c r="C395" s="3981">
        <v>2023</v>
      </c>
      <c r="D395" s="3626">
        <v>1658</v>
      </c>
      <c r="E395" s="3626">
        <v>2023</v>
      </c>
      <c r="F395" s="3626">
        <v>1824</v>
      </c>
    </row>
    <row r="396" spans="1:6" ht="15.75">
      <c r="A396" s="3021">
        <v>16600</v>
      </c>
      <c r="B396" s="3021">
        <v>16650</v>
      </c>
      <c r="C396" s="3981">
        <v>2030</v>
      </c>
      <c r="D396" s="3626">
        <v>1663</v>
      </c>
      <c r="E396" s="3626">
        <v>2030</v>
      </c>
      <c r="F396" s="3626">
        <v>1831</v>
      </c>
    </row>
    <row r="397" spans="1:6" ht="15.75">
      <c r="A397" s="3021">
        <v>16650</v>
      </c>
      <c r="B397" s="3021">
        <v>16700</v>
      </c>
      <c r="C397" s="3981">
        <v>2038</v>
      </c>
      <c r="D397" s="3626">
        <v>1668</v>
      </c>
      <c r="E397" s="3626">
        <v>2038</v>
      </c>
      <c r="F397" s="3626">
        <v>1839</v>
      </c>
    </row>
    <row r="398" spans="1:6" ht="15.75">
      <c r="A398" s="3021">
        <v>16700</v>
      </c>
      <c r="B398" s="3021">
        <v>16750</v>
      </c>
      <c r="C398" s="3981">
        <v>2045</v>
      </c>
      <c r="D398" s="3626">
        <v>1673</v>
      </c>
      <c r="E398" s="3626">
        <v>2045</v>
      </c>
      <c r="F398" s="3626">
        <v>1846</v>
      </c>
    </row>
    <row r="399" spans="1:6" ht="15.75">
      <c r="A399" s="3021">
        <v>16750</v>
      </c>
      <c r="B399" s="3021">
        <v>16800</v>
      </c>
      <c r="C399" s="3981">
        <v>2053</v>
      </c>
      <c r="D399" s="3626">
        <v>1678</v>
      </c>
      <c r="E399" s="3626">
        <v>2053</v>
      </c>
      <c r="F399" s="3626">
        <v>1854</v>
      </c>
    </row>
    <row r="400" spans="1:6" ht="15.75">
      <c r="A400" s="3021">
        <v>16800</v>
      </c>
      <c r="B400" s="3021">
        <v>16850</v>
      </c>
      <c r="C400" s="3981">
        <v>2060</v>
      </c>
      <c r="D400" s="3626">
        <v>1683</v>
      </c>
      <c r="E400" s="3626">
        <v>2060</v>
      </c>
      <c r="F400" s="3626">
        <v>1861</v>
      </c>
    </row>
    <row r="401" spans="1:6" ht="15.75">
      <c r="A401" s="3021">
        <v>16850</v>
      </c>
      <c r="B401" s="3021">
        <v>16900</v>
      </c>
      <c r="C401" s="3981">
        <v>2068</v>
      </c>
      <c r="D401" s="3626">
        <v>1688</v>
      </c>
      <c r="E401" s="3626">
        <v>2068</v>
      </c>
      <c r="F401" s="3626">
        <v>1869</v>
      </c>
    </row>
    <row r="402" spans="1:6" ht="15.75">
      <c r="A402" s="3021">
        <v>16900</v>
      </c>
      <c r="B402" s="3021">
        <v>16950</v>
      </c>
      <c r="C402" s="3981">
        <v>2075</v>
      </c>
      <c r="D402" s="3626">
        <v>1693</v>
      </c>
      <c r="E402" s="3626">
        <v>2075</v>
      </c>
      <c r="F402" s="3626">
        <v>1876</v>
      </c>
    </row>
    <row r="403" spans="1:6" ht="15.75">
      <c r="A403" s="3021">
        <v>16950</v>
      </c>
      <c r="B403" s="3021">
        <v>17000</v>
      </c>
      <c r="C403" s="3981">
        <v>2083</v>
      </c>
      <c r="D403" s="3626">
        <v>1698</v>
      </c>
      <c r="E403" s="3626">
        <v>2083</v>
      </c>
      <c r="F403" s="3626">
        <v>1884</v>
      </c>
    </row>
    <row r="404" spans="1:6" ht="15.75">
      <c r="A404" s="3021">
        <v>17000</v>
      </c>
      <c r="B404" s="3021">
        <v>17050</v>
      </c>
      <c r="C404" s="3981">
        <v>2090</v>
      </c>
      <c r="D404" s="3626">
        <v>1703</v>
      </c>
      <c r="E404" s="3626">
        <v>2090</v>
      </c>
      <c r="F404" s="3626">
        <v>1891</v>
      </c>
    </row>
    <row r="405" spans="1:6" ht="15.75">
      <c r="A405" s="3021">
        <v>17050</v>
      </c>
      <c r="B405" s="3021">
        <v>17100</v>
      </c>
      <c r="C405" s="3981">
        <v>2098</v>
      </c>
      <c r="D405" s="3626">
        <v>1708</v>
      </c>
      <c r="E405" s="3626">
        <v>2098</v>
      </c>
      <c r="F405" s="3626">
        <v>1899</v>
      </c>
    </row>
    <row r="406" spans="1:6" ht="15.75">
      <c r="A406" s="3021">
        <v>17100</v>
      </c>
      <c r="B406" s="3021">
        <v>17150</v>
      </c>
      <c r="C406" s="3981">
        <v>2105</v>
      </c>
      <c r="D406" s="3626">
        <v>1713</v>
      </c>
      <c r="E406" s="3626">
        <v>2105</v>
      </c>
      <c r="F406" s="3626">
        <v>1906</v>
      </c>
    </row>
    <row r="407" spans="1:6" ht="15.75">
      <c r="A407" s="3021">
        <v>17150</v>
      </c>
      <c r="B407" s="3021">
        <v>17200</v>
      </c>
      <c r="C407" s="3981">
        <v>2113</v>
      </c>
      <c r="D407" s="3626">
        <v>1718</v>
      </c>
      <c r="E407" s="3626">
        <v>2113</v>
      </c>
      <c r="F407" s="3626">
        <v>1914</v>
      </c>
    </row>
    <row r="408" spans="1:6" ht="15.75">
      <c r="A408" s="3021">
        <v>17200</v>
      </c>
      <c r="B408" s="3021">
        <v>17250</v>
      </c>
      <c r="C408" s="3981">
        <v>2120</v>
      </c>
      <c r="D408" s="3626">
        <v>1723</v>
      </c>
      <c r="E408" s="3626">
        <v>2120</v>
      </c>
      <c r="F408" s="3626">
        <v>1921</v>
      </c>
    </row>
    <row r="409" spans="1:6" ht="15.75">
      <c r="A409" s="3021">
        <v>17250</v>
      </c>
      <c r="B409" s="3021">
        <v>17300</v>
      </c>
      <c r="C409" s="3981">
        <v>2128</v>
      </c>
      <c r="D409" s="3626">
        <v>1728</v>
      </c>
      <c r="E409" s="3626">
        <v>2128</v>
      </c>
      <c r="F409" s="3626">
        <v>1929</v>
      </c>
    </row>
    <row r="410" spans="1:6" ht="15.75">
      <c r="A410" s="3021">
        <v>17300</v>
      </c>
      <c r="B410" s="3021">
        <v>17350</v>
      </c>
      <c r="C410" s="3981">
        <v>2135</v>
      </c>
      <c r="D410" s="3626">
        <v>1733</v>
      </c>
      <c r="E410" s="3626">
        <v>2135</v>
      </c>
      <c r="F410" s="3626">
        <v>1936</v>
      </c>
    </row>
    <row r="411" spans="1:6" ht="15.75">
      <c r="A411" s="3021">
        <v>17350</v>
      </c>
      <c r="B411" s="3021">
        <v>17400</v>
      </c>
      <c r="C411" s="3981">
        <v>2143</v>
      </c>
      <c r="D411" s="3626">
        <v>1738</v>
      </c>
      <c r="E411" s="3626">
        <v>2143</v>
      </c>
      <c r="F411" s="3626">
        <v>1944</v>
      </c>
    </row>
    <row r="412" spans="1:6" ht="15.75">
      <c r="A412" s="3021">
        <v>17400</v>
      </c>
      <c r="B412" s="3021">
        <v>17450</v>
      </c>
      <c r="C412" s="3981">
        <v>2150</v>
      </c>
      <c r="D412" s="3626">
        <v>1743</v>
      </c>
      <c r="E412" s="3626">
        <v>2150</v>
      </c>
      <c r="F412" s="3626">
        <v>1951</v>
      </c>
    </row>
    <row r="413" spans="1:6" ht="15.75">
      <c r="A413" s="3021">
        <v>17450</v>
      </c>
      <c r="B413" s="3021">
        <v>17500</v>
      </c>
      <c r="C413" s="3981">
        <v>2158</v>
      </c>
      <c r="D413" s="3626">
        <v>1748</v>
      </c>
      <c r="E413" s="3626">
        <v>2158</v>
      </c>
      <c r="F413" s="3626">
        <v>1959</v>
      </c>
    </row>
    <row r="414" spans="1:6" ht="15.75">
      <c r="A414" s="3021">
        <v>17500</v>
      </c>
      <c r="B414" s="3021">
        <v>17550</v>
      </c>
      <c r="C414" s="3981">
        <v>2165</v>
      </c>
      <c r="D414" s="3626">
        <v>1753</v>
      </c>
      <c r="E414" s="3626">
        <v>2165</v>
      </c>
      <c r="F414" s="3626">
        <v>1966</v>
      </c>
    </row>
    <row r="415" spans="1:6" ht="15.75">
      <c r="A415" s="3021">
        <v>17550</v>
      </c>
      <c r="B415" s="3021">
        <v>17600</v>
      </c>
      <c r="C415" s="3981">
        <v>2173</v>
      </c>
      <c r="D415" s="3626">
        <v>1758</v>
      </c>
      <c r="E415" s="3626">
        <v>2173</v>
      </c>
      <c r="F415" s="3626">
        <v>1974</v>
      </c>
    </row>
    <row r="416" spans="1:6" ht="15.75">
      <c r="A416" s="3021">
        <v>17600</v>
      </c>
      <c r="B416" s="3021">
        <v>17650</v>
      </c>
      <c r="C416" s="3981">
        <v>2180</v>
      </c>
      <c r="D416" s="3626">
        <v>1763</v>
      </c>
      <c r="E416" s="3626">
        <v>2180</v>
      </c>
      <c r="F416" s="3626">
        <v>1981</v>
      </c>
    </row>
    <row r="417" spans="1:6" ht="15.75">
      <c r="A417" s="3021">
        <v>17650</v>
      </c>
      <c r="B417" s="3021">
        <v>17700</v>
      </c>
      <c r="C417" s="3981">
        <v>2188</v>
      </c>
      <c r="D417" s="3626">
        <v>1768</v>
      </c>
      <c r="E417" s="3626">
        <v>2188</v>
      </c>
      <c r="F417" s="3626">
        <v>1989</v>
      </c>
    </row>
    <row r="418" spans="1:6" ht="15.75">
      <c r="A418" s="3021">
        <v>17700</v>
      </c>
      <c r="B418" s="3021">
        <v>17750</v>
      </c>
      <c r="C418" s="3981">
        <v>2195</v>
      </c>
      <c r="D418" s="3626">
        <v>1773</v>
      </c>
      <c r="E418" s="3626">
        <v>2195</v>
      </c>
      <c r="F418" s="3626">
        <v>1996</v>
      </c>
    </row>
    <row r="419" spans="1:6" ht="15.75">
      <c r="A419" s="3021">
        <v>17750</v>
      </c>
      <c r="B419" s="3021">
        <v>17800</v>
      </c>
      <c r="C419" s="3981">
        <v>2203</v>
      </c>
      <c r="D419" s="3626">
        <v>1778</v>
      </c>
      <c r="E419" s="3626">
        <v>2203</v>
      </c>
      <c r="F419" s="3626">
        <v>2004</v>
      </c>
    </row>
    <row r="420" spans="1:6" ht="15.75">
      <c r="A420" s="3021">
        <v>17800</v>
      </c>
      <c r="B420" s="3021">
        <v>17850</v>
      </c>
      <c r="C420" s="3981">
        <v>2210</v>
      </c>
      <c r="D420" s="3626">
        <v>1783</v>
      </c>
      <c r="E420" s="3626">
        <v>2210</v>
      </c>
      <c r="F420" s="3626">
        <v>2011</v>
      </c>
    </row>
    <row r="421" spans="1:6" ht="15.75">
      <c r="A421" s="3021">
        <v>17850</v>
      </c>
      <c r="B421" s="3021">
        <v>17900</v>
      </c>
      <c r="C421" s="3981">
        <v>2218</v>
      </c>
      <c r="D421" s="3626">
        <v>1788</v>
      </c>
      <c r="E421" s="3626">
        <v>2218</v>
      </c>
      <c r="F421" s="3626">
        <v>2019</v>
      </c>
    </row>
    <row r="422" spans="1:6" ht="15.75">
      <c r="A422" s="3021">
        <v>17900</v>
      </c>
      <c r="B422" s="3021">
        <v>17950</v>
      </c>
      <c r="C422" s="3981">
        <v>2225</v>
      </c>
      <c r="D422" s="3626">
        <v>1793</v>
      </c>
      <c r="E422" s="3626">
        <v>2225</v>
      </c>
      <c r="F422" s="3626">
        <v>2026</v>
      </c>
    </row>
    <row r="423" spans="1:6" ht="15.75">
      <c r="A423" s="3021">
        <v>17950</v>
      </c>
      <c r="B423" s="3021">
        <v>18000</v>
      </c>
      <c r="C423" s="3981">
        <v>2233</v>
      </c>
      <c r="D423" s="3626">
        <v>1798</v>
      </c>
      <c r="E423" s="3626">
        <v>2233</v>
      </c>
      <c r="F423" s="3626">
        <v>2034</v>
      </c>
    </row>
    <row r="424" spans="1:6" ht="15.75">
      <c r="A424" s="3021">
        <v>18000</v>
      </c>
      <c r="B424" s="3021">
        <v>18050</v>
      </c>
      <c r="C424" s="3981">
        <v>2240</v>
      </c>
      <c r="D424" s="3626">
        <v>1803</v>
      </c>
      <c r="E424" s="3626">
        <v>2240</v>
      </c>
      <c r="F424" s="3626">
        <v>2041</v>
      </c>
    </row>
    <row r="425" spans="1:6" ht="15.75">
      <c r="A425" s="3021">
        <v>18050</v>
      </c>
      <c r="B425" s="3021">
        <v>18100</v>
      </c>
      <c r="C425" s="3981">
        <v>2248</v>
      </c>
      <c r="D425" s="3626">
        <v>1808</v>
      </c>
      <c r="E425" s="3626">
        <v>2248</v>
      </c>
      <c r="F425" s="3626">
        <v>2049</v>
      </c>
    </row>
    <row r="426" spans="1:6" ht="15.75">
      <c r="A426" s="3021">
        <v>18100</v>
      </c>
      <c r="B426" s="3021">
        <v>18150</v>
      </c>
      <c r="C426" s="3981">
        <v>2255</v>
      </c>
      <c r="D426" s="3626">
        <v>1813</v>
      </c>
      <c r="E426" s="3626">
        <v>2255</v>
      </c>
      <c r="F426" s="3626">
        <v>2056</v>
      </c>
    </row>
    <row r="427" spans="1:6" ht="15.75">
      <c r="A427" s="3021">
        <v>18150</v>
      </c>
      <c r="B427" s="3021">
        <v>18200</v>
      </c>
      <c r="C427" s="3981">
        <v>2263</v>
      </c>
      <c r="D427" s="3626">
        <v>1818</v>
      </c>
      <c r="E427" s="3626">
        <v>2263</v>
      </c>
      <c r="F427" s="3626">
        <v>2064</v>
      </c>
    </row>
    <row r="428" spans="1:6" ht="15.75">
      <c r="A428" s="3021">
        <v>18200</v>
      </c>
      <c r="B428" s="3021">
        <v>18250</v>
      </c>
      <c r="C428" s="3981">
        <v>2270</v>
      </c>
      <c r="D428" s="3626">
        <v>1823</v>
      </c>
      <c r="E428" s="3626">
        <v>2270</v>
      </c>
      <c r="F428" s="3626">
        <v>2071</v>
      </c>
    </row>
    <row r="429" spans="1:6" ht="15.75">
      <c r="A429" s="3021">
        <v>18250</v>
      </c>
      <c r="B429" s="3021">
        <v>18300</v>
      </c>
      <c r="C429" s="3981">
        <v>2278</v>
      </c>
      <c r="D429" s="3626">
        <v>1828</v>
      </c>
      <c r="E429" s="3626">
        <v>2278</v>
      </c>
      <c r="F429" s="3626">
        <v>2079</v>
      </c>
    </row>
    <row r="430" spans="1:6" ht="15.75">
      <c r="A430" s="3021">
        <v>18300</v>
      </c>
      <c r="B430" s="3021">
        <v>18350</v>
      </c>
      <c r="C430" s="3981">
        <v>2285</v>
      </c>
      <c r="D430" s="3626">
        <v>1833</v>
      </c>
      <c r="E430" s="3626">
        <v>2285</v>
      </c>
      <c r="F430" s="3626">
        <v>2086</v>
      </c>
    </row>
    <row r="431" spans="1:6" ht="15.75">
      <c r="A431" s="3021">
        <v>18350</v>
      </c>
      <c r="B431" s="3021">
        <v>18400</v>
      </c>
      <c r="C431" s="3981">
        <v>2293</v>
      </c>
      <c r="D431" s="3626">
        <v>1838</v>
      </c>
      <c r="E431" s="3626">
        <v>2293</v>
      </c>
      <c r="F431" s="3626">
        <v>2094</v>
      </c>
    </row>
    <row r="432" spans="1:6" ht="15.75">
      <c r="A432" s="3021">
        <v>18400</v>
      </c>
      <c r="B432" s="3021">
        <v>18450</v>
      </c>
      <c r="C432" s="3981">
        <v>2300</v>
      </c>
      <c r="D432" s="3626">
        <v>1843</v>
      </c>
      <c r="E432" s="3626">
        <v>2300</v>
      </c>
      <c r="F432" s="3626">
        <v>2101</v>
      </c>
    </row>
    <row r="433" spans="1:6" ht="15.75">
      <c r="A433" s="3021">
        <v>18450</v>
      </c>
      <c r="B433" s="3021">
        <v>18500</v>
      </c>
      <c r="C433" s="3981">
        <v>2308</v>
      </c>
      <c r="D433" s="3626">
        <v>1848</v>
      </c>
      <c r="E433" s="3626">
        <v>2308</v>
      </c>
      <c r="F433" s="3626">
        <v>2109</v>
      </c>
    </row>
    <row r="434" spans="1:6" ht="15.75">
      <c r="A434" s="3021">
        <v>18500</v>
      </c>
      <c r="B434" s="3021">
        <v>18550</v>
      </c>
      <c r="C434" s="3981">
        <v>2315</v>
      </c>
      <c r="D434" s="3626">
        <v>1853</v>
      </c>
      <c r="E434" s="3626">
        <v>2315</v>
      </c>
      <c r="F434" s="3626">
        <v>2116</v>
      </c>
    </row>
    <row r="435" spans="1:6" ht="15.75">
      <c r="A435" s="3021">
        <v>18550</v>
      </c>
      <c r="B435" s="3021">
        <v>18600</v>
      </c>
      <c r="C435" s="3981">
        <v>2323</v>
      </c>
      <c r="D435" s="3626">
        <v>1859</v>
      </c>
      <c r="E435" s="3626">
        <v>2323</v>
      </c>
      <c r="F435" s="3626">
        <v>2124</v>
      </c>
    </row>
    <row r="436" spans="1:6" ht="15.75">
      <c r="A436" s="3021">
        <v>18600</v>
      </c>
      <c r="B436" s="3021">
        <v>18650</v>
      </c>
      <c r="C436" s="3981">
        <v>2330</v>
      </c>
      <c r="D436" s="3626">
        <v>1866</v>
      </c>
      <c r="E436" s="3626">
        <v>2330</v>
      </c>
      <c r="F436" s="3626">
        <v>2131</v>
      </c>
    </row>
    <row r="437" spans="1:6" ht="15.75">
      <c r="A437" s="3021">
        <v>18650</v>
      </c>
      <c r="B437" s="3021">
        <v>18700</v>
      </c>
      <c r="C437" s="3981">
        <v>2338</v>
      </c>
      <c r="D437" s="3626">
        <v>1874</v>
      </c>
      <c r="E437" s="3626">
        <v>2338</v>
      </c>
      <c r="F437" s="3626">
        <v>2139</v>
      </c>
    </row>
    <row r="438" spans="1:6" ht="15.75">
      <c r="A438" s="3021">
        <v>18700</v>
      </c>
      <c r="B438" s="3021">
        <v>18750</v>
      </c>
      <c r="C438" s="3981">
        <v>2345</v>
      </c>
      <c r="D438" s="3626">
        <v>1881</v>
      </c>
      <c r="E438" s="3626">
        <v>2345</v>
      </c>
      <c r="F438" s="3626">
        <v>2146</v>
      </c>
    </row>
    <row r="439" spans="1:6" ht="15.75">
      <c r="A439" s="3021">
        <v>18750</v>
      </c>
      <c r="B439" s="3021">
        <v>18800</v>
      </c>
      <c r="C439" s="3981">
        <v>2353</v>
      </c>
      <c r="D439" s="3626">
        <v>1889</v>
      </c>
      <c r="E439" s="3626">
        <v>2353</v>
      </c>
      <c r="F439" s="3626">
        <v>2154</v>
      </c>
    </row>
    <row r="440" spans="1:6" ht="15.75">
      <c r="A440" s="3021">
        <v>18800</v>
      </c>
      <c r="B440" s="3021">
        <v>18850</v>
      </c>
      <c r="C440" s="3981">
        <v>2360</v>
      </c>
      <c r="D440" s="3626">
        <v>1896</v>
      </c>
      <c r="E440" s="3626">
        <v>2360</v>
      </c>
      <c r="F440" s="3626">
        <v>2161</v>
      </c>
    </row>
    <row r="441" spans="1:6" ht="15.75">
      <c r="A441" s="3021">
        <v>18850</v>
      </c>
      <c r="B441" s="3021">
        <v>18900</v>
      </c>
      <c r="C441" s="3981">
        <v>2368</v>
      </c>
      <c r="D441" s="3626">
        <v>1904</v>
      </c>
      <c r="E441" s="3626">
        <v>2368</v>
      </c>
      <c r="F441" s="3626">
        <v>2169</v>
      </c>
    </row>
    <row r="442" spans="1:6" ht="15.75">
      <c r="A442" s="3021">
        <v>18900</v>
      </c>
      <c r="B442" s="3021">
        <v>18950</v>
      </c>
      <c r="C442" s="3981">
        <v>2375</v>
      </c>
      <c r="D442" s="3626">
        <v>1911</v>
      </c>
      <c r="E442" s="3626">
        <v>2375</v>
      </c>
      <c r="F442" s="3626">
        <v>2176</v>
      </c>
    </row>
    <row r="443" spans="1:6" ht="15.75">
      <c r="A443" s="3021">
        <v>18950</v>
      </c>
      <c r="B443" s="3021">
        <v>19000</v>
      </c>
      <c r="C443" s="3981">
        <v>2383</v>
      </c>
      <c r="D443" s="3626">
        <v>1919</v>
      </c>
      <c r="E443" s="3626">
        <v>2383</v>
      </c>
      <c r="F443" s="3626">
        <v>2184</v>
      </c>
    </row>
    <row r="444" spans="1:6" ht="15.75">
      <c r="A444" s="3021">
        <v>19000</v>
      </c>
      <c r="B444" s="3021">
        <v>19050</v>
      </c>
      <c r="C444" s="3981">
        <v>2390</v>
      </c>
      <c r="D444" s="3626">
        <v>1926</v>
      </c>
      <c r="E444" s="3626">
        <v>2390</v>
      </c>
      <c r="F444" s="3626">
        <v>2191</v>
      </c>
    </row>
    <row r="445" spans="1:6" ht="15.75">
      <c r="A445" s="3021">
        <v>19050</v>
      </c>
      <c r="B445" s="3021">
        <v>19100</v>
      </c>
      <c r="C445" s="3981">
        <v>2398</v>
      </c>
      <c r="D445" s="3626">
        <v>1934</v>
      </c>
      <c r="E445" s="3626">
        <v>2398</v>
      </c>
      <c r="F445" s="3626">
        <v>2199</v>
      </c>
    </row>
    <row r="446" spans="1:6" ht="15.75">
      <c r="A446" s="3021">
        <v>19100</v>
      </c>
      <c r="B446" s="3021">
        <v>19150</v>
      </c>
      <c r="C446" s="3981">
        <v>2405</v>
      </c>
      <c r="D446" s="3626">
        <v>1941</v>
      </c>
      <c r="E446" s="3626">
        <v>2405</v>
      </c>
      <c r="F446" s="3626">
        <v>2206</v>
      </c>
    </row>
    <row r="447" spans="1:6" ht="15.75">
      <c r="A447" s="3021">
        <v>19150</v>
      </c>
      <c r="B447" s="3021">
        <v>19200</v>
      </c>
      <c r="C447" s="3981">
        <v>2413</v>
      </c>
      <c r="D447" s="3626">
        <v>1949</v>
      </c>
      <c r="E447" s="3626">
        <v>2413</v>
      </c>
      <c r="F447" s="3626">
        <v>2214</v>
      </c>
    </row>
    <row r="448" spans="1:6" ht="15.75">
      <c r="A448" s="3021">
        <v>19200</v>
      </c>
      <c r="B448" s="3021">
        <v>19250</v>
      </c>
      <c r="C448" s="3981">
        <v>2420</v>
      </c>
      <c r="D448" s="3626">
        <v>1956</v>
      </c>
      <c r="E448" s="3626">
        <v>2420</v>
      </c>
      <c r="F448" s="3626">
        <v>2221</v>
      </c>
    </row>
    <row r="449" spans="1:6" ht="15.75">
      <c r="A449" s="3021">
        <v>19250</v>
      </c>
      <c r="B449" s="3021">
        <v>19300</v>
      </c>
      <c r="C449" s="3981">
        <v>2428</v>
      </c>
      <c r="D449" s="3626">
        <v>1964</v>
      </c>
      <c r="E449" s="3626">
        <v>2428</v>
      </c>
      <c r="F449" s="3626">
        <v>2229</v>
      </c>
    </row>
    <row r="450" spans="1:6" ht="15.75">
      <c r="A450" s="3021">
        <v>19300</v>
      </c>
      <c r="B450" s="3021">
        <v>19350</v>
      </c>
      <c r="C450" s="3981">
        <v>2435</v>
      </c>
      <c r="D450" s="3626">
        <v>1971</v>
      </c>
      <c r="E450" s="3626">
        <v>2435</v>
      </c>
      <c r="F450" s="3626">
        <v>2236</v>
      </c>
    </row>
    <row r="451" spans="1:6" ht="15.75">
      <c r="A451" s="3021">
        <v>19350</v>
      </c>
      <c r="B451" s="3021">
        <v>19400</v>
      </c>
      <c r="C451" s="3981">
        <v>2443</v>
      </c>
      <c r="D451" s="3626">
        <v>1979</v>
      </c>
      <c r="E451" s="3626">
        <v>2443</v>
      </c>
      <c r="F451" s="3626">
        <v>2244</v>
      </c>
    </row>
    <row r="452" spans="1:6" ht="15.75">
      <c r="A452" s="3021">
        <v>19400</v>
      </c>
      <c r="B452" s="3021">
        <v>19450</v>
      </c>
      <c r="C452" s="3981">
        <v>2450</v>
      </c>
      <c r="D452" s="3626">
        <v>1986</v>
      </c>
      <c r="E452" s="3626">
        <v>2450</v>
      </c>
      <c r="F452" s="3626">
        <v>2251</v>
      </c>
    </row>
    <row r="453" spans="1:6" ht="15.75">
      <c r="A453" s="3021">
        <v>19450</v>
      </c>
      <c r="B453" s="3021">
        <v>19500</v>
      </c>
      <c r="C453" s="3981">
        <v>2458</v>
      </c>
      <c r="D453" s="3626">
        <v>1994</v>
      </c>
      <c r="E453" s="3626">
        <v>2458</v>
      </c>
      <c r="F453" s="3626">
        <v>2259</v>
      </c>
    </row>
    <row r="454" spans="1:6" ht="15.75">
      <c r="A454" s="3021">
        <v>19500</v>
      </c>
      <c r="B454" s="3021">
        <v>19550</v>
      </c>
      <c r="C454" s="3981">
        <v>2465</v>
      </c>
      <c r="D454" s="3626">
        <v>2001</v>
      </c>
      <c r="E454" s="3626">
        <v>2465</v>
      </c>
      <c r="F454" s="3626">
        <v>2266</v>
      </c>
    </row>
    <row r="455" spans="1:6" ht="15.75">
      <c r="A455" s="3021">
        <v>19550</v>
      </c>
      <c r="B455" s="3021">
        <v>19600</v>
      </c>
      <c r="C455" s="3981">
        <v>2473</v>
      </c>
      <c r="D455" s="3626">
        <v>2009</v>
      </c>
      <c r="E455" s="3626">
        <v>2473</v>
      </c>
      <c r="F455" s="3626">
        <v>2274</v>
      </c>
    </row>
    <row r="456" spans="1:6" ht="15.75">
      <c r="A456" s="3021">
        <v>19600</v>
      </c>
      <c r="B456" s="3021">
        <v>19650</v>
      </c>
      <c r="C456" s="3981">
        <v>2480</v>
      </c>
      <c r="D456" s="3626">
        <v>2016</v>
      </c>
      <c r="E456" s="3626">
        <v>2480</v>
      </c>
      <c r="F456" s="3626">
        <v>2281</v>
      </c>
    </row>
    <row r="457" spans="1:6" ht="15.75">
      <c r="A457" s="3021">
        <v>19650</v>
      </c>
      <c r="B457" s="3021">
        <v>19700</v>
      </c>
      <c r="C457" s="3981">
        <v>2488</v>
      </c>
      <c r="D457" s="3626">
        <v>2024</v>
      </c>
      <c r="E457" s="3626">
        <v>2488</v>
      </c>
      <c r="F457" s="3626">
        <v>2289</v>
      </c>
    </row>
    <row r="458" spans="1:6" ht="15.75">
      <c r="A458" s="3021">
        <v>19700</v>
      </c>
      <c r="B458" s="3021">
        <v>19750</v>
      </c>
      <c r="C458" s="3981">
        <v>2495</v>
      </c>
      <c r="D458" s="3626">
        <v>2031</v>
      </c>
      <c r="E458" s="3626">
        <v>2495</v>
      </c>
      <c r="F458" s="3626">
        <v>2296</v>
      </c>
    </row>
    <row r="459" spans="1:6" ht="15.75">
      <c r="A459" s="3021">
        <v>19750</v>
      </c>
      <c r="B459" s="3021">
        <v>19800</v>
      </c>
      <c r="C459" s="3981">
        <v>2503</v>
      </c>
      <c r="D459" s="3626">
        <v>2039</v>
      </c>
      <c r="E459" s="3626">
        <v>2503</v>
      </c>
      <c r="F459" s="3626">
        <v>2304</v>
      </c>
    </row>
    <row r="460" spans="1:6" ht="15.75">
      <c r="A460" s="3021">
        <v>19800</v>
      </c>
      <c r="B460" s="3021">
        <v>19850</v>
      </c>
      <c r="C460" s="3981">
        <v>2510</v>
      </c>
      <c r="D460" s="3626">
        <v>2046</v>
      </c>
      <c r="E460" s="3626">
        <v>2510</v>
      </c>
      <c r="F460" s="3626">
        <v>2311</v>
      </c>
    </row>
    <row r="461" spans="1:6" ht="15.75">
      <c r="A461" s="3021">
        <v>19850</v>
      </c>
      <c r="B461" s="3021">
        <v>19900</v>
      </c>
      <c r="C461" s="3981">
        <v>2518</v>
      </c>
      <c r="D461" s="3626">
        <v>2054</v>
      </c>
      <c r="E461" s="3626">
        <v>2518</v>
      </c>
      <c r="F461" s="3626">
        <v>2319</v>
      </c>
    </row>
    <row r="462" spans="1:6" ht="15.75">
      <c r="A462" s="3021">
        <v>19900</v>
      </c>
      <c r="B462" s="3021">
        <v>19950</v>
      </c>
      <c r="C462" s="3981">
        <v>2525</v>
      </c>
      <c r="D462" s="3626">
        <v>2061</v>
      </c>
      <c r="E462" s="3626">
        <v>2525</v>
      </c>
      <c r="F462" s="3626">
        <v>2326</v>
      </c>
    </row>
    <row r="463" spans="1:6" ht="15.75">
      <c r="A463" s="3021">
        <v>19950</v>
      </c>
      <c r="B463" s="3021">
        <v>20000</v>
      </c>
      <c r="C463" s="3981">
        <v>2533</v>
      </c>
      <c r="D463" s="3626">
        <v>2069</v>
      </c>
      <c r="E463" s="3626">
        <v>2533</v>
      </c>
      <c r="F463" s="3626">
        <v>2334</v>
      </c>
    </row>
    <row r="464" spans="1:6" ht="15.75">
      <c r="A464" s="3021">
        <v>20000</v>
      </c>
      <c r="B464" s="3021">
        <v>20050</v>
      </c>
      <c r="C464" s="3981">
        <v>2540</v>
      </c>
      <c r="D464" s="3626">
        <v>2076</v>
      </c>
      <c r="E464" s="3626">
        <v>2540</v>
      </c>
      <c r="F464" s="3626">
        <v>2341</v>
      </c>
    </row>
    <row r="465" spans="1:6" ht="15.75">
      <c r="A465" s="3021">
        <v>20050</v>
      </c>
      <c r="B465" s="3021">
        <v>20100</v>
      </c>
      <c r="C465" s="3981">
        <v>2548</v>
      </c>
      <c r="D465" s="3626">
        <v>2084</v>
      </c>
      <c r="E465" s="3626">
        <v>2548</v>
      </c>
      <c r="F465" s="3626">
        <v>2349</v>
      </c>
    </row>
    <row r="466" spans="1:6" ht="15.75">
      <c r="A466" s="3021">
        <v>20100</v>
      </c>
      <c r="B466" s="3021">
        <v>20150</v>
      </c>
      <c r="C466" s="3981">
        <v>2555</v>
      </c>
      <c r="D466" s="3626">
        <v>2091</v>
      </c>
      <c r="E466" s="3626">
        <v>2555</v>
      </c>
      <c r="F466" s="3626">
        <v>2356</v>
      </c>
    </row>
    <row r="467" spans="1:6" ht="15.75">
      <c r="A467" s="3021">
        <v>20150</v>
      </c>
      <c r="B467" s="3021">
        <v>20200</v>
      </c>
      <c r="C467" s="3981">
        <v>2563</v>
      </c>
      <c r="D467" s="3626">
        <v>2099</v>
      </c>
      <c r="E467" s="3626">
        <v>2563</v>
      </c>
      <c r="F467" s="3626">
        <v>2364</v>
      </c>
    </row>
    <row r="468" spans="1:6" ht="15.75">
      <c r="A468" s="3021">
        <v>20200</v>
      </c>
      <c r="B468" s="3021">
        <v>20250</v>
      </c>
      <c r="C468" s="3981">
        <v>2570</v>
      </c>
      <c r="D468" s="3626">
        <v>2106</v>
      </c>
      <c r="E468" s="3626">
        <v>2570</v>
      </c>
      <c r="F468" s="3626">
        <v>2371</v>
      </c>
    </row>
    <row r="469" spans="1:6" ht="15.75">
      <c r="A469" s="3021">
        <v>20250</v>
      </c>
      <c r="B469" s="3021">
        <v>20300</v>
      </c>
      <c r="C469" s="3981">
        <v>2578</v>
      </c>
      <c r="D469" s="3626">
        <v>2114</v>
      </c>
      <c r="E469" s="3626">
        <v>2578</v>
      </c>
      <c r="F469" s="3626">
        <v>2379</v>
      </c>
    </row>
    <row r="470" spans="1:6" ht="15.75">
      <c r="A470" s="3021">
        <v>20300</v>
      </c>
      <c r="B470" s="3021">
        <v>20350</v>
      </c>
      <c r="C470" s="3981">
        <v>2585</v>
      </c>
      <c r="D470" s="3626">
        <v>2121</v>
      </c>
      <c r="E470" s="3626">
        <v>2585</v>
      </c>
      <c r="F470" s="3626">
        <v>2386</v>
      </c>
    </row>
    <row r="471" spans="1:6" ht="15.75">
      <c r="A471" s="3021">
        <v>20350</v>
      </c>
      <c r="B471" s="3021">
        <v>20400</v>
      </c>
      <c r="C471" s="3981">
        <v>2593</v>
      </c>
      <c r="D471" s="3626">
        <v>2129</v>
      </c>
      <c r="E471" s="3626">
        <v>2593</v>
      </c>
      <c r="F471" s="3626">
        <v>2394</v>
      </c>
    </row>
    <row r="472" spans="1:6" ht="15.75">
      <c r="A472" s="3021">
        <v>20400</v>
      </c>
      <c r="B472" s="3021">
        <v>20450</v>
      </c>
      <c r="C472" s="3981">
        <v>2600</v>
      </c>
      <c r="D472" s="3626">
        <v>2136</v>
      </c>
      <c r="E472" s="3626">
        <v>2600</v>
      </c>
      <c r="F472" s="3626">
        <v>2401</v>
      </c>
    </row>
    <row r="473" spans="1:6" ht="15.75">
      <c r="A473" s="3021">
        <v>20450</v>
      </c>
      <c r="B473" s="3021">
        <v>20500</v>
      </c>
      <c r="C473" s="3981">
        <v>2608</v>
      </c>
      <c r="D473" s="3626">
        <v>2144</v>
      </c>
      <c r="E473" s="3626">
        <v>2608</v>
      </c>
      <c r="F473" s="3626">
        <v>2409</v>
      </c>
    </row>
    <row r="474" spans="1:6" ht="15.75">
      <c r="A474" s="3021">
        <v>20500</v>
      </c>
      <c r="B474" s="3021">
        <v>20550</v>
      </c>
      <c r="C474" s="3981">
        <v>2615</v>
      </c>
      <c r="D474" s="3626">
        <v>2151</v>
      </c>
      <c r="E474" s="3626">
        <v>2615</v>
      </c>
      <c r="F474" s="3626">
        <v>2416</v>
      </c>
    </row>
    <row r="475" spans="1:6" ht="15.75">
      <c r="A475" s="3021">
        <v>20550</v>
      </c>
      <c r="B475" s="3021">
        <v>20600</v>
      </c>
      <c r="C475" s="3981">
        <v>2623</v>
      </c>
      <c r="D475" s="3626">
        <v>2159</v>
      </c>
      <c r="E475" s="3626">
        <v>2623</v>
      </c>
      <c r="F475" s="3626">
        <v>2424</v>
      </c>
    </row>
    <row r="476" spans="1:6" ht="15.75">
      <c r="A476" s="3021">
        <v>20600</v>
      </c>
      <c r="B476" s="3021">
        <v>20650</v>
      </c>
      <c r="C476" s="3981">
        <v>2630</v>
      </c>
      <c r="D476" s="3626">
        <v>2166</v>
      </c>
      <c r="E476" s="3626">
        <v>2630</v>
      </c>
      <c r="F476" s="3626">
        <v>2431</v>
      </c>
    </row>
    <row r="477" spans="1:6" ht="15.75">
      <c r="A477" s="3021">
        <v>20650</v>
      </c>
      <c r="B477" s="3021">
        <v>20700</v>
      </c>
      <c r="C477" s="3981">
        <v>2638</v>
      </c>
      <c r="D477" s="3626">
        <v>2174</v>
      </c>
      <c r="E477" s="3626">
        <v>2638</v>
      </c>
      <c r="F477" s="3626">
        <v>2439</v>
      </c>
    </row>
    <row r="478" spans="1:6" ht="15.75">
      <c r="A478" s="3021">
        <v>20700</v>
      </c>
      <c r="B478" s="3021">
        <v>20750</v>
      </c>
      <c r="C478" s="3981">
        <v>2645</v>
      </c>
      <c r="D478" s="3626">
        <v>2181</v>
      </c>
      <c r="E478" s="3626">
        <v>2645</v>
      </c>
      <c r="F478" s="3626">
        <v>2446</v>
      </c>
    </row>
    <row r="479" spans="1:6" ht="15.75">
      <c r="A479" s="3021">
        <v>20750</v>
      </c>
      <c r="B479" s="3021">
        <v>20800</v>
      </c>
      <c r="C479" s="3981">
        <v>2653</v>
      </c>
      <c r="D479" s="3626">
        <v>2189</v>
      </c>
      <c r="E479" s="3626">
        <v>2653</v>
      </c>
      <c r="F479" s="3626">
        <v>2454</v>
      </c>
    </row>
    <row r="480" spans="1:6" ht="15.75">
      <c r="A480" s="3021">
        <v>20800</v>
      </c>
      <c r="B480" s="3021">
        <v>20850</v>
      </c>
      <c r="C480" s="3981">
        <v>2660</v>
      </c>
      <c r="D480" s="3626">
        <v>2196</v>
      </c>
      <c r="E480" s="3626">
        <v>2660</v>
      </c>
      <c r="F480" s="3626">
        <v>2461</v>
      </c>
    </row>
    <row r="481" spans="1:6" ht="15.75">
      <c r="A481" s="3021">
        <v>20850</v>
      </c>
      <c r="B481" s="3021">
        <v>20900</v>
      </c>
      <c r="C481" s="3981">
        <v>2668</v>
      </c>
      <c r="D481" s="3626">
        <v>2204</v>
      </c>
      <c r="E481" s="3626">
        <v>2668</v>
      </c>
      <c r="F481" s="3626">
        <v>2469</v>
      </c>
    </row>
    <row r="482" spans="1:6" ht="15.75">
      <c r="A482" s="3021">
        <v>20900</v>
      </c>
      <c r="B482" s="3021">
        <v>20950</v>
      </c>
      <c r="C482" s="3981">
        <v>2675</v>
      </c>
      <c r="D482" s="3626">
        <v>2211</v>
      </c>
      <c r="E482" s="3626">
        <v>2675</v>
      </c>
      <c r="F482" s="3626">
        <v>2476</v>
      </c>
    </row>
    <row r="483" spans="1:6" ht="15.75">
      <c r="A483" s="3021">
        <v>20950</v>
      </c>
      <c r="B483" s="3021">
        <v>21000</v>
      </c>
      <c r="C483" s="3981">
        <v>2683</v>
      </c>
      <c r="D483" s="3626">
        <v>2219</v>
      </c>
      <c r="E483" s="3626">
        <v>2683</v>
      </c>
      <c r="F483" s="3626">
        <v>2484</v>
      </c>
    </row>
    <row r="484" spans="1:6" ht="15.75">
      <c r="A484" s="3021">
        <v>21000</v>
      </c>
      <c r="B484" s="3021">
        <v>21050</v>
      </c>
      <c r="C484" s="3981">
        <v>2690</v>
      </c>
      <c r="D484" s="3626">
        <v>2226</v>
      </c>
      <c r="E484" s="3626">
        <v>2690</v>
      </c>
      <c r="F484" s="3626">
        <v>2491</v>
      </c>
    </row>
    <row r="485" spans="1:6" ht="15.75">
      <c r="A485" s="3021">
        <v>21050</v>
      </c>
      <c r="B485" s="3021">
        <v>21100</v>
      </c>
      <c r="C485" s="3981">
        <v>2698</v>
      </c>
      <c r="D485" s="3626">
        <v>2234</v>
      </c>
      <c r="E485" s="3626">
        <v>2698</v>
      </c>
      <c r="F485" s="3626">
        <v>2499</v>
      </c>
    </row>
    <row r="486" spans="1:6" ht="15.75">
      <c r="A486" s="3021">
        <v>21100</v>
      </c>
      <c r="B486" s="3021">
        <v>21150</v>
      </c>
      <c r="C486" s="3981">
        <v>2705</v>
      </c>
      <c r="D486" s="3626">
        <v>2241</v>
      </c>
      <c r="E486" s="3626">
        <v>2705</v>
      </c>
      <c r="F486" s="3626">
        <v>2506</v>
      </c>
    </row>
    <row r="487" spans="1:6" ht="15.75">
      <c r="A487" s="3021">
        <v>21150</v>
      </c>
      <c r="B487" s="3021">
        <v>21200</v>
      </c>
      <c r="C487" s="3981">
        <v>2713</v>
      </c>
      <c r="D487" s="3626">
        <v>2249</v>
      </c>
      <c r="E487" s="3626">
        <v>2713</v>
      </c>
      <c r="F487" s="3626">
        <v>2514</v>
      </c>
    </row>
    <row r="488" spans="1:6" ht="15.75">
      <c r="A488" s="3021">
        <v>21200</v>
      </c>
      <c r="B488" s="3021">
        <v>21250</v>
      </c>
      <c r="C488" s="3981">
        <v>2720</v>
      </c>
      <c r="D488" s="3626">
        <v>2256</v>
      </c>
      <c r="E488" s="3626">
        <v>2720</v>
      </c>
      <c r="F488" s="3626">
        <v>2521</v>
      </c>
    </row>
    <row r="489" spans="1:6" ht="15.75">
      <c r="A489" s="3021">
        <v>21250</v>
      </c>
      <c r="B489" s="3021">
        <v>21300</v>
      </c>
      <c r="C489" s="3981">
        <v>2728</v>
      </c>
      <c r="D489" s="3626">
        <v>2264</v>
      </c>
      <c r="E489" s="3626">
        <v>2728</v>
      </c>
      <c r="F489" s="3626">
        <v>2529</v>
      </c>
    </row>
    <row r="490" spans="1:6" ht="15.75">
      <c r="A490" s="3021">
        <v>21300</v>
      </c>
      <c r="B490" s="3021">
        <v>21350</v>
      </c>
      <c r="C490" s="3981">
        <v>2735</v>
      </c>
      <c r="D490" s="3626">
        <v>2271</v>
      </c>
      <c r="E490" s="3626">
        <v>2735</v>
      </c>
      <c r="F490" s="3626">
        <v>2536</v>
      </c>
    </row>
    <row r="491" spans="1:6" ht="15.75">
      <c r="A491" s="3021">
        <v>21350</v>
      </c>
      <c r="B491" s="3021">
        <v>21400</v>
      </c>
      <c r="C491" s="3981">
        <v>2743</v>
      </c>
      <c r="D491" s="3626">
        <v>2279</v>
      </c>
      <c r="E491" s="3626">
        <v>2743</v>
      </c>
      <c r="F491" s="3626">
        <v>2544</v>
      </c>
    </row>
    <row r="492" spans="1:6" ht="15.75">
      <c r="A492" s="3021">
        <v>21400</v>
      </c>
      <c r="B492" s="3021">
        <v>21450</v>
      </c>
      <c r="C492" s="3981">
        <v>2750</v>
      </c>
      <c r="D492" s="3626">
        <v>2286</v>
      </c>
      <c r="E492" s="3626">
        <v>2750</v>
      </c>
      <c r="F492" s="3626">
        <v>2551</v>
      </c>
    </row>
    <row r="493" spans="1:6" ht="15.75">
      <c r="A493" s="3021">
        <v>21450</v>
      </c>
      <c r="B493" s="3021">
        <v>21500</v>
      </c>
      <c r="C493" s="3981">
        <v>2758</v>
      </c>
      <c r="D493" s="3626">
        <v>2294</v>
      </c>
      <c r="E493" s="3626">
        <v>2758</v>
      </c>
      <c r="F493" s="3626">
        <v>2559</v>
      </c>
    </row>
    <row r="494" spans="1:6" ht="15.75">
      <c r="A494" s="3021">
        <v>21500</v>
      </c>
      <c r="B494" s="3021">
        <v>21550</v>
      </c>
      <c r="C494" s="3981">
        <v>2765</v>
      </c>
      <c r="D494" s="3626">
        <v>2301</v>
      </c>
      <c r="E494" s="3626">
        <v>2765</v>
      </c>
      <c r="F494" s="3626">
        <v>2566</v>
      </c>
    </row>
    <row r="495" spans="1:6" ht="15.75">
      <c r="A495" s="3021">
        <v>21550</v>
      </c>
      <c r="B495" s="3021">
        <v>21600</v>
      </c>
      <c r="C495" s="3981">
        <v>2773</v>
      </c>
      <c r="D495" s="3626">
        <v>2309</v>
      </c>
      <c r="E495" s="3626">
        <v>2773</v>
      </c>
      <c r="F495" s="3626">
        <v>2574</v>
      </c>
    </row>
    <row r="496" spans="1:6" ht="15.75">
      <c r="A496" s="3021">
        <v>21600</v>
      </c>
      <c r="B496" s="3021">
        <v>21650</v>
      </c>
      <c r="C496" s="3981">
        <v>2780</v>
      </c>
      <c r="D496" s="3626">
        <v>2316</v>
      </c>
      <c r="E496" s="3626">
        <v>2780</v>
      </c>
      <c r="F496" s="3626">
        <v>2581</v>
      </c>
    </row>
    <row r="497" spans="1:6" ht="15.75">
      <c r="A497" s="3021">
        <v>21650</v>
      </c>
      <c r="B497" s="3021">
        <v>21700</v>
      </c>
      <c r="C497" s="3981">
        <v>2788</v>
      </c>
      <c r="D497" s="3626">
        <v>2324</v>
      </c>
      <c r="E497" s="3626">
        <v>2788</v>
      </c>
      <c r="F497" s="3626">
        <v>2589</v>
      </c>
    </row>
    <row r="498" spans="1:6" ht="15.75">
      <c r="A498" s="3021">
        <v>21700</v>
      </c>
      <c r="B498" s="3021">
        <v>21750</v>
      </c>
      <c r="C498" s="3981">
        <v>2795</v>
      </c>
      <c r="D498" s="3626">
        <v>2331</v>
      </c>
      <c r="E498" s="3626">
        <v>2795</v>
      </c>
      <c r="F498" s="3626">
        <v>2596</v>
      </c>
    </row>
    <row r="499" spans="1:6" ht="15.75">
      <c r="A499" s="3021">
        <v>21750</v>
      </c>
      <c r="B499" s="3021">
        <v>21800</v>
      </c>
      <c r="C499" s="3981">
        <v>2803</v>
      </c>
      <c r="D499" s="3626">
        <v>2339</v>
      </c>
      <c r="E499" s="3626">
        <v>2803</v>
      </c>
      <c r="F499" s="3626">
        <v>2604</v>
      </c>
    </row>
    <row r="500" spans="1:6" ht="15.75">
      <c r="A500" s="3021">
        <v>21800</v>
      </c>
      <c r="B500" s="3021">
        <v>21850</v>
      </c>
      <c r="C500" s="3981">
        <v>2810</v>
      </c>
      <c r="D500" s="3626">
        <v>2346</v>
      </c>
      <c r="E500" s="3626">
        <v>2810</v>
      </c>
      <c r="F500" s="3626">
        <v>2611</v>
      </c>
    </row>
    <row r="501" spans="1:6" ht="15.75">
      <c r="A501" s="3021">
        <v>21850</v>
      </c>
      <c r="B501" s="3021">
        <v>21900</v>
      </c>
      <c r="C501" s="3981">
        <v>2818</v>
      </c>
      <c r="D501" s="3626">
        <v>2354</v>
      </c>
      <c r="E501" s="3626">
        <v>2818</v>
      </c>
      <c r="F501" s="3626">
        <v>2619</v>
      </c>
    </row>
    <row r="502" spans="1:6" ht="15.75">
      <c r="A502" s="3021">
        <v>21900</v>
      </c>
      <c r="B502" s="3021">
        <v>21950</v>
      </c>
      <c r="C502" s="3981">
        <v>2825</v>
      </c>
      <c r="D502" s="3626">
        <v>2361</v>
      </c>
      <c r="E502" s="3626">
        <v>2825</v>
      </c>
      <c r="F502" s="3626">
        <v>2626</v>
      </c>
    </row>
    <row r="503" spans="1:6" ht="15.75">
      <c r="A503" s="3021">
        <v>21950</v>
      </c>
      <c r="B503" s="3021">
        <v>22000</v>
      </c>
      <c r="C503" s="3981">
        <v>2833</v>
      </c>
      <c r="D503" s="3626">
        <v>2369</v>
      </c>
      <c r="E503" s="3626">
        <v>2833</v>
      </c>
      <c r="F503" s="3626">
        <v>2634</v>
      </c>
    </row>
    <row r="504" spans="1:6" ht="15.75">
      <c r="A504" s="3021">
        <v>22000</v>
      </c>
      <c r="B504" s="3021">
        <v>22050</v>
      </c>
      <c r="C504" s="3981">
        <v>2840</v>
      </c>
      <c r="D504" s="3626">
        <v>2376</v>
      </c>
      <c r="E504" s="3626">
        <v>2840</v>
      </c>
      <c r="F504" s="3626">
        <v>2641</v>
      </c>
    </row>
    <row r="505" spans="1:6" ht="15.75">
      <c r="A505" s="3021">
        <v>22050</v>
      </c>
      <c r="B505" s="3021">
        <v>22100</v>
      </c>
      <c r="C505" s="3981">
        <v>2848</v>
      </c>
      <c r="D505" s="3626">
        <v>2384</v>
      </c>
      <c r="E505" s="3626">
        <v>2848</v>
      </c>
      <c r="F505" s="3626">
        <v>2649</v>
      </c>
    </row>
    <row r="506" spans="1:6" ht="15.75">
      <c r="A506" s="3021">
        <v>22100</v>
      </c>
      <c r="B506" s="3021">
        <v>22150</v>
      </c>
      <c r="C506" s="3981">
        <v>2855</v>
      </c>
      <c r="D506" s="3626">
        <v>2391</v>
      </c>
      <c r="E506" s="3626">
        <v>2855</v>
      </c>
      <c r="F506" s="3626">
        <v>2656</v>
      </c>
    </row>
    <row r="507" spans="1:6" ht="15.75">
      <c r="A507" s="3021">
        <v>22150</v>
      </c>
      <c r="B507" s="3021">
        <v>22200</v>
      </c>
      <c r="C507" s="3981">
        <v>2863</v>
      </c>
      <c r="D507" s="3626">
        <v>2399</v>
      </c>
      <c r="E507" s="3626">
        <v>2863</v>
      </c>
      <c r="F507" s="3626">
        <v>2664</v>
      </c>
    </row>
    <row r="508" spans="1:6" ht="15.75">
      <c r="A508" s="3021">
        <v>22200</v>
      </c>
      <c r="B508" s="3021">
        <v>22250</v>
      </c>
      <c r="C508" s="3981">
        <v>2870</v>
      </c>
      <c r="D508" s="3626">
        <v>2406</v>
      </c>
      <c r="E508" s="3626">
        <v>2870</v>
      </c>
      <c r="F508" s="3626">
        <v>2671</v>
      </c>
    </row>
    <row r="509" spans="1:6" ht="15.75">
      <c r="A509" s="3021">
        <v>22250</v>
      </c>
      <c r="B509" s="3021">
        <v>22300</v>
      </c>
      <c r="C509" s="3981">
        <v>2878</v>
      </c>
      <c r="D509" s="3626">
        <v>2414</v>
      </c>
      <c r="E509" s="3626">
        <v>2878</v>
      </c>
      <c r="F509" s="3626">
        <v>2679</v>
      </c>
    </row>
    <row r="510" spans="1:6" ht="15.75">
      <c r="A510" s="3021">
        <v>22300</v>
      </c>
      <c r="B510" s="3021">
        <v>22350</v>
      </c>
      <c r="C510" s="3981">
        <v>2885</v>
      </c>
      <c r="D510" s="3626">
        <v>2421</v>
      </c>
      <c r="E510" s="3626">
        <v>2885</v>
      </c>
      <c r="F510" s="3626">
        <v>2686</v>
      </c>
    </row>
    <row r="511" spans="1:6" ht="15.75">
      <c r="A511" s="3021">
        <v>22350</v>
      </c>
      <c r="B511" s="3021">
        <v>22400</v>
      </c>
      <c r="C511" s="3981">
        <v>2893</v>
      </c>
      <c r="D511" s="3626">
        <v>2429</v>
      </c>
      <c r="E511" s="3626">
        <v>2893</v>
      </c>
      <c r="F511" s="3626">
        <v>2694</v>
      </c>
    </row>
    <row r="512" spans="1:6" ht="15.75">
      <c r="A512" s="3021">
        <v>22400</v>
      </c>
      <c r="B512" s="3021">
        <v>22450</v>
      </c>
      <c r="C512" s="3981">
        <v>2900</v>
      </c>
      <c r="D512" s="3626">
        <v>2436</v>
      </c>
      <c r="E512" s="3626">
        <v>2900</v>
      </c>
      <c r="F512" s="3626">
        <v>2701</v>
      </c>
    </row>
    <row r="513" spans="1:6" ht="15.75">
      <c r="A513" s="3021">
        <v>22450</v>
      </c>
      <c r="B513" s="3021">
        <v>22500</v>
      </c>
      <c r="C513" s="3981">
        <v>2908</v>
      </c>
      <c r="D513" s="3626">
        <v>2444</v>
      </c>
      <c r="E513" s="3626">
        <v>2908</v>
      </c>
      <c r="F513" s="3626">
        <v>2709</v>
      </c>
    </row>
    <row r="514" spans="1:6" ht="15.75">
      <c r="A514" s="3021">
        <v>22500</v>
      </c>
      <c r="B514" s="3021">
        <v>22550</v>
      </c>
      <c r="C514" s="3981">
        <v>2915</v>
      </c>
      <c r="D514" s="3626">
        <v>2451</v>
      </c>
      <c r="E514" s="3626">
        <v>2915</v>
      </c>
      <c r="F514" s="3626">
        <v>2716</v>
      </c>
    </row>
    <row r="515" spans="1:6" ht="15.75">
      <c r="A515" s="3021">
        <v>22550</v>
      </c>
      <c r="B515" s="3021">
        <v>22600</v>
      </c>
      <c r="C515" s="3981">
        <v>2923</v>
      </c>
      <c r="D515" s="3626">
        <v>2459</v>
      </c>
      <c r="E515" s="3626">
        <v>2923</v>
      </c>
      <c r="F515" s="3626">
        <v>2724</v>
      </c>
    </row>
    <row r="516" spans="1:6" ht="15.75">
      <c r="A516" s="3021">
        <v>22600</v>
      </c>
      <c r="B516" s="3021">
        <v>22650</v>
      </c>
      <c r="C516" s="3981">
        <v>2930</v>
      </c>
      <c r="D516" s="3626">
        <v>2466</v>
      </c>
      <c r="E516" s="3626">
        <v>2930</v>
      </c>
      <c r="F516" s="3626">
        <v>2731</v>
      </c>
    </row>
    <row r="517" spans="1:6" ht="15.75">
      <c r="A517" s="3021">
        <v>22650</v>
      </c>
      <c r="B517" s="3021">
        <v>22700</v>
      </c>
      <c r="C517" s="3981">
        <v>2938</v>
      </c>
      <c r="D517" s="3626">
        <v>2474</v>
      </c>
      <c r="E517" s="3626">
        <v>2938</v>
      </c>
      <c r="F517" s="3626">
        <v>2739</v>
      </c>
    </row>
    <row r="518" spans="1:6" ht="15.75">
      <c r="A518" s="3021">
        <v>22700</v>
      </c>
      <c r="B518" s="3021">
        <v>22750</v>
      </c>
      <c r="C518" s="3981">
        <v>2945</v>
      </c>
      <c r="D518" s="3626">
        <v>2481</v>
      </c>
      <c r="E518" s="3626">
        <v>2945</v>
      </c>
      <c r="F518" s="3626">
        <v>2746</v>
      </c>
    </row>
    <row r="519" spans="1:6" ht="15.75">
      <c r="A519" s="3021">
        <v>22750</v>
      </c>
      <c r="B519" s="3021">
        <v>22800</v>
      </c>
      <c r="C519" s="3981">
        <v>2953</v>
      </c>
      <c r="D519" s="3626">
        <v>2489</v>
      </c>
      <c r="E519" s="3626">
        <v>2953</v>
      </c>
      <c r="F519" s="3626">
        <v>2754</v>
      </c>
    </row>
    <row r="520" spans="1:6" ht="15.75">
      <c r="A520" s="3021">
        <v>22800</v>
      </c>
      <c r="B520" s="3021">
        <v>22850</v>
      </c>
      <c r="C520" s="3981">
        <v>2960</v>
      </c>
      <c r="D520" s="3626">
        <v>2496</v>
      </c>
      <c r="E520" s="3626">
        <v>2960</v>
      </c>
      <c r="F520" s="3626">
        <v>2761</v>
      </c>
    </row>
    <row r="521" spans="1:6" ht="15.75">
      <c r="A521" s="3021">
        <v>22850</v>
      </c>
      <c r="B521" s="3021">
        <v>22900</v>
      </c>
      <c r="C521" s="3981">
        <v>2968</v>
      </c>
      <c r="D521" s="3626">
        <v>2504</v>
      </c>
      <c r="E521" s="3626">
        <v>2968</v>
      </c>
      <c r="F521" s="3626">
        <v>2769</v>
      </c>
    </row>
    <row r="522" spans="1:6" ht="15.75">
      <c r="A522" s="3021">
        <v>22900</v>
      </c>
      <c r="B522" s="3021">
        <v>22950</v>
      </c>
      <c r="C522" s="3981">
        <v>2975</v>
      </c>
      <c r="D522" s="3626">
        <v>2511</v>
      </c>
      <c r="E522" s="3626">
        <v>2975</v>
      </c>
      <c r="F522" s="3626">
        <v>2776</v>
      </c>
    </row>
    <row r="523" spans="1:6" ht="15.75">
      <c r="A523" s="3021">
        <v>22950</v>
      </c>
      <c r="B523" s="3021">
        <v>23000</v>
      </c>
      <c r="C523" s="3981">
        <v>2983</v>
      </c>
      <c r="D523" s="3626">
        <v>2519</v>
      </c>
      <c r="E523" s="3626">
        <v>2983</v>
      </c>
      <c r="F523" s="3626">
        <v>2784</v>
      </c>
    </row>
    <row r="524" spans="1:6" ht="15.75">
      <c r="A524" s="3021">
        <v>23000</v>
      </c>
      <c r="B524" s="3021">
        <v>23050</v>
      </c>
      <c r="C524" s="3981">
        <v>2990</v>
      </c>
      <c r="D524" s="3626">
        <v>2526</v>
      </c>
      <c r="E524" s="3626">
        <v>2990</v>
      </c>
      <c r="F524" s="3626">
        <v>2791</v>
      </c>
    </row>
    <row r="525" spans="1:6" ht="15.75">
      <c r="A525" s="3021">
        <v>23050</v>
      </c>
      <c r="B525" s="3021">
        <v>23100</v>
      </c>
      <c r="C525" s="3981">
        <v>2998</v>
      </c>
      <c r="D525" s="3626">
        <v>2534</v>
      </c>
      <c r="E525" s="3626">
        <v>2998</v>
      </c>
      <c r="F525" s="3626">
        <v>2799</v>
      </c>
    </row>
    <row r="526" spans="1:6" ht="15.75">
      <c r="A526" s="3021">
        <v>23100</v>
      </c>
      <c r="B526" s="3021">
        <v>23150</v>
      </c>
      <c r="C526" s="3981">
        <v>3005</v>
      </c>
      <c r="D526" s="3626">
        <v>2541</v>
      </c>
      <c r="E526" s="3626">
        <v>3005</v>
      </c>
      <c r="F526" s="3626">
        <v>2806</v>
      </c>
    </row>
    <row r="527" spans="1:6" ht="15.75">
      <c r="A527" s="3021">
        <v>23150</v>
      </c>
      <c r="B527" s="3021">
        <v>23200</v>
      </c>
      <c r="C527" s="3981">
        <v>3013</v>
      </c>
      <c r="D527" s="3626">
        <v>2549</v>
      </c>
      <c r="E527" s="3626">
        <v>3013</v>
      </c>
      <c r="F527" s="3626">
        <v>2814</v>
      </c>
    </row>
    <row r="528" spans="1:6" ht="15.75">
      <c r="A528" s="3021">
        <v>23200</v>
      </c>
      <c r="B528" s="3021">
        <v>23250</v>
      </c>
      <c r="C528" s="3981">
        <v>3020</v>
      </c>
      <c r="D528" s="3626">
        <v>2556</v>
      </c>
      <c r="E528" s="3626">
        <v>3020</v>
      </c>
      <c r="F528" s="3626">
        <v>2821</v>
      </c>
    </row>
    <row r="529" spans="1:6" ht="15.75">
      <c r="A529" s="3021">
        <v>23250</v>
      </c>
      <c r="B529" s="3021">
        <v>23300</v>
      </c>
      <c r="C529" s="3981">
        <v>3028</v>
      </c>
      <c r="D529" s="3626">
        <v>2564</v>
      </c>
      <c r="E529" s="3626">
        <v>3028</v>
      </c>
      <c r="F529" s="3626">
        <v>2829</v>
      </c>
    </row>
    <row r="530" spans="1:6" ht="15.75">
      <c r="A530" s="3021">
        <v>23300</v>
      </c>
      <c r="B530" s="3021">
        <v>23350</v>
      </c>
      <c r="C530" s="3981">
        <v>3035</v>
      </c>
      <c r="D530" s="3626">
        <v>2571</v>
      </c>
      <c r="E530" s="3626">
        <v>3035</v>
      </c>
      <c r="F530" s="3626">
        <v>2836</v>
      </c>
    </row>
    <row r="531" spans="1:6" ht="15.75">
      <c r="A531" s="3021">
        <v>23350</v>
      </c>
      <c r="B531" s="3021">
        <v>23400</v>
      </c>
      <c r="C531" s="3981">
        <v>3043</v>
      </c>
      <c r="D531" s="3626">
        <v>2579</v>
      </c>
      <c r="E531" s="3626">
        <v>3043</v>
      </c>
      <c r="F531" s="3626">
        <v>2844</v>
      </c>
    </row>
    <row r="532" spans="1:6" ht="15.75">
      <c r="A532" s="3021">
        <v>23400</v>
      </c>
      <c r="B532" s="3021">
        <v>23450</v>
      </c>
      <c r="C532" s="3981">
        <v>3050</v>
      </c>
      <c r="D532" s="3626">
        <v>2586</v>
      </c>
      <c r="E532" s="3626">
        <v>3050</v>
      </c>
      <c r="F532" s="3626">
        <v>2851</v>
      </c>
    </row>
    <row r="533" spans="1:6" ht="15.75">
      <c r="A533" s="3021">
        <v>23450</v>
      </c>
      <c r="B533" s="3021">
        <v>23500</v>
      </c>
      <c r="C533" s="3981">
        <v>3058</v>
      </c>
      <c r="D533" s="3626">
        <v>2594</v>
      </c>
      <c r="E533" s="3626">
        <v>3058</v>
      </c>
      <c r="F533" s="3626">
        <v>2859</v>
      </c>
    </row>
    <row r="534" spans="1:6" ht="15.75">
      <c r="A534" s="3021">
        <v>23500</v>
      </c>
      <c r="B534" s="3021">
        <v>23550</v>
      </c>
      <c r="C534" s="3981">
        <v>3065</v>
      </c>
      <c r="D534" s="3626">
        <v>2601</v>
      </c>
      <c r="E534" s="3626">
        <v>3065</v>
      </c>
      <c r="F534" s="3626">
        <v>2866</v>
      </c>
    </row>
    <row r="535" spans="1:6" ht="15.75">
      <c r="A535" s="3021">
        <v>23550</v>
      </c>
      <c r="B535" s="3021">
        <v>23600</v>
      </c>
      <c r="C535" s="3981">
        <v>3073</v>
      </c>
      <c r="D535" s="3626">
        <v>2609</v>
      </c>
      <c r="E535" s="3626">
        <v>3073</v>
      </c>
      <c r="F535" s="3626">
        <v>2874</v>
      </c>
    </row>
    <row r="536" spans="1:6" ht="15.75">
      <c r="A536" s="3021">
        <v>23600</v>
      </c>
      <c r="B536" s="3021">
        <v>23650</v>
      </c>
      <c r="C536" s="3981">
        <v>3080</v>
      </c>
      <c r="D536" s="3626">
        <v>2616</v>
      </c>
      <c r="E536" s="3626">
        <v>3080</v>
      </c>
      <c r="F536" s="3626">
        <v>2881</v>
      </c>
    </row>
    <row r="537" spans="1:6" ht="15.75">
      <c r="A537" s="3021">
        <v>23650</v>
      </c>
      <c r="B537" s="3021">
        <v>23700</v>
      </c>
      <c r="C537" s="3981">
        <v>3088</v>
      </c>
      <c r="D537" s="3626">
        <v>2624</v>
      </c>
      <c r="E537" s="3626">
        <v>3088</v>
      </c>
      <c r="F537" s="3626">
        <v>2889</v>
      </c>
    </row>
    <row r="538" spans="1:6" ht="15.75">
      <c r="A538" s="3021">
        <v>23700</v>
      </c>
      <c r="B538" s="3021">
        <v>23750</v>
      </c>
      <c r="C538" s="3981">
        <v>3095</v>
      </c>
      <c r="D538" s="3626">
        <v>2631</v>
      </c>
      <c r="E538" s="3626">
        <v>3095</v>
      </c>
      <c r="F538" s="3626">
        <v>2896</v>
      </c>
    </row>
    <row r="539" spans="1:6" ht="15.75">
      <c r="A539" s="3021">
        <v>23750</v>
      </c>
      <c r="B539" s="3021">
        <v>23800</v>
      </c>
      <c r="C539" s="3981">
        <v>3103</v>
      </c>
      <c r="D539" s="3626">
        <v>2639</v>
      </c>
      <c r="E539" s="3626">
        <v>3103</v>
      </c>
      <c r="F539" s="3626">
        <v>2904</v>
      </c>
    </row>
    <row r="540" spans="1:6" ht="15.75">
      <c r="A540" s="3021">
        <v>23800</v>
      </c>
      <c r="B540" s="3021">
        <v>23850</v>
      </c>
      <c r="C540" s="3981">
        <v>3110</v>
      </c>
      <c r="D540" s="3626">
        <v>2646</v>
      </c>
      <c r="E540" s="3626">
        <v>3110</v>
      </c>
      <c r="F540" s="3626">
        <v>2911</v>
      </c>
    </row>
    <row r="541" spans="1:6" ht="15.75">
      <c r="A541" s="3021">
        <v>23850</v>
      </c>
      <c r="B541" s="3021">
        <v>23900</v>
      </c>
      <c r="C541" s="3981">
        <v>3118</v>
      </c>
      <c r="D541" s="3626">
        <v>2654</v>
      </c>
      <c r="E541" s="3626">
        <v>3118</v>
      </c>
      <c r="F541" s="3626">
        <v>2919</v>
      </c>
    </row>
    <row r="542" spans="1:6" ht="15.75">
      <c r="A542" s="3021">
        <v>23900</v>
      </c>
      <c r="B542" s="3021">
        <v>23950</v>
      </c>
      <c r="C542" s="3981">
        <v>3125</v>
      </c>
      <c r="D542" s="3626">
        <v>2661</v>
      </c>
      <c r="E542" s="3626">
        <v>3125</v>
      </c>
      <c r="F542" s="3626">
        <v>2926</v>
      </c>
    </row>
    <row r="543" spans="1:6" ht="15.75">
      <c r="A543" s="3021">
        <v>23950</v>
      </c>
      <c r="B543" s="3021">
        <v>24000</v>
      </c>
      <c r="C543" s="3981">
        <v>3133</v>
      </c>
      <c r="D543" s="3626">
        <v>2669</v>
      </c>
      <c r="E543" s="3626">
        <v>3133</v>
      </c>
      <c r="F543" s="3626">
        <v>2934</v>
      </c>
    </row>
    <row r="544" spans="1:6" ht="15.75">
      <c r="A544" s="3021">
        <v>24000</v>
      </c>
      <c r="B544" s="3021">
        <v>24050</v>
      </c>
      <c r="C544" s="3981">
        <v>3140</v>
      </c>
      <c r="D544" s="3626">
        <v>2676</v>
      </c>
      <c r="E544" s="3626">
        <v>3140</v>
      </c>
      <c r="F544" s="3626">
        <v>2941</v>
      </c>
    </row>
    <row r="545" spans="1:6" ht="15.75">
      <c r="A545" s="3021">
        <v>24050</v>
      </c>
      <c r="B545" s="3021">
        <v>24100</v>
      </c>
      <c r="C545" s="3981">
        <v>3148</v>
      </c>
      <c r="D545" s="3626">
        <v>2684</v>
      </c>
      <c r="E545" s="3626">
        <v>3148</v>
      </c>
      <c r="F545" s="3626">
        <v>2949</v>
      </c>
    </row>
    <row r="546" spans="1:6" ht="15.75">
      <c r="A546" s="3021">
        <v>24100</v>
      </c>
      <c r="B546" s="3021">
        <v>24150</v>
      </c>
      <c r="C546" s="3981">
        <v>3155</v>
      </c>
      <c r="D546" s="3626">
        <v>2691</v>
      </c>
      <c r="E546" s="3626">
        <v>3155</v>
      </c>
      <c r="F546" s="3626">
        <v>2956</v>
      </c>
    </row>
    <row r="547" spans="1:6" ht="15.75">
      <c r="A547" s="3021">
        <v>24150</v>
      </c>
      <c r="B547" s="3021">
        <v>24200</v>
      </c>
      <c r="C547" s="3981">
        <v>3163</v>
      </c>
      <c r="D547" s="3626">
        <v>2699</v>
      </c>
      <c r="E547" s="3626">
        <v>3163</v>
      </c>
      <c r="F547" s="3626">
        <v>2964</v>
      </c>
    </row>
    <row r="548" spans="1:6" ht="15.75">
      <c r="A548" s="3021">
        <v>24200</v>
      </c>
      <c r="B548" s="3021">
        <v>24250</v>
      </c>
      <c r="C548" s="3981">
        <v>3170</v>
      </c>
      <c r="D548" s="3626">
        <v>2706</v>
      </c>
      <c r="E548" s="3626">
        <v>3170</v>
      </c>
      <c r="F548" s="3626">
        <v>2971</v>
      </c>
    </row>
    <row r="549" spans="1:6" ht="15.75">
      <c r="A549" s="3021">
        <v>24250</v>
      </c>
      <c r="B549" s="3021">
        <v>24300</v>
      </c>
      <c r="C549" s="3981">
        <v>3178</v>
      </c>
      <c r="D549" s="3626">
        <v>2714</v>
      </c>
      <c r="E549" s="3626">
        <v>3178</v>
      </c>
      <c r="F549" s="3626">
        <v>2979</v>
      </c>
    </row>
    <row r="550" spans="1:6" ht="15.75">
      <c r="A550" s="3021">
        <v>24300</v>
      </c>
      <c r="B550" s="3021">
        <v>24350</v>
      </c>
      <c r="C550" s="3981">
        <v>3185</v>
      </c>
      <c r="D550" s="3626">
        <v>2721</v>
      </c>
      <c r="E550" s="3626">
        <v>3185</v>
      </c>
      <c r="F550" s="3626">
        <v>2986</v>
      </c>
    </row>
    <row r="551" spans="1:6" ht="15.75">
      <c r="A551" s="3021">
        <v>24350</v>
      </c>
      <c r="B551" s="3021">
        <v>24400</v>
      </c>
      <c r="C551" s="3981">
        <v>3193</v>
      </c>
      <c r="D551" s="3626">
        <v>2729</v>
      </c>
      <c r="E551" s="3626">
        <v>3193</v>
      </c>
      <c r="F551" s="3626">
        <v>2994</v>
      </c>
    </row>
    <row r="552" spans="1:6" ht="15.75">
      <c r="A552" s="3021">
        <v>24400</v>
      </c>
      <c r="B552" s="3021">
        <v>24450</v>
      </c>
      <c r="C552" s="3981">
        <v>3200</v>
      </c>
      <c r="D552" s="3626">
        <v>2736</v>
      </c>
      <c r="E552" s="3626">
        <v>3200</v>
      </c>
      <c r="F552" s="3626">
        <v>3001</v>
      </c>
    </row>
    <row r="553" spans="1:6" ht="15.75">
      <c r="A553" s="3021">
        <v>24450</v>
      </c>
      <c r="B553" s="3021">
        <v>24500</v>
      </c>
      <c r="C553" s="3981">
        <v>3208</v>
      </c>
      <c r="D553" s="3626">
        <v>2744</v>
      </c>
      <c r="E553" s="3626">
        <v>3208</v>
      </c>
      <c r="F553" s="3626">
        <v>3009</v>
      </c>
    </row>
    <row r="554" spans="1:6" ht="15.75">
      <c r="A554" s="3021">
        <v>24500</v>
      </c>
      <c r="B554" s="3021">
        <v>24550</v>
      </c>
      <c r="C554" s="3981">
        <v>3215</v>
      </c>
      <c r="D554" s="3626">
        <v>2751</v>
      </c>
      <c r="E554" s="3626">
        <v>3215</v>
      </c>
      <c r="F554" s="3626">
        <v>3016</v>
      </c>
    </row>
    <row r="555" spans="1:6" ht="15.75">
      <c r="A555" s="3021">
        <v>24550</v>
      </c>
      <c r="B555" s="3021">
        <v>24600</v>
      </c>
      <c r="C555" s="3981">
        <v>3223</v>
      </c>
      <c r="D555" s="3626">
        <v>2759</v>
      </c>
      <c r="E555" s="3626">
        <v>3223</v>
      </c>
      <c r="F555" s="3626">
        <v>3024</v>
      </c>
    </row>
    <row r="556" spans="1:6" ht="15.75">
      <c r="A556" s="3021">
        <v>24600</v>
      </c>
      <c r="B556" s="3021">
        <v>24650</v>
      </c>
      <c r="C556" s="3981">
        <v>3230</v>
      </c>
      <c r="D556" s="3626">
        <v>2766</v>
      </c>
      <c r="E556" s="3626">
        <v>3230</v>
      </c>
      <c r="F556" s="3626">
        <v>3031</v>
      </c>
    </row>
    <row r="557" spans="1:6" ht="15.75">
      <c r="A557" s="3021">
        <v>24650</v>
      </c>
      <c r="B557" s="3021">
        <v>24700</v>
      </c>
      <c r="C557" s="3981">
        <v>3238</v>
      </c>
      <c r="D557" s="3626">
        <v>2774</v>
      </c>
      <c r="E557" s="3626">
        <v>3238</v>
      </c>
      <c r="F557" s="3626">
        <v>3039</v>
      </c>
    </row>
    <row r="558" spans="1:6" ht="15.75">
      <c r="A558" s="3021">
        <v>24700</v>
      </c>
      <c r="B558" s="3021">
        <v>24750</v>
      </c>
      <c r="C558" s="3981">
        <v>3245</v>
      </c>
      <c r="D558" s="3626">
        <v>2781</v>
      </c>
      <c r="E558" s="3626">
        <v>3245</v>
      </c>
      <c r="F558" s="3626">
        <v>3046</v>
      </c>
    </row>
    <row r="559" spans="1:6" ht="15.75">
      <c r="A559" s="3021">
        <v>24750</v>
      </c>
      <c r="B559" s="3021">
        <v>24800</v>
      </c>
      <c r="C559" s="3981">
        <v>3253</v>
      </c>
      <c r="D559" s="3626">
        <v>2789</v>
      </c>
      <c r="E559" s="3626">
        <v>3253</v>
      </c>
      <c r="F559" s="3626">
        <v>3054</v>
      </c>
    </row>
    <row r="560" spans="1:6" ht="15.75">
      <c r="A560" s="3021">
        <v>24800</v>
      </c>
      <c r="B560" s="3021">
        <v>24850</v>
      </c>
      <c r="C560" s="3981">
        <v>3260</v>
      </c>
      <c r="D560" s="3626">
        <v>2796</v>
      </c>
      <c r="E560" s="3626">
        <v>3260</v>
      </c>
      <c r="F560" s="3626">
        <v>3061</v>
      </c>
    </row>
    <row r="561" spans="1:6" ht="15.75">
      <c r="A561" s="3021">
        <v>24850</v>
      </c>
      <c r="B561" s="3021">
        <v>24900</v>
      </c>
      <c r="C561" s="3981">
        <v>3268</v>
      </c>
      <c r="D561" s="3626">
        <v>2804</v>
      </c>
      <c r="E561" s="3626">
        <v>3268</v>
      </c>
      <c r="F561" s="3626">
        <v>3069</v>
      </c>
    </row>
    <row r="562" spans="1:6" ht="15.75">
      <c r="A562" s="3021">
        <v>24900</v>
      </c>
      <c r="B562" s="3021">
        <v>24950</v>
      </c>
      <c r="C562" s="3981">
        <v>3275</v>
      </c>
      <c r="D562" s="3626">
        <v>2811</v>
      </c>
      <c r="E562" s="3626">
        <v>3275</v>
      </c>
      <c r="F562" s="3626">
        <v>3076</v>
      </c>
    </row>
    <row r="563" spans="1:6" ht="15.75">
      <c r="A563" s="3021">
        <v>24950</v>
      </c>
      <c r="B563" s="3021">
        <v>25000</v>
      </c>
      <c r="C563" s="3981">
        <v>3283</v>
      </c>
      <c r="D563" s="3626">
        <v>2819</v>
      </c>
      <c r="E563" s="3626">
        <v>3283</v>
      </c>
      <c r="F563" s="3626">
        <v>3084</v>
      </c>
    </row>
    <row r="564" spans="1:6" ht="15.75">
      <c r="A564" s="3021">
        <v>25000</v>
      </c>
      <c r="B564" s="3021">
        <v>25050</v>
      </c>
      <c r="C564" s="3981">
        <v>3290</v>
      </c>
      <c r="D564" s="3626">
        <v>2826</v>
      </c>
      <c r="E564" s="3626">
        <v>3290</v>
      </c>
      <c r="F564" s="3626">
        <v>3091</v>
      </c>
    </row>
    <row r="565" spans="1:6" ht="15.75">
      <c r="A565" s="3021">
        <v>25050</v>
      </c>
      <c r="B565" s="3021">
        <v>25100</v>
      </c>
      <c r="C565" s="3981">
        <v>3298</v>
      </c>
      <c r="D565" s="3626">
        <v>2834</v>
      </c>
      <c r="E565" s="3626">
        <v>3298</v>
      </c>
      <c r="F565" s="3626">
        <v>3099</v>
      </c>
    </row>
    <row r="566" spans="1:6" ht="15.75">
      <c r="A566" s="3021">
        <v>25100</v>
      </c>
      <c r="B566" s="3021">
        <v>25150</v>
      </c>
      <c r="C566" s="3981">
        <v>3305</v>
      </c>
      <c r="D566" s="3626">
        <v>2841</v>
      </c>
      <c r="E566" s="3626">
        <v>3305</v>
      </c>
      <c r="F566" s="3626">
        <v>3106</v>
      </c>
    </row>
    <row r="567" spans="1:6" ht="15.75">
      <c r="A567" s="3021">
        <v>25150</v>
      </c>
      <c r="B567" s="3021">
        <v>25200</v>
      </c>
      <c r="C567" s="3981">
        <v>3313</v>
      </c>
      <c r="D567" s="3626">
        <v>2849</v>
      </c>
      <c r="E567" s="3626">
        <v>3313</v>
      </c>
      <c r="F567" s="3626">
        <v>3114</v>
      </c>
    </row>
    <row r="568" spans="1:6" ht="15.75">
      <c r="A568" s="3021">
        <v>25200</v>
      </c>
      <c r="B568" s="3021">
        <v>25250</v>
      </c>
      <c r="C568" s="3981">
        <v>3320</v>
      </c>
      <c r="D568" s="3626">
        <v>2856</v>
      </c>
      <c r="E568" s="3626">
        <v>3320</v>
      </c>
      <c r="F568" s="3626">
        <v>3121</v>
      </c>
    </row>
    <row r="569" spans="1:6" ht="15.75">
      <c r="A569" s="3021">
        <v>25250</v>
      </c>
      <c r="B569" s="3021">
        <v>25300</v>
      </c>
      <c r="C569" s="3981">
        <v>3328</v>
      </c>
      <c r="D569" s="3626">
        <v>2864</v>
      </c>
      <c r="E569" s="3626">
        <v>3328</v>
      </c>
      <c r="F569" s="3626">
        <v>3129</v>
      </c>
    </row>
    <row r="570" spans="1:6" ht="15.75">
      <c r="A570" s="3021">
        <v>25300</v>
      </c>
      <c r="B570" s="3021">
        <v>25350</v>
      </c>
      <c r="C570" s="3981">
        <v>3335</v>
      </c>
      <c r="D570" s="3626">
        <v>2871</v>
      </c>
      <c r="E570" s="3626">
        <v>3335</v>
      </c>
      <c r="F570" s="3626">
        <v>3136</v>
      </c>
    </row>
    <row r="571" spans="1:6" ht="15.75">
      <c r="A571" s="3021">
        <v>25350</v>
      </c>
      <c r="B571" s="3021">
        <v>25400</v>
      </c>
      <c r="C571" s="3981">
        <v>3343</v>
      </c>
      <c r="D571" s="3626">
        <v>2879</v>
      </c>
      <c r="E571" s="3626">
        <v>3343</v>
      </c>
      <c r="F571" s="3626">
        <v>3144</v>
      </c>
    </row>
    <row r="572" spans="1:6" ht="15.75">
      <c r="A572" s="3021">
        <v>25400</v>
      </c>
      <c r="B572" s="3021">
        <v>25450</v>
      </c>
      <c r="C572" s="3981">
        <v>3350</v>
      </c>
      <c r="D572" s="3626">
        <v>2886</v>
      </c>
      <c r="E572" s="3626">
        <v>3350</v>
      </c>
      <c r="F572" s="3626">
        <v>3151</v>
      </c>
    </row>
    <row r="573" spans="1:6" ht="15.75">
      <c r="A573" s="3021">
        <v>25450</v>
      </c>
      <c r="B573" s="3021">
        <v>25500</v>
      </c>
      <c r="C573" s="3981">
        <v>3358</v>
      </c>
      <c r="D573" s="3626">
        <v>2894</v>
      </c>
      <c r="E573" s="3626">
        <v>3358</v>
      </c>
      <c r="F573" s="3626">
        <v>3159</v>
      </c>
    </row>
    <row r="574" spans="1:6" ht="15.75">
      <c r="A574" s="3021">
        <v>25500</v>
      </c>
      <c r="B574" s="3021">
        <v>25550</v>
      </c>
      <c r="C574" s="3981">
        <v>3365</v>
      </c>
      <c r="D574" s="3626">
        <v>2901</v>
      </c>
      <c r="E574" s="3626">
        <v>3365</v>
      </c>
      <c r="F574" s="3626">
        <v>3166</v>
      </c>
    </row>
    <row r="575" spans="1:6" ht="15.75">
      <c r="A575" s="3021">
        <v>25550</v>
      </c>
      <c r="B575" s="3021">
        <v>25600</v>
      </c>
      <c r="C575" s="3981">
        <v>3373</v>
      </c>
      <c r="D575" s="3626">
        <v>2909</v>
      </c>
      <c r="E575" s="3626">
        <v>3373</v>
      </c>
      <c r="F575" s="3626">
        <v>3174</v>
      </c>
    </row>
    <row r="576" spans="1:6" ht="15.75">
      <c r="A576" s="3021">
        <v>25600</v>
      </c>
      <c r="B576" s="3021">
        <v>25650</v>
      </c>
      <c r="C576" s="3981">
        <v>3380</v>
      </c>
      <c r="D576" s="3626">
        <v>2916</v>
      </c>
      <c r="E576" s="3626">
        <v>3380</v>
      </c>
      <c r="F576" s="3626">
        <v>3181</v>
      </c>
    </row>
    <row r="577" spans="1:6" ht="15.75">
      <c r="A577" s="3021">
        <v>25650</v>
      </c>
      <c r="B577" s="3021">
        <v>25700</v>
      </c>
      <c r="C577" s="3981">
        <v>3388</v>
      </c>
      <c r="D577" s="3626">
        <v>2924</v>
      </c>
      <c r="E577" s="3626">
        <v>3388</v>
      </c>
      <c r="F577" s="3626">
        <v>3189</v>
      </c>
    </row>
    <row r="578" spans="1:6" ht="15.75">
      <c r="A578" s="3021">
        <v>25700</v>
      </c>
      <c r="B578" s="3021">
        <v>25750</v>
      </c>
      <c r="C578" s="3981">
        <v>3395</v>
      </c>
      <c r="D578" s="3626">
        <v>2931</v>
      </c>
      <c r="E578" s="3626">
        <v>3395</v>
      </c>
      <c r="F578" s="3626">
        <v>3196</v>
      </c>
    </row>
    <row r="579" spans="1:6" ht="15.75">
      <c r="A579" s="3021">
        <v>25750</v>
      </c>
      <c r="B579" s="3021">
        <v>25800</v>
      </c>
      <c r="C579" s="3981">
        <v>3403</v>
      </c>
      <c r="D579" s="3626">
        <v>2939</v>
      </c>
      <c r="E579" s="3626">
        <v>3403</v>
      </c>
      <c r="F579" s="3626">
        <v>3204</v>
      </c>
    </row>
    <row r="580" spans="1:6" ht="15.75">
      <c r="A580" s="3021">
        <v>25800</v>
      </c>
      <c r="B580" s="3021">
        <v>25850</v>
      </c>
      <c r="C580" s="3981">
        <v>3410</v>
      </c>
      <c r="D580" s="3626">
        <v>2946</v>
      </c>
      <c r="E580" s="3626">
        <v>3410</v>
      </c>
      <c r="F580" s="3626">
        <v>3211</v>
      </c>
    </row>
    <row r="581" spans="1:6" ht="15.75">
      <c r="A581" s="3021">
        <v>25850</v>
      </c>
      <c r="B581" s="3021">
        <v>25900</v>
      </c>
      <c r="C581" s="3981">
        <v>3418</v>
      </c>
      <c r="D581" s="3626">
        <v>2954</v>
      </c>
      <c r="E581" s="3626">
        <v>3418</v>
      </c>
      <c r="F581" s="3626">
        <v>3219</v>
      </c>
    </row>
    <row r="582" spans="1:6" ht="15.75">
      <c r="A582" s="3021">
        <v>25900</v>
      </c>
      <c r="B582" s="3021">
        <v>25950</v>
      </c>
      <c r="C582" s="3981">
        <v>3425</v>
      </c>
      <c r="D582" s="3626">
        <v>2961</v>
      </c>
      <c r="E582" s="3626">
        <v>3425</v>
      </c>
      <c r="F582" s="3626">
        <v>3226</v>
      </c>
    </row>
    <row r="583" spans="1:6" ht="15.75">
      <c r="A583" s="3021">
        <v>25950</v>
      </c>
      <c r="B583" s="3021">
        <v>26000</v>
      </c>
      <c r="C583" s="3981">
        <v>3433</v>
      </c>
      <c r="D583" s="3626">
        <v>2969</v>
      </c>
      <c r="E583" s="3626">
        <v>3433</v>
      </c>
      <c r="F583" s="3626">
        <v>3234</v>
      </c>
    </row>
    <row r="584" spans="1:6" ht="15.75">
      <c r="A584" s="3021">
        <v>26000</v>
      </c>
      <c r="B584" s="3021">
        <v>26050</v>
      </c>
      <c r="C584" s="3981">
        <v>3440</v>
      </c>
      <c r="D584" s="3626">
        <v>2976</v>
      </c>
      <c r="E584" s="3626">
        <v>3440</v>
      </c>
      <c r="F584" s="3626">
        <v>3241</v>
      </c>
    </row>
    <row r="585" spans="1:6" ht="15.75">
      <c r="A585" s="3021">
        <v>26050</v>
      </c>
      <c r="B585" s="3021">
        <v>26100</v>
      </c>
      <c r="C585" s="3981">
        <v>3448</v>
      </c>
      <c r="D585" s="3626">
        <v>2984</v>
      </c>
      <c r="E585" s="3626">
        <v>3448</v>
      </c>
      <c r="F585" s="3626">
        <v>3249</v>
      </c>
    </row>
    <row r="586" spans="1:6" ht="15.75">
      <c r="A586" s="3021">
        <v>26100</v>
      </c>
      <c r="B586" s="3021">
        <v>26150</v>
      </c>
      <c r="C586" s="3981">
        <v>3455</v>
      </c>
      <c r="D586" s="3626">
        <v>2991</v>
      </c>
      <c r="E586" s="3626">
        <v>3455</v>
      </c>
      <c r="F586" s="3626">
        <v>3256</v>
      </c>
    </row>
    <row r="587" spans="1:6" ht="15.75">
      <c r="A587" s="3021">
        <v>26150</v>
      </c>
      <c r="B587" s="3021">
        <v>26200</v>
      </c>
      <c r="C587" s="3981">
        <v>3463</v>
      </c>
      <c r="D587" s="3626">
        <v>2999</v>
      </c>
      <c r="E587" s="3626">
        <v>3463</v>
      </c>
      <c r="F587" s="3626">
        <v>3264</v>
      </c>
    </row>
    <row r="588" spans="1:6" ht="15.75">
      <c r="A588" s="3021">
        <v>26200</v>
      </c>
      <c r="B588" s="3021">
        <v>26250</v>
      </c>
      <c r="C588" s="3981">
        <v>3470</v>
      </c>
      <c r="D588" s="3626">
        <v>3006</v>
      </c>
      <c r="E588" s="3626">
        <v>3470</v>
      </c>
      <c r="F588" s="3626">
        <v>3271</v>
      </c>
    </row>
    <row r="589" spans="1:6" ht="15.75">
      <c r="A589" s="3021">
        <v>26250</v>
      </c>
      <c r="B589" s="3021">
        <v>26300</v>
      </c>
      <c r="C589" s="3981">
        <v>3478</v>
      </c>
      <c r="D589" s="3626">
        <v>3014</v>
      </c>
      <c r="E589" s="3626">
        <v>3478</v>
      </c>
      <c r="F589" s="3626">
        <v>3279</v>
      </c>
    </row>
    <row r="590" spans="1:6" ht="15.75">
      <c r="A590" s="3021">
        <v>26300</v>
      </c>
      <c r="B590" s="3021">
        <v>26350</v>
      </c>
      <c r="C590" s="3981">
        <v>3485</v>
      </c>
      <c r="D590" s="3626">
        <v>3021</v>
      </c>
      <c r="E590" s="3626">
        <v>3485</v>
      </c>
      <c r="F590" s="3626">
        <v>3286</v>
      </c>
    </row>
    <row r="591" spans="1:6" ht="15.75">
      <c r="A591" s="3021">
        <v>26350</v>
      </c>
      <c r="B591" s="3021">
        <v>26400</v>
      </c>
      <c r="C591" s="3981">
        <v>3493</v>
      </c>
      <c r="D591" s="3626">
        <v>3029</v>
      </c>
      <c r="E591" s="3626">
        <v>3493</v>
      </c>
      <c r="F591" s="3626">
        <v>3294</v>
      </c>
    </row>
    <row r="592" spans="1:6" ht="15.75">
      <c r="A592" s="3021">
        <v>26400</v>
      </c>
      <c r="B592" s="3021">
        <v>26450</v>
      </c>
      <c r="C592" s="3981">
        <v>3500</v>
      </c>
      <c r="D592" s="3626">
        <v>3036</v>
      </c>
      <c r="E592" s="3626">
        <v>3500</v>
      </c>
      <c r="F592" s="3626">
        <v>3301</v>
      </c>
    </row>
    <row r="593" spans="1:6" ht="15.75">
      <c r="A593" s="3021">
        <v>26450</v>
      </c>
      <c r="B593" s="3021">
        <v>26500</v>
      </c>
      <c r="C593" s="3981">
        <v>3508</v>
      </c>
      <c r="D593" s="3626">
        <v>3044</v>
      </c>
      <c r="E593" s="3626">
        <v>3508</v>
      </c>
      <c r="F593" s="3626">
        <v>3309</v>
      </c>
    </row>
    <row r="594" spans="1:6" ht="15.75">
      <c r="A594" s="3021">
        <v>26500</v>
      </c>
      <c r="B594" s="3021">
        <v>26550</v>
      </c>
      <c r="C594" s="3981">
        <v>3515</v>
      </c>
      <c r="D594" s="3626">
        <v>3051</v>
      </c>
      <c r="E594" s="3626">
        <v>3515</v>
      </c>
      <c r="F594" s="3626">
        <v>3316</v>
      </c>
    </row>
    <row r="595" spans="1:6" ht="15.75">
      <c r="A595" s="3021">
        <v>26550</v>
      </c>
      <c r="B595" s="3021">
        <v>26600</v>
      </c>
      <c r="C595" s="3981">
        <v>3523</v>
      </c>
      <c r="D595" s="3626">
        <v>3059</v>
      </c>
      <c r="E595" s="3626">
        <v>3523</v>
      </c>
      <c r="F595" s="3626">
        <v>3324</v>
      </c>
    </row>
    <row r="596" spans="1:6" ht="15.75">
      <c r="A596" s="3021">
        <v>26600</v>
      </c>
      <c r="B596" s="3021">
        <v>26650</v>
      </c>
      <c r="C596" s="3981">
        <v>3530</v>
      </c>
      <c r="D596" s="3626">
        <v>3066</v>
      </c>
      <c r="E596" s="3626">
        <v>3530</v>
      </c>
      <c r="F596" s="3626">
        <v>3331</v>
      </c>
    </row>
    <row r="597" spans="1:6" ht="15.75">
      <c r="A597" s="3021">
        <v>26650</v>
      </c>
      <c r="B597" s="3021">
        <v>26700</v>
      </c>
      <c r="C597" s="3981">
        <v>3538</v>
      </c>
      <c r="D597" s="3626">
        <v>3074</v>
      </c>
      <c r="E597" s="3626">
        <v>3538</v>
      </c>
      <c r="F597" s="3626">
        <v>3339</v>
      </c>
    </row>
    <row r="598" spans="1:6" ht="15.75">
      <c r="A598" s="3021">
        <v>26700</v>
      </c>
      <c r="B598" s="3021">
        <v>26750</v>
      </c>
      <c r="C598" s="3981">
        <v>3545</v>
      </c>
      <c r="D598" s="3626">
        <v>3081</v>
      </c>
      <c r="E598" s="3626">
        <v>3545</v>
      </c>
      <c r="F598" s="3626">
        <v>3346</v>
      </c>
    </row>
    <row r="599" spans="1:6" ht="15.75">
      <c r="A599" s="3021">
        <v>26750</v>
      </c>
      <c r="B599" s="3021">
        <v>26800</v>
      </c>
      <c r="C599" s="3981">
        <v>3553</v>
      </c>
      <c r="D599" s="3626">
        <v>3089</v>
      </c>
      <c r="E599" s="3626">
        <v>3553</v>
      </c>
      <c r="F599" s="3626">
        <v>3354</v>
      </c>
    </row>
    <row r="600" spans="1:6" ht="15.75">
      <c r="A600" s="3021">
        <v>26800</v>
      </c>
      <c r="B600" s="3021">
        <v>26850</v>
      </c>
      <c r="C600" s="3981">
        <v>3560</v>
      </c>
      <c r="D600" s="3626">
        <v>3096</v>
      </c>
      <c r="E600" s="3626">
        <v>3560</v>
      </c>
      <c r="F600" s="3626">
        <v>3361</v>
      </c>
    </row>
    <row r="601" spans="1:6" ht="15.75">
      <c r="A601" s="3021">
        <v>26850</v>
      </c>
      <c r="B601" s="3021">
        <v>26900</v>
      </c>
      <c r="C601" s="3981">
        <v>3568</v>
      </c>
      <c r="D601" s="3626">
        <v>3104</v>
      </c>
      <c r="E601" s="3626">
        <v>3568</v>
      </c>
      <c r="F601" s="3626">
        <v>3369</v>
      </c>
    </row>
    <row r="602" spans="1:6" ht="15.75">
      <c r="A602" s="3021">
        <v>26900</v>
      </c>
      <c r="B602" s="3021">
        <v>26950</v>
      </c>
      <c r="C602" s="3981">
        <v>3575</v>
      </c>
      <c r="D602" s="3626">
        <v>3111</v>
      </c>
      <c r="E602" s="3626">
        <v>3575</v>
      </c>
      <c r="F602" s="3626">
        <v>3376</v>
      </c>
    </row>
    <row r="603" spans="1:6" ht="15.75">
      <c r="A603" s="3021">
        <v>26950</v>
      </c>
      <c r="B603" s="3021">
        <v>27000</v>
      </c>
      <c r="C603" s="3981">
        <v>3583</v>
      </c>
      <c r="D603" s="3626">
        <v>3119</v>
      </c>
      <c r="E603" s="3626">
        <v>3583</v>
      </c>
      <c r="F603" s="3626">
        <v>3384</v>
      </c>
    </row>
    <row r="604" spans="1:6" ht="15.75">
      <c r="A604" s="3021">
        <v>27000</v>
      </c>
      <c r="B604" s="3021">
        <v>27050</v>
      </c>
      <c r="C604" s="3981">
        <v>3590</v>
      </c>
      <c r="D604" s="3626">
        <v>3126</v>
      </c>
      <c r="E604" s="3626">
        <v>3590</v>
      </c>
      <c r="F604" s="3626">
        <v>3391</v>
      </c>
    </row>
    <row r="605" spans="1:6" ht="15.75">
      <c r="A605" s="3021">
        <v>27050</v>
      </c>
      <c r="B605" s="3021">
        <v>27100</v>
      </c>
      <c r="C605" s="3981">
        <v>3598</v>
      </c>
      <c r="D605" s="3626">
        <v>3134</v>
      </c>
      <c r="E605" s="3626">
        <v>3598</v>
      </c>
      <c r="F605" s="3626">
        <v>3399</v>
      </c>
    </row>
    <row r="606" spans="1:6" ht="15.75">
      <c r="A606" s="3021">
        <v>27100</v>
      </c>
      <c r="B606" s="3021">
        <v>27150</v>
      </c>
      <c r="C606" s="3981">
        <v>3605</v>
      </c>
      <c r="D606" s="3626">
        <v>3141</v>
      </c>
      <c r="E606" s="3626">
        <v>3605</v>
      </c>
      <c r="F606" s="3626">
        <v>3406</v>
      </c>
    </row>
    <row r="607" spans="1:6" ht="15.75">
      <c r="A607" s="3021">
        <v>27150</v>
      </c>
      <c r="B607" s="3021">
        <v>27200</v>
      </c>
      <c r="C607" s="3981">
        <v>3613</v>
      </c>
      <c r="D607" s="3626">
        <v>3149</v>
      </c>
      <c r="E607" s="3626">
        <v>3613</v>
      </c>
      <c r="F607" s="3626">
        <v>3414</v>
      </c>
    </row>
    <row r="608" spans="1:6" ht="15.75">
      <c r="A608" s="3021">
        <v>27200</v>
      </c>
      <c r="B608" s="3021">
        <v>27250</v>
      </c>
      <c r="C608" s="3981">
        <v>3620</v>
      </c>
      <c r="D608" s="3626">
        <v>3156</v>
      </c>
      <c r="E608" s="3626">
        <v>3620</v>
      </c>
      <c r="F608" s="3626">
        <v>3421</v>
      </c>
    </row>
    <row r="609" spans="1:6" ht="15.75">
      <c r="A609" s="3021">
        <v>27250</v>
      </c>
      <c r="B609" s="3021">
        <v>27300</v>
      </c>
      <c r="C609" s="3981">
        <v>3628</v>
      </c>
      <c r="D609" s="3626">
        <v>3164</v>
      </c>
      <c r="E609" s="3626">
        <v>3628</v>
      </c>
      <c r="F609" s="3626">
        <v>3429</v>
      </c>
    </row>
    <row r="610" spans="1:6" ht="15.75">
      <c r="A610" s="3021">
        <v>27300</v>
      </c>
      <c r="B610" s="3021">
        <v>27350</v>
      </c>
      <c r="C610" s="3981">
        <v>3635</v>
      </c>
      <c r="D610" s="3626">
        <v>3171</v>
      </c>
      <c r="E610" s="3626">
        <v>3635</v>
      </c>
      <c r="F610" s="3626">
        <v>3436</v>
      </c>
    </row>
    <row r="611" spans="1:6" ht="15.75">
      <c r="A611" s="3021">
        <v>27350</v>
      </c>
      <c r="B611" s="3021">
        <v>27400</v>
      </c>
      <c r="C611" s="3981">
        <v>3643</v>
      </c>
      <c r="D611" s="3626">
        <v>3179</v>
      </c>
      <c r="E611" s="3626">
        <v>3643</v>
      </c>
      <c r="F611" s="3626">
        <v>3444</v>
      </c>
    </row>
    <row r="612" spans="1:6" ht="15.75">
      <c r="A612" s="3021">
        <v>27400</v>
      </c>
      <c r="B612" s="3021">
        <v>27450</v>
      </c>
      <c r="C612" s="3981">
        <v>3650</v>
      </c>
      <c r="D612" s="3626">
        <v>3186</v>
      </c>
      <c r="E612" s="3626">
        <v>3650</v>
      </c>
      <c r="F612" s="3626">
        <v>3451</v>
      </c>
    </row>
    <row r="613" spans="1:6" ht="15.75">
      <c r="A613" s="3021">
        <v>27450</v>
      </c>
      <c r="B613" s="3021">
        <v>27500</v>
      </c>
      <c r="C613" s="3981">
        <v>3658</v>
      </c>
      <c r="D613" s="3626">
        <v>3194</v>
      </c>
      <c r="E613" s="3626">
        <v>3658</v>
      </c>
      <c r="F613" s="3626">
        <v>3459</v>
      </c>
    </row>
    <row r="614" spans="1:6" ht="15.75">
      <c r="A614" s="3021">
        <v>27500</v>
      </c>
      <c r="B614" s="3021">
        <v>27550</v>
      </c>
      <c r="C614" s="3981">
        <v>3665</v>
      </c>
      <c r="D614" s="3626">
        <v>3201</v>
      </c>
      <c r="E614" s="3626">
        <v>3665</v>
      </c>
      <c r="F614" s="3626">
        <v>3466</v>
      </c>
    </row>
    <row r="615" spans="1:6" ht="15.75">
      <c r="A615" s="3021">
        <v>27550</v>
      </c>
      <c r="B615" s="3021">
        <v>27600</v>
      </c>
      <c r="C615" s="3981">
        <v>3673</v>
      </c>
      <c r="D615" s="3626">
        <v>3209</v>
      </c>
      <c r="E615" s="3626">
        <v>3673</v>
      </c>
      <c r="F615" s="3626">
        <v>3474</v>
      </c>
    </row>
    <row r="616" spans="1:6" ht="15.75">
      <c r="A616" s="3021">
        <v>27600</v>
      </c>
      <c r="B616" s="3021">
        <v>27650</v>
      </c>
      <c r="C616" s="3981">
        <v>3680</v>
      </c>
      <c r="D616" s="3626">
        <v>3216</v>
      </c>
      <c r="E616" s="3626">
        <v>3680</v>
      </c>
      <c r="F616" s="3626">
        <v>3481</v>
      </c>
    </row>
    <row r="617" spans="1:6" ht="15.75">
      <c r="A617" s="3021">
        <v>27650</v>
      </c>
      <c r="B617" s="3021">
        <v>27700</v>
      </c>
      <c r="C617" s="3981">
        <v>3688</v>
      </c>
      <c r="D617" s="3626">
        <v>3224</v>
      </c>
      <c r="E617" s="3626">
        <v>3688</v>
      </c>
      <c r="F617" s="3626">
        <v>3489</v>
      </c>
    </row>
    <row r="618" spans="1:6" ht="15.75">
      <c r="A618" s="3021">
        <v>27700</v>
      </c>
      <c r="B618" s="3021">
        <v>27750</v>
      </c>
      <c r="C618" s="3981">
        <v>3695</v>
      </c>
      <c r="D618" s="3626">
        <v>3231</v>
      </c>
      <c r="E618" s="3626">
        <v>3695</v>
      </c>
      <c r="F618" s="3626">
        <v>3496</v>
      </c>
    </row>
    <row r="619" spans="1:6" ht="15.75">
      <c r="A619" s="3021">
        <v>27750</v>
      </c>
      <c r="B619" s="3021">
        <v>27800</v>
      </c>
      <c r="C619" s="3981">
        <v>3703</v>
      </c>
      <c r="D619" s="3626">
        <v>3239</v>
      </c>
      <c r="E619" s="3626">
        <v>3703</v>
      </c>
      <c r="F619" s="3626">
        <v>3504</v>
      </c>
    </row>
    <row r="620" spans="1:6" ht="15.75">
      <c r="A620" s="3021">
        <v>27800</v>
      </c>
      <c r="B620" s="3021">
        <v>27850</v>
      </c>
      <c r="C620" s="3981">
        <v>3710</v>
      </c>
      <c r="D620" s="3626">
        <v>3246</v>
      </c>
      <c r="E620" s="3626">
        <v>3710</v>
      </c>
      <c r="F620" s="3626">
        <v>3511</v>
      </c>
    </row>
    <row r="621" spans="1:6" ht="15.75">
      <c r="A621" s="3021">
        <v>27850</v>
      </c>
      <c r="B621" s="3021">
        <v>27900</v>
      </c>
      <c r="C621" s="3981">
        <v>3718</v>
      </c>
      <c r="D621" s="3626">
        <v>3254</v>
      </c>
      <c r="E621" s="3626">
        <v>3718</v>
      </c>
      <c r="F621" s="3626">
        <v>3519</v>
      </c>
    </row>
    <row r="622" spans="1:6" ht="15.75">
      <c r="A622" s="3021">
        <v>27900</v>
      </c>
      <c r="B622" s="3021">
        <v>27950</v>
      </c>
      <c r="C622" s="3981">
        <v>3725</v>
      </c>
      <c r="D622" s="3626">
        <v>3261</v>
      </c>
      <c r="E622" s="3626">
        <v>3725</v>
      </c>
      <c r="F622" s="3626">
        <v>3526</v>
      </c>
    </row>
    <row r="623" spans="1:6" ht="15.75">
      <c r="A623" s="3021">
        <v>27950</v>
      </c>
      <c r="B623" s="3021">
        <v>28000</v>
      </c>
      <c r="C623" s="3981">
        <v>3733</v>
      </c>
      <c r="D623" s="3626">
        <v>3269</v>
      </c>
      <c r="E623" s="3626">
        <v>3733</v>
      </c>
      <c r="F623" s="3626">
        <v>3534</v>
      </c>
    </row>
    <row r="624" spans="1:6" ht="15.75">
      <c r="A624" s="3021">
        <v>28000</v>
      </c>
      <c r="B624" s="3021">
        <v>28050</v>
      </c>
      <c r="C624" s="3981">
        <v>3740</v>
      </c>
      <c r="D624" s="3626">
        <v>3276</v>
      </c>
      <c r="E624" s="3626">
        <v>3740</v>
      </c>
      <c r="F624" s="3626">
        <v>3541</v>
      </c>
    </row>
    <row r="625" spans="1:6" ht="15.75">
      <c r="A625" s="3021">
        <v>28050</v>
      </c>
      <c r="B625" s="3021">
        <v>28100</v>
      </c>
      <c r="C625" s="3981">
        <v>3748</v>
      </c>
      <c r="D625" s="3626">
        <v>3284</v>
      </c>
      <c r="E625" s="3626">
        <v>3748</v>
      </c>
      <c r="F625" s="3626">
        <v>3549</v>
      </c>
    </row>
    <row r="626" spans="1:6" ht="15.75">
      <c r="A626" s="3021">
        <v>28100</v>
      </c>
      <c r="B626" s="3021">
        <v>28150</v>
      </c>
      <c r="C626" s="3981">
        <v>3755</v>
      </c>
      <c r="D626" s="3626">
        <v>3291</v>
      </c>
      <c r="E626" s="3626">
        <v>3755</v>
      </c>
      <c r="F626" s="3626">
        <v>3556</v>
      </c>
    </row>
    <row r="627" spans="1:6" ht="15.75">
      <c r="A627" s="3021">
        <v>28150</v>
      </c>
      <c r="B627" s="3021">
        <v>28200</v>
      </c>
      <c r="C627" s="3981">
        <v>3763</v>
      </c>
      <c r="D627" s="3626">
        <v>3299</v>
      </c>
      <c r="E627" s="3626">
        <v>3763</v>
      </c>
      <c r="F627" s="3626">
        <v>3564</v>
      </c>
    </row>
    <row r="628" spans="1:6" ht="15.75">
      <c r="A628" s="3021">
        <v>28200</v>
      </c>
      <c r="B628" s="3021">
        <v>28250</v>
      </c>
      <c r="C628" s="3981">
        <v>3770</v>
      </c>
      <c r="D628" s="3626">
        <v>3306</v>
      </c>
      <c r="E628" s="3626">
        <v>3770</v>
      </c>
      <c r="F628" s="3626">
        <v>3571</v>
      </c>
    </row>
    <row r="629" spans="1:6" ht="15.75">
      <c r="A629" s="3021">
        <v>28250</v>
      </c>
      <c r="B629" s="3021">
        <v>28300</v>
      </c>
      <c r="C629" s="3981">
        <v>3778</v>
      </c>
      <c r="D629" s="3626">
        <v>3314</v>
      </c>
      <c r="E629" s="3626">
        <v>3778</v>
      </c>
      <c r="F629" s="3626">
        <v>3579</v>
      </c>
    </row>
    <row r="630" spans="1:6" ht="15.75">
      <c r="A630" s="3021">
        <v>28300</v>
      </c>
      <c r="B630" s="3021">
        <v>28350</v>
      </c>
      <c r="C630" s="3981">
        <v>3785</v>
      </c>
      <c r="D630" s="3626">
        <v>3321</v>
      </c>
      <c r="E630" s="3626">
        <v>3785</v>
      </c>
      <c r="F630" s="3626">
        <v>3586</v>
      </c>
    </row>
    <row r="631" spans="1:6" ht="15.75">
      <c r="A631" s="3021">
        <v>28350</v>
      </c>
      <c r="B631" s="3021">
        <v>28400</v>
      </c>
      <c r="C631" s="3981">
        <v>3793</v>
      </c>
      <c r="D631" s="3626">
        <v>3329</v>
      </c>
      <c r="E631" s="3626">
        <v>3793</v>
      </c>
      <c r="F631" s="3626">
        <v>3594</v>
      </c>
    </row>
    <row r="632" spans="1:6" ht="15.75">
      <c r="A632" s="3021">
        <v>28400</v>
      </c>
      <c r="B632" s="3021">
        <v>28450</v>
      </c>
      <c r="C632" s="3981">
        <v>3800</v>
      </c>
      <c r="D632" s="3626">
        <v>3336</v>
      </c>
      <c r="E632" s="3626">
        <v>3800</v>
      </c>
      <c r="F632" s="3626">
        <v>3601</v>
      </c>
    </row>
    <row r="633" spans="1:6" ht="15.75">
      <c r="A633" s="3021">
        <v>28450</v>
      </c>
      <c r="B633" s="3021">
        <v>28500</v>
      </c>
      <c r="C633" s="3981">
        <v>3808</v>
      </c>
      <c r="D633" s="3626">
        <v>3344</v>
      </c>
      <c r="E633" s="3626">
        <v>3808</v>
      </c>
      <c r="F633" s="3626">
        <v>3609</v>
      </c>
    </row>
    <row r="634" spans="1:6" ht="15.75">
      <c r="A634" s="3021">
        <v>28500</v>
      </c>
      <c r="B634" s="3021">
        <v>28550</v>
      </c>
      <c r="C634" s="3981">
        <v>3815</v>
      </c>
      <c r="D634" s="3626">
        <v>3351</v>
      </c>
      <c r="E634" s="3626">
        <v>3815</v>
      </c>
      <c r="F634" s="3626">
        <v>3616</v>
      </c>
    </row>
    <row r="635" spans="1:6" ht="15.75">
      <c r="A635" s="3021">
        <v>28550</v>
      </c>
      <c r="B635" s="3021">
        <v>28600</v>
      </c>
      <c r="C635" s="3981">
        <v>3823</v>
      </c>
      <c r="D635" s="3626">
        <v>3359</v>
      </c>
      <c r="E635" s="3626">
        <v>3823</v>
      </c>
      <c r="F635" s="3626">
        <v>3624</v>
      </c>
    </row>
    <row r="636" spans="1:6" ht="15.75">
      <c r="A636" s="3021">
        <v>28600</v>
      </c>
      <c r="B636" s="3021">
        <v>28650</v>
      </c>
      <c r="C636" s="3981">
        <v>3830</v>
      </c>
      <c r="D636" s="3626">
        <v>3366</v>
      </c>
      <c r="E636" s="3626">
        <v>3830</v>
      </c>
      <c r="F636" s="3626">
        <v>3631</v>
      </c>
    </row>
    <row r="637" spans="1:6" ht="15.75">
      <c r="A637" s="3021">
        <v>28650</v>
      </c>
      <c r="B637" s="3021">
        <v>28700</v>
      </c>
      <c r="C637" s="3981">
        <v>3838</v>
      </c>
      <c r="D637" s="3626">
        <v>3374</v>
      </c>
      <c r="E637" s="3626">
        <v>3838</v>
      </c>
      <c r="F637" s="3626">
        <v>3639</v>
      </c>
    </row>
    <row r="638" spans="1:6" ht="15.75">
      <c r="A638" s="3021">
        <v>28700</v>
      </c>
      <c r="B638" s="3021">
        <v>28750</v>
      </c>
      <c r="C638" s="3981">
        <v>3845</v>
      </c>
      <c r="D638" s="3626">
        <v>3381</v>
      </c>
      <c r="E638" s="3626">
        <v>3845</v>
      </c>
      <c r="F638" s="3626">
        <v>3646</v>
      </c>
    </row>
    <row r="639" spans="1:6" ht="15.75">
      <c r="A639" s="3021">
        <v>28750</v>
      </c>
      <c r="B639" s="3021">
        <v>28800</v>
      </c>
      <c r="C639" s="3981">
        <v>3853</v>
      </c>
      <c r="D639" s="3626">
        <v>3389</v>
      </c>
      <c r="E639" s="3626">
        <v>3853</v>
      </c>
      <c r="F639" s="3626">
        <v>3654</v>
      </c>
    </row>
    <row r="640" spans="1:6" ht="15.75">
      <c r="A640" s="3021">
        <v>28800</v>
      </c>
      <c r="B640" s="3021">
        <v>28850</v>
      </c>
      <c r="C640" s="3981">
        <v>3860</v>
      </c>
      <c r="D640" s="3626">
        <v>3396</v>
      </c>
      <c r="E640" s="3626">
        <v>3860</v>
      </c>
      <c r="F640" s="3626">
        <v>3661</v>
      </c>
    </row>
    <row r="641" spans="1:6" ht="15.75">
      <c r="A641" s="3021">
        <v>28850</v>
      </c>
      <c r="B641" s="3021">
        <v>28900</v>
      </c>
      <c r="C641" s="3981">
        <v>3868</v>
      </c>
      <c r="D641" s="3626">
        <v>3404</v>
      </c>
      <c r="E641" s="3626">
        <v>3868</v>
      </c>
      <c r="F641" s="3626">
        <v>3669</v>
      </c>
    </row>
    <row r="642" spans="1:6" ht="15.75">
      <c r="A642" s="3021">
        <v>28900</v>
      </c>
      <c r="B642" s="3021">
        <v>28950</v>
      </c>
      <c r="C642" s="3981">
        <v>3875</v>
      </c>
      <c r="D642" s="3626">
        <v>3411</v>
      </c>
      <c r="E642" s="3626">
        <v>3875</v>
      </c>
      <c r="F642" s="3626">
        <v>3676</v>
      </c>
    </row>
    <row r="643" spans="1:6" ht="15.75">
      <c r="A643" s="3021">
        <v>28950</v>
      </c>
      <c r="B643" s="3021">
        <v>29000</v>
      </c>
      <c r="C643" s="3981">
        <v>3883</v>
      </c>
      <c r="D643" s="3626">
        <v>3419</v>
      </c>
      <c r="E643" s="3626">
        <v>3883</v>
      </c>
      <c r="F643" s="3626">
        <v>3684</v>
      </c>
    </row>
    <row r="644" spans="1:6" ht="15.75">
      <c r="A644" s="3021">
        <v>29000</v>
      </c>
      <c r="B644" s="3021">
        <v>29050</v>
      </c>
      <c r="C644" s="3981">
        <v>3890</v>
      </c>
      <c r="D644" s="3626">
        <v>3426</v>
      </c>
      <c r="E644" s="3626">
        <v>3890</v>
      </c>
      <c r="F644" s="3626">
        <v>3691</v>
      </c>
    </row>
    <row r="645" spans="1:6" ht="15.75">
      <c r="A645" s="3021">
        <v>29050</v>
      </c>
      <c r="B645" s="3021">
        <v>29100</v>
      </c>
      <c r="C645" s="3981">
        <v>3898</v>
      </c>
      <c r="D645" s="3626">
        <v>3434</v>
      </c>
      <c r="E645" s="3626">
        <v>3898</v>
      </c>
      <c r="F645" s="3626">
        <v>3699</v>
      </c>
    </row>
    <row r="646" spans="1:6" ht="15.75">
      <c r="A646" s="3021">
        <v>29100</v>
      </c>
      <c r="B646" s="3021">
        <v>29150</v>
      </c>
      <c r="C646" s="3981">
        <v>3905</v>
      </c>
      <c r="D646" s="3626">
        <v>3441</v>
      </c>
      <c r="E646" s="3626">
        <v>3905</v>
      </c>
      <c r="F646" s="3626">
        <v>3706</v>
      </c>
    </row>
    <row r="647" spans="1:6" ht="15.75">
      <c r="A647" s="3021">
        <v>29150</v>
      </c>
      <c r="B647" s="3021">
        <v>29200</v>
      </c>
      <c r="C647" s="3981">
        <v>3913</v>
      </c>
      <c r="D647" s="3626">
        <v>3449</v>
      </c>
      <c r="E647" s="3626">
        <v>3913</v>
      </c>
      <c r="F647" s="3626">
        <v>3714</v>
      </c>
    </row>
    <row r="648" spans="1:6" ht="15.75">
      <c r="A648" s="3021">
        <v>29200</v>
      </c>
      <c r="B648" s="3021">
        <v>29250</v>
      </c>
      <c r="C648" s="3981">
        <v>3920</v>
      </c>
      <c r="D648" s="3626">
        <v>3456</v>
      </c>
      <c r="E648" s="3626">
        <v>3920</v>
      </c>
      <c r="F648" s="3626">
        <v>3721</v>
      </c>
    </row>
    <row r="649" spans="1:6" ht="15.75">
      <c r="A649" s="3021">
        <v>29250</v>
      </c>
      <c r="B649" s="3021">
        <v>29300</v>
      </c>
      <c r="C649" s="3981">
        <v>3928</v>
      </c>
      <c r="D649" s="3626">
        <v>3464</v>
      </c>
      <c r="E649" s="3626">
        <v>3928</v>
      </c>
      <c r="F649" s="3626">
        <v>3729</v>
      </c>
    </row>
    <row r="650" spans="1:6" ht="15.75">
      <c r="A650" s="3021">
        <v>29300</v>
      </c>
      <c r="B650" s="3021">
        <v>29350</v>
      </c>
      <c r="C650" s="3981">
        <v>3935</v>
      </c>
      <c r="D650" s="3626">
        <v>3471</v>
      </c>
      <c r="E650" s="3626">
        <v>3935</v>
      </c>
      <c r="F650" s="3626">
        <v>3736</v>
      </c>
    </row>
    <row r="651" spans="1:6" ht="15.75">
      <c r="A651" s="3021">
        <v>29350</v>
      </c>
      <c r="B651" s="3021">
        <v>29400</v>
      </c>
      <c r="C651" s="3981">
        <v>3943</v>
      </c>
      <c r="D651" s="3626">
        <v>3479</v>
      </c>
      <c r="E651" s="3626">
        <v>3943</v>
      </c>
      <c r="F651" s="3626">
        <v>3744</v>
      </c>
    </row>
    <row r="652" spans="1:6" ht="15.75">
      <c r="A652" s="3021">
        <v>29400</v>
      </c>
      <c r="B652" s="3021">
        <v>29450</v>
      </c>
      <c r="C652" s="3981">
        <v>3950</v>
      </c>
      <c r="D652" s="3626">
        <v>3486</v>
      </c>
      <c r="E652" s="3626">
        <v>3950</v>
      </c>
      <c r="F652" s="3626">
        <v>3751</v>
      </c>
    </row>
    <row r="653" spans="1:6" ht="15.75">
      <c r="A653" s="3021">
        <v>29450</v>
      </c>
      <c r="B653" s="3021">
        <v>29500</v>
      </c>
      <c r="C653" s="3981">
        <v>3958</v>
      </c>
      <c r="D653" s="3626">
        <v>3494</v>
      </c>
      <c r="E653" s="3626">
        <v>3958</v>
      </c>
      <c r="F653" s="3626">
        <v>3759</v>
      </c>
    </row>
    <row r="654" spans="1:6" ht="15.75">
      <c r="A654" s="3021">
        <v>29500</v>
      </c>
      <c r="B654" s="3021">
        <v>29550</v>
      </c>
      <c r="C654" s="3981">
        <v>3965</v>
      </c>
      <c r="D654" s="3626">
        <v>3501</v>
      </c>
      <c r="E654" s="3626">
        <v>3965</v>
      </c>
      <c r="F654" s="3626">
        <v>3766</v>
      </c>
    </row>
    <row r="655" spans="1:6" ht="15.75">
      <c r="A655" s="3021">
        <v>29550</v>
      </c>
      <c r="B655" s="3021">
        <v>29600</v>
      </c>
      <c r="C655" s="3981">
        <v>3973</v>
      </c>
      <c r="D655" s="3626">
        <v>3509</v>
      </c>
      <c r="E655" s="3626">
        <v>3973</v>
      </c>
      <c r="F655" s="3626">
        <v>3774</v>
      </c>
    </row>
    <row r="656" spans="1:6" ht="15.75">
      <c r="A656" s="3021">
        <v>29600</v>
      </c>
      <c r="B656" s="3021">
        <v>29650</v>
      </c>
      <c r="C656" s="3981">
        <v>3980</v>
      </c>
      <c r="D656" s="3626">
        <v>3516</v>
      </c>
      <c r="E656" s="3626">
        <v>3980</v>
      </c>
      <c r="F656" s="3626">
        <v>3781</v>
      </c>
    </row>
    <row r="657" spans="1:6" ht="15.75">
      <c r="A657" s="3021">
        <v>29650</v>
      </c>
      <c r="B657" s="3021">
        <v>29700</v>
      </c>
      <c r="C657" s="3981">
        <v>3988</v>
      </c>
      <c r="D657" s="3626">
        <v>3524</v>
      </c>
      <c r="E657" s="3626">
        <v>3988</v>
      </c>
      <c r="F657" s="3626">
        <v>3789</v>
      </c>
    </row>
    <row r="658" spans="1:6" ht="15.75">
      <c r="A658" s="3021">
        <v>29700</v>
      </c>
      <c r="B658" s="3021">
        <v>29750</v>
      </c>
      <c r="C658" s="3981">
        <v>3995</v>
      </c>
      <c r="D658" s="3626">
        <v>3531</v>
      </c>
      <c r="E658" s="3626">
        <v>3995</v>
      </c>
      <c r="F658" s="3626">
        <v>3796</v>
      </c>
    </row>
    <row r="659" spans="1:6" ht="15.75">
      <c r="A659" s="3021">
        <v>29750</v>
      </c>
      <c r="B659" s="3021">
        <v>29800</v>
      </c>
      <c r="C659" s="3981">
        <v>4003</v>
      </c>
      <c r="D659" s="3626">
        <v>3539</v>
      </c>
      <c r="E659" s="3626">
        <v>4003</v>
      </c>
      <c r="F659" s="3626">
        <v>3804</v>
      </c>
    </row>
    <row r="660" spans="1:6" ht="15.75">
      <c r="A660" s="3021">
        <v>29800</v>
      </c>
      <c r="B660" s="3021">
        <v>29850</v>
      </c>
      <c r="C660" s="3981">
        <v>4010</v>
      </c>
      <c r="D660" s="3626">
        <v>3546</v>
      </c>
      <c r="E660" s="3626">
        <v>4010</v>
      </c>
      <c r="F660" s="3626">
        <v>3811</v>
      </c>
    </row>
    <row r="661" spans="1:6" ht="15.75">
      <c r="A661" s="3021">
        <v>29850</v>
      </c>
      <c r="B661" s="3021">
        <v>29900</v>
      </c>
      <c r="C661" s="3981">
        <v>4018</v>
      </c>
      <c r="D661" s="3626">
        <v>3554</v>
      </c>
      <c r="E661" s="3626">
        <v>4018</v>
      </c>
      <c r="F661" s="3626">
        <v>3819</v>
      </c>
    </row>
    <row r="662" spans="1:6" ht="15.75">
      <c r="A662" s="3021">
        <v>29900</v>
      </c>
      <c r="B662" s="3021">
        <v>29950</v>
      </c>
      <c r="C662" s="3981">
        <v>4025</v>
      </c>
      <c r="D662" s="3626">
        <v>3561</v>
      </c>
      <c r="E662" s="3626">
        <v>4025</v>
      </c>
      <c r="F662" s="3626">
        <v>3826</v>
      </c>
    </row>
    <row r="663" spans="1:6" ht="15.75">
      <c r="A663" s="3021">
        <v>29950</v>
      </c>
      <c r="B663" s="3021">
        <v>30000</v>
      </c>
      <c r="C663" s="3981">
        <v>4033</v>
      </c>
      <c r="D663" s="3626">
        <v>3569</v>
      </c>
      <c r="E663" s="3626">
        <v>4033</v>
      </c>
      <c r="F663" s="3626">
        <v>3834</v>
      </c>
    </row>
    <row r="664" spans="1:6" ht="15.75">
      <c r="A664" s="3021">
        <v>30000</v>
      </c>
      <c r="B664" s="3021">
        <v>30050</v>
      </c>
      <c r="C664" s="3981">
        <v>4040</v>
      </c>
      <c r="D664" s="3626">
        <v>3576</v>
      </c>
      <c r="E664" s="3626">
        <v>4040</v>
      </c>
      <c r="F664" s="3626">
        <v>3841</v>
      </c>
    </row>
    <row r="665" spans="1:6" ht="15.75">
      <c r="A665" s="3021">
        <v>30050</v>
      </c>
      <c r="B665" s="3021">
        <v>30100</v>
      </c>
      <c r="C665" s="3981">
        <v>4048</v>
      </c>
      <c r="D665" s="3626">
        <v>3584</v>
      </c>
      <c r="E665" s="3626">
        <v>4048</v>
      </c>
      <c r="F665" s="3626">
        <v>3849</v>
      </c>
    </row>
    <row r="666" spans="1:6" ht="15.75">
      <c r="A666" s="3021">
        <v>30100</v>
      </c>
      <c r="B666" s="3021">
        <v>30150</v>
      </c>
      <c r="C666" s="3981">
        <v>4055</v>
      </c>
      <c r="D666" s="3626">
        <v>3591</v>
      </c>
      <c r="E666" s="3626">
        <v>4055</v>
      </c>
      <c r="F666" s="3626">
        <v>3856</v>
      </c>
    </row>
    <row r="667" spans="1:6" ht="15.75">
      <c r="A667" s="3021">
        <v>30150</v>
      </c>
      <c r="B667" s="3021">
        <v>30200</v>
      </c>
      <c r="C667" s="3981">
        <v>4063</v>
      </c>
      <c r="D667" s="3626">
        <v>3599</v>
      </c>
      <c r="E667" s="3626">
        <v>4063</v>
      </c>
      <c r="F667" s="3626">
        <v>3864</v>
      </c>
    </row>
    <row r="668" spans="1:6" ht="15.75">
      <c r="A668" s="3021">
        <v>30200</v>
      </c>
      <c r="B668" s="3021">
        <v>30250</v>
      </c>
      <c r="C668" s="3981">
        <v>4070</v>
      </c>
      <c r="D668" s="3626">
        <v>3606</v>
      </c>
      <c r="E668" s="3626">
        <v>4070</v>
      </c>
      <c r="F668" s="3626">
        <v>3871</v>
      </c>
    </row>
    <row r="669" spans="1:6" ht="15.75">
      <c r="A669" s="3021">
        <v>30250</v>
      </c>
      <c r="B669" s="3021">
        <v>30300</v>
      </c>
      <c r="C669" s="3981">
        <v>4078</v>
      </c>
      <c r="D669" s="3626">
        <v>3614</v>
      </c>
      <c r="E669" s="3626">
        <v>4078</v>
      </c>
      <c r="F669" s="3626">
        <v>3879</v>
      </c>
    </row>
    <row r="670" spans="1:6" ht="15.75">
      <c r="A670" s="3021">
        <v>30300</v>
      </c>
      <c r="B670" s="3021">
        <v>30350</v>
      </c>
      <c r="C670" s="3981">
        <v>4085</v>
      </c>
      <c r="D670" s="3626">
        <v>3621</v>
      </c>
      <c r="E670" s="3626">
        <v>4085</v>
      </c>
      <c r="F670" s="3626">
        <v>3886</v>
      </c>
    </row>
    <row r="671" spans="1:6" ht="15.75">
      <c r="A671" s="3021">
        <v>30350</v>
      </c>
      <c r="B671" s="3021">
        <v>30400</v>
      </c>
      <c r="C671" s="3981">
        <v>4093</v>
      </c>
      <c r="D671" s="3626">
        <v>3629</v>
      </c>
      <c r="E671" s="3626">
        <v>4093</v>
      </c>
      <c r="F671" s="3626">
        <v>3894</v>
      </c>
    </row>
    <row r="672" spans="1:6" ht="15.75">
      <c r="A672" s="3021">
        <v>30400</v>
      </c>
      <c r="B672" s="3021">
        <v>30450</v>
      </c>
      <c r="C672" s="3981">
        <v>4100</v>
      </c>
      <c r="D672" s="3626">
        <v>3636</v>
      </c>
      <c r="E672" s="3626">
        <v>4100</v>
      </c>
      <c r="F672" s="3626">
        <v>3901</v>
      </c>
    </row>
    <row r="673" spans="1:6" ht="15.75">
      <c r="A673" s="3021">
        <v>30450</v>
      </c>
      <c r="B673" s="3021">
        <v>30500</v>
      </c>
      <c r="C673" s="3981">
        <v>4108</v>
      </c>
      <c r="D673" s="3626">
        <v>3644</v>
      </c>
      <c r="E673" s="3626">
        <v>4108</v>
      </c>
      <c r="F673" s="3626">
        <v>3909</v>
      </c>
    </row>
    <row r="674" spans="1:6" ht="15.75">
      <c r="A674" s="3021">
        <v>30500</v>
      </c>
      <c r="B674" s="3021">
        <v>30550</v>
      </c>
      <c r="C674" s="3981">
        <v>4115</v>
      </c>
      <c r="D674" s="3626">
        <v>3651</v>
      </c>
      <c r="E674" s="3626">
        <v>4115</v>
      </c>
      <c r="F674" s="3626">
        <v>3916</v>
      </c>
    </row>
    <row r="675" spans="1:6" ht="15.75">
      <c r="A675" s="3021">
        <v>30550</v>
      </c>
      <c r="B675" s="3021">
        <v>30600</v>
      </c>
      <c r="C675" s="3981">
        <v>4123</v>
      </c>
      <c r="D675" s="3626">
        <v>3659</v>
      </c>
      <c r="E675" s="3626">
        <v>4123</v>
      </c>
      <c r="F675" s="3626">
        <v>3924</v>
      </c>
    </row>
    <row r="676" spans="1:6" ht="15.75">
      <c r="A676" s="3021">
        <v>30600</v>
      </c>
      <c r="B676" s="3021">
        <v>30650</v>
      </c>
      <c r="C676" s="3981">
        <v>4130</v>
      </c>
      <c r="D676" s="3626">
        <v>3666</v>
      </c>
      <c r="E676" s="3626">
        <v>4130</v>
      </c>
      <c r="F676" s="3626">
        <v>3931</v>
      </c>
    </row>
    <row r="677" spans="1:6" ht="15.75">
      <c r="A677" s="3021">
        <v>30650</v>
      </c>
      <c r="B677" s="3021">
        <v>30700</v>
      </c>
      <c r="C677" s="3981">
        <v>4138</v>
      </c>
      <c r="D677" s="3626">
        <v>3674</v>
      </c>
      <c r="E677" s="3626">
        <v>4138</v>
      </c>
      <c r="F677" s="3626">
        <v>3939</v>
      </c>
    </row>
    <row r="678" spans="1:6" ht="15.75">
      <c r="A678" s="3021">
        <v>30700</v>
      </c>
      <c r="B678" s="3021">
        <v>30750</v>
      </c>
      <c r="C678" s="3981">
        <v>4145</v>
      </c>
      <c r="D678" s="3626">
        <v>3681</v>
      </c>
      <c r="E678" s="3626">
        <v>4145</v>
      </c>
      <c r="F678" s="3626">
        <v>3946</v>
      </c>
    </row>
    <row r="679" spans="1:6" ht="15.75">
      <c r="A679" s="3021">
        <v>30750</v>
      </c>
      <c r="B679" s="3021">
        <v>30800</v>
      </c>
      <c r="C679" s="3981">
        <v>4153</v>
      </c>
      <c r="D679" s="3626">
        <v>3689</v>
      </c>
      <c r="E679" s="3626">
        <v>4153</v>
      </c>
      <c r="F679" s="3626">
        <v>3954</v>
      </c>
    </row>
    <row r="680" spans="1:6" ht="15.75">
      <c r="A680" s="3021">
        <v>30800</v>
      </c>
      <c r="B680" s="3021">
        <v>30850</v>
      </c>
      <c r="C680" s="3981">
        <v>4160</v>
      </c>
      <c r="D680" s="3626">
        <v>3696</v>
      </c>
      <c r="E680" s="3626">
        <v>4160</v>
      </c>
      <c r="F680" s="3626">
        <v>3961</v>
      </c>
    </row>
    <row r="681" spans="1:6" ht="15.75">
      <c r="A681" s="3021">
        <v>30850</v>
      </c>
      <c r="B681" s="3021">
        <v>30900</v>
      </c>
      <c r="C681" s="3981">
        <v>4168</v>
      </c>
      <c r="D681" s="3626">
        <v>3704</v>
      </c>
      <c r="E681" s="3626">
        <v>4168</v>
      </c>
      <c r="F681" s="3626">
        <v>3969</v>
      </c>
    </row>
    <row r="682" spans="1:6" ht="15.75">
      <c r="A682" s="3021">
        <v>30900</v>
      </c>
      <c r="B682" s="3021">
        <v>30950</v>
      </c>
      <c r="C682" s="3981">
        <v>4175</v>
      </c>
      <c r="D682" s="3626">
        <v>3711</v>
      </c>
      <c r="E682" s="3626">
        <v>4175</v>
      </c>
      <c r="F682" s="3626">
        <v>3976</v>
      </c>
    </row>
    <row r="683" spans="1:6" ht="15.75">
      <c r="A683" s="3021">
        <v>30950</v>
      </c>
      <c r="B683" s="3021">
        <v>31000</v>
      </c>
      <c r="C683" s="3981">
        <v>4183</v>
      </c>
      <c r="D683" s="3626">
        <v>3719</v>
      </c>
      <c r="E683" s="3626">
        <v>4183</v>
      </c>
      <c r="F683" s="3626">
        <v>3984</v>
      </c>
    </row>
    <row r="684" spans="1:6" ht="15.75">
      <c r="A684" s="3021">
        <v>31000</v>
      </c>
      <c r="B684" s="3021">
        <v>31050</v>
      </c>
      <c r="C684" s="3981">
        <v>4190</v>
      </c>
      <c r="D684" s="3626">
        <v>3726</v>
      </c>
      <c r="E684" s="3626">
        <v>4190</v>
      </c>
      <c r="F684" s="3626">
        <v>3991</v>
      </c>
    </row>
    <row r="685" spans="1:6" ht="15.75">
      <c r="A685" s="3021">
        <v>31050</v>
      </c>
      <c r="B685" s="3021">
        <v>31100</v>
      </c>
      <c r="C685" s="3981">
        <v>4198</v>
      </c>
      <c r="D685" s="3626">
        <v>3734</v>
      </c>
      <c r="E685" s="3626">
        <v>4198</v>
      </c>
      <c r="F685" s="3626">
        <v>3999</v>
      </c>
    </row>
    <row r="686" spans="1:6" ht="15.75">
      <c r="A686" s="3021">
        <v>31100</v>
      </c>
      <c r="B686" s="3021">
        <v>31150</v>
      </c>
      <c r="C686" s="3981">
        <v>4205</v>
      </c>
      <c r="D686" s="3626">
        <v>3741</v>
      </c>
      <c r="E686" s="3626">
        <v>4205</v>
      </c>
      <c r="F686" s="3626">
        <v>4006</v>
      </c>
    </row>
    <row r="687" spans="1:6" ht="15.75">
      <c r="A687" s="3021">
        <v>31150</v>
      </c>
      <c r="B687" s="3021">
        <v>31200</v>
      </c>
      <c r="C687" s="3981">
        <v>4213</v>
      </c>
      <c r="D687" s="3626">
        <v>3749</v>
      </c>
      <c r="E687" s="3626">
        <v>4213</v>
      </c>
      <c r="F687" s="3626">
        <v>4014</v>
      </c>
    </row>
    <row r="688" spans="1:6" ht="15.75">
      <c r="A688" s="3021">
        <v>31200</v>
      </c>
      <c r="B688" s="3021">
        <v>31250</v>
      </c>
      <c r="C688" s="3981">
        <v>4220</v>
      </c>
      <c r="D688" s="3626">
        <v>3756</v>
      </c>
      <c r="E688" s="3626">
        <v>4220</v>
      </c>
      <c r="F688" s="3626">
        <v>4021</v>
      </c>
    </row>
    <row r="689" spans="1:6" ht="15.75">
      <c r="A689" s="3021">
        <v>31250</v>
      </c>
      <c r="B689" s="3021">
        <v>31300</v>
      </c>
      <c r="C689" s="3981">
        <v>4228</v>
      </c>
      <c r="D689" s="3626">
        <v>3764</v>
      </c>
      <c r="E689" s="3626">
        <v>4228</v>
      </c>
      <c r="F689" s="3626">
        <v>4029</v>
      </c>
    </row>
    <row r="690" spans="1:6" ht="15.75">
      <c r="A690" s="3021">
        <v>31300</v>
      </c>
      <c r="B690" s="3021">
        <v>31350</v>
      </c>
      <c r="C690" s="3981">
        <v>4235</v>
      </c>
      <c r="D690" s="3626">
        <v>3771</v>
      </c>
      <c r="E690" s="3626">
        <v>4235</v>
      </c>
      <c r="F690" s="3626">
        <v>4036</v>
      </c>
    </row>
    <row r="691" spans="1:6" ht="15.75">
      <c r="A691" s="3021">
        <v>31350</v>
      </c>
      <c r="B691" s="3021">
        <v>31400</v>
      </c>
      <c r="C691" s="3981">
        <v>4243</v>
      </c>
      <c r="D691" s="3626">
        <v>3779</v>
      </c>
      <c r="E691" s="3626">
        <v>4243</v>
      </c>
      <c r="F691" s="3626">
        <v>4044</v>
      </c>
    </row>
    <row r="692" spans="1:6" ht="15.75">
      <c r="A692" s="3021">
        <v>31400</v>
      </c>
      <c r="B692" s="3021">
        <v>31450</v>
      </c>
      <c r="C692" s="3981">
        <v>4250</v>
      </c>
      <c r="D692" s="3626">
        <v>3786</v>
      </c>
      <c r="E692" s="3626">
        <v>4250</v>
      </c>
      <c r="F692" s="3626">
        <v>4051</v>
      </c>
    </row>
    <row r="693" spans="1:6" ht="15.75">
      <c r="A693" s="3021">
        <v>31450</v>
      </c>
      <c r="B693" s="3021">
        <v>31500</v>
      </c>
      <c r="C693" s="3981">
        <v>4258</v>
      </c>
      <c r="D693" s="3626">
        <v>3794</v>
      </c>
      <c r="E693" s="3626">
        <v>4258</v>
      </c>
      <c r="F693" s="3626">
        <v>4059</v>
      </c>
    </row>
    <row r="694" spans="1:6" ht="15.75">
      <c r="A694" s="3021">
        <v>31500</v>
      </c>
      <c r="B694" s="3021">
        <v>31550</v>
      </c>
      <c r="C694" s="3981">
        <v>4265</v>
      </c>
      <c r="D694" s="3626">
        <v>3801</v>
      </c>
      <c r="E694" s="3626">
        <v>4265</v>
      </c>
      <c r="F694" s="3626">
        <v>4066</v>
      </c>
    </row>
    <row r="695" spans="1:6" ht="15.75">
      <c r="A695" s="3021">
        <v>31550</v>
      </c>
      <c r="B695" s="3021">
        <v>31600</v>
      </c>
      <c r="C695" s="3981">
        <v>4273</v>
      </c>
      <c r="D695" s="3626">
        <v>3809</v>
      </c>
      <c r="E695" s="3626">
        <v>4273</v>
      </c>
      <c r="F695" s="3626">
        <v>4074</v>
      </c>
    </row>
    <row r="696" spans="1:6" ht="15.75">
      <c r="A696" s="3021">
        <v>31600</v>
      </c>
      <c r="B696" s="3021">
        <v>31650</v>
      </c>
      <c r="C696" s="3981">
        <v>4280</v>
      </c>
      <c r="D696" s="3626">
        <v>3816</v>
      </c>
      <c r="E696" s="3626">
        <v>4280</v>
      </c>
      <c r="F696" s="3626">
        <v>4081</v>
      </c>
    </row>
    <row r="697" spans="1:6" ht="15.75">
      <c r="A697" s="3021">
        <v>31650</v>
      </c>
      <c r="B697" s="3021">
        <v>31700</v>
      </c>
      <c r="C697" s="3981">
        <v>4288</v>
      </c>
      <c r="D697" s="3626">
        <v>3824</v>
      </c>
      <c r="E697" s="3626">
        <v>4288</v>
      </c>
      <c r="F697" s="3626">
        <v>4089</v>
      </c>
    </row>
    <row r="698" spans="1:6" ht="15.75">
      <c r="A698" s="3021">
        <v>31700</v>
      </c>
      <c r="B698" s="3021">
        <v>31750</v>
      </c>
      <c r="C698" s="3981">
        <v>4295</v>
      </c>
      <c r="D698" s="3626">
        <v>3831</v>
      </c>
      <c r="E698" s="3626">
        <v>4295</v>
      </c>
      <c r="F698" s="3626">
        <v>4096</v>
      </c>
    </row>
    <row r="699" spans="1:6" ht="15.75">
      <c r="A699" s="3021">
        <v>31750</v>
      </c>
      <c r="B699" s="3021">
        <v>31800</v>
      </c>
      <c r="C699" s="3981">
        <v>4303</v>
      </c>
      <c r="D699" s="3626">
        <v>3839</v>
      </c>
      <c r="E699" s="3626">
        <v>4303</v>
      </c>
      <c r="F699" s="3626">
        <v>4104</v>
      </c>
    </row>
    <row r="700" spans="1:6" ht="15.75">
      <c r="A700" s="3021">
        <v>31800</v>
      </c>
      <c r="B700" s="3021">
        <v>31850</v>
      </c>
      <c r="C700" s="3981">
        <v>4310</v>
      </c>
      <c r="D700" s="3626">
        <v>3846</v>
      </c>
      <c r="E700" s="3626">
        <v>4310</v>
      </c>
      <c r="F700" s="3626">
        <v>4111</v>
      </c>
    </row>
    <row r="701" spans="1:6" ht="15.75">
      <c r="A701" s="3021">
        <v>31850</v>
      </c>
      <c r="B701" s="3021">
        <v>31900</v>
      </c>
      <c r="C701" s="3981">
        <v>4318</v>
      </c>
      <c r="D701" s="3626">
        <v>3854</v>
      </c>
      <c r="E701" s="3626">
        <v>4318</v>
      </c>
      <c r="F701" s="3626">
        <v>4119</v>
      </c>
    </row>
    <row r="702" spans="1:6" ht="15.75">
      <c r="A702" s="3021">
        <v>31900</v>
      </c>
      <c r="B702" s="3021">
        <v>31950</v>
      </c>
      <c r="C702" s="3981">
        <v>4325</v>
      </c>
      <c r="D702" s="3626">
        <v>3861</v>
      </c>
      <c r="E702" s="3626">
        <v>4325</v>
      </c>
      <c r="F702" s="3626">
        <v>4126</v>
      </c>
    </row>
    <row r="703" spans="1:6" ht="15.75">
      <c r="A703" s="3021">
        <v>31950</v>
      </c>
      <c r="B703" s="3021">
        <v>32000</v>
      </c>
      <c r="C703" s="3981">
        <v>4333</v>
      </c>
      <c r="D703" s="3626">
        <v>3869</v>
      </c>
      <c r="E703" s="3626">
        <v>4333</v>
      </c>
      <c r="F703" s="3626">
        <v>4134</v>
      </c>
    </row>
    <row r="704" spans="1:6" ht="15.75">
      <c r="A704" s="3021">
        <v>32000</v>
      </c>
      <c r="B704" s="3021">
        <v>32050</v>
      </c>
      <c r="C704" s="3981">
        <v>4340</v>
      </c>
      <c r="D704" s="3626">
        <v>3876</v>
      </c>
      <c r="E704" s="3626">
        <v>4340</v>
      </c>
      <c r="F704" s="3626">
        <v>4141</v>
      </c>
    </row>
    <row r="705" spans="1:6" ht="15.75">
      <c r="A705" s="3021">
        <v>32050</v>
      </c>
      <c r="B705" s="3021">
        <v>32100</v>
      </c>
      <c r="C705" s="3981">
        <v>4348</v>
      </c>
      <c r="D705" s="3626">
        <v>3884</v>
      </c>
      <c r="E705" s="3626">
        <v>4348</v>
      </c>
      <c r="F705" s="3626">
        <v>4149</v>
      </c>
    </row>
    <row r="706" spans="1:6" ht="15.75">
      <c r="A706" s="3021">
        <v>32100</v>
      </c>
      <c r="B706" s="3021">
        <v>32150</v>
      </c>
      <c r="C706" s="3981">
        <v>4355</v>
      </c>
      <c r="D706" s="3626">
        <v>3891</v>
      </c>
      <c r="E706" s="3626">
        <v>4355</v>
      </c>
      <c r="F706" s="3626">
        <v>4156</v>
      </c>
    </row>
    <row r="707" spans="1:6" ht="15.75">
      <c r="A707" s="3021">
        <v>32150</v>
      </c>
      <c r="B707" s="3021">
        <v>32200</v>
      </c>
      <c r="C707" s="3981">
        <v>4363</v>
      </c>
      <c r="D707" s="3626">
        <v>3899</v>
      </c>
      <c r="E707" s="3626">
        <v>4363</v>
      </c>
      <c r="F707" s="3626">
        <v>4164</v>
      </c>
    </row>
    <row r="708" spans="1:6" ht="15.75">
      <c r="A708" s="3021">
        <v>32200</v>
      </c>
      <c r="B708" s="3021">
        <v>32250</v>
      </c>
      <c r="C708" s="3981">
        <v>4370</v>
      </c>
      <c r="D708" s="3626">
        <v>3906</v>
      </c>
      <c r="E708" s="3626">
        <v>4370</v>
      </c>
      <c r="F708" s="3626">
        <v>4171</v>
      </c>
    </row>
    <row r="709" spans="1:6" ht="15.75">
      <c r="A709" s="3021">
        <v>32250</v>
      </c>
      <c r="B709" s="3021">
        <v>32300</v>
      </c>
      <c r="C709" s="3981">
        <v>4378</v>
      </c>
      <c r="D709" s="3626">
        <v>3914</v>
      </c>
      <c r="E709" s="3626">
        <v>4378</v>
      </c>
      <c r="F709" s="3626">
        <v>4179</v>
      </c>
    </row>
    <row r="710" spans="1:6" ht="15.75">
      <c r="A710" s="3021">
        <v>32300</v>
      </c>
      <c r="B710" s="3021">
        <v>32350</v>
      </c>
      <c r="C710" s="3981">
        <v>4385</v>
      </c>
      <c r="D710" s="3626">
        <v>3921</v>
      </c>
      <c r="E710" s="3626">
        <v>4385</v>
      </c>
      <c r="F710" s="3626">
        <v>4186</v>
      </c>
    </row>
    <row r="711" spans="1:6" ht="15.75">
      <c r="A711" s="3021">
        <v>32350</v>
      </c>
      <c r="B711" s="3021">
        <v>32400</v>
      </c>
      <c r="C711" s="3981">
        <v>4393</v>
      </c>
      <c r="D711" s="3626">
        <v>3929</v>
      </c>
      <c r="E711" s="3626">
        <v>4393</v>
      </c>
      <c r="F711" s="3626">
        <v>4194</v>
      </c>
    </row>
    <row r="712" spans="1:6" ht="15.75">
      <c r="A712" s="3021">
        <v>32400</v>
      </c>
      <c r="B712" s="3021">
        <v>32450</v>
      </c>
      <c r="C712" s="3981">
        <v>4400</v>
      </c>
      <c r="D712" s="3626">
        <v>3936</v>
      </c>
      <c r="E712" s="3626">
        <v>4400</v>
      </c>
      <c r="F712" s="3626">
        <v>4201</v>
      </c>
    </row>
    <row r="713" spans="1:6" ht="15.75">
      <c r="A713" s="3021">
        <v>32450</v>
      </c>
      <c r="B713" s="3021">
        <v>32500</v>
      </c>
      <c r="C713" s="3981">
        <v>4408</v>
      </c>
      <c r="D713" s="3626">
        <v>3944</v>
      </c>
      <c r="E713" s="3626">
        <v>4408</v>
      </c>
      <c r="F713" s="3626">
        <v>4209</v>
      </c>
    </row>
    <row r="714" spans="1:6" ht="15.75">
      <c r="A714" s="3021">
        <v>32500</v>
      </c>
      <c r="B714" s="3021">
        <v>32550</v>
      </c>
      <c r="C714" s="3981">
        <v>4415</v>
      </c>
      <c r="D714" s="3626">
        <v>3951</v>
      </c>
      <c r="E714" s="3626">
        <v>4415</v>
      </c>
      <c r="F714" s="3626">
        <v>4216</v>
      </c>
    </row>
    <row r="715" spans="1:6" ht="15.75">
      <c r="A715" s="3021">
        <v>32550</v>
      </c>
      <c r="B715" s="3021">
        <v>32600</v>
      </c>
      <c r="C715" s="3981">
        <v>4423</v>
      </c>
      <c r="D715" s="3626">
        <v>3959</v>
      </c>
      <c r="E715" s="3626">
        <v>4423</v>
      </c>
      <c r="F715" s="3626">
        <v>4224</v>
      </c>
    </row>
    <row r="716" spans="1:6" ht="15.75">
      <c r="A716" s="3021">
        <v>32600</v>
      </c>
      <c r="B716" s="3021">
        <v>32650</v>
      </c>
      <c r="C716" s="3981">
        <v>4430</v>
      </c>
      <c r="D716" s="3626">
        <v>3966</v>
      </c>
      <c r="E716" s="3626">
        <v>4430</v>
      </c>
      <c r="F716" s="3626">
        <v>4231</v>
      </c>
    </row>
    <row r="717" spans="1:6" ht="15.75">
      <c r="A717" s="3021">
        <v>32650</v>
      </c>
      <c r="B717" s="3021">
        <v>32700</v>
      </c>
      <c r="C717" s="3981">
        <v>4438</v>
      </c>
      <c r="D717" s="3626">
        <v>3974</v>
      </c>
      <c r="E717" s="3626">
        <v>4438</v>
      </c>
      <c r="F717" s="3626">
        <v>4239</v>
      </c>
    </row>
    <row r="718" spans="1:6" ht="15.75">
      <c r="A718" s="3021">
        <v>32700</v>
      </c>
      <c r="B718" s="3021">
        <v>32750</v>
      </c>
      <c r="C718" s="3981">
        <v>4445</v>
      </c>
      <c r="D718" s="3626">
        <v>3981</v>
      </c>
      <c r="E718" s="3626">
        <v>4445</v>
      </c>
      <c r="F718" s="3626">
        <v>4246</v>
      </c>
    </row>
    <row r="719" spans="1:6" ht="15.75">
      <c r="A719" s="3021">
        <v>32750</v>
      </c>
      <c r="B719" s="3021">
        <v>32800</v>
      </c>
      <c r="C719" s="3981">
        <v>4453</v>
      </c>
      <c r="D719" s="3626">
        <v>3989</v>
      </c>
      <c r="E719" s="3626">
        <v>4453</v>
      </c>
      <c r="F719" s="3626">
        <v>4254</v>
      </c>
    </row>
    <row r="720" spans="1:6" ht="15.75">
      <c r="A720" s="3021">
        <v>32800</v>
      </c>
      <c r="B720" s="3021">
        <v>32850</v>
      </c>
      <c r="C720" s="3981">
        <v>4460</v>
      </c>
      <c r="D720" s="3626">
        <v>3996</v>
      </c>
      <c r="E720" s="3626">
        <v>4460</v>
      </c>
      <c r="F720" s="3626">
        <v>4261</v>
      </c>
    </row>
    <row r="721" spans="1:6" ht="15.75">
      <c r="A721" s="3021">
        <v>32850</v>
      </c>
      <c r="B721" s="3021">
        <v>32900</v>
      </c>
      <c r="C721" s="3981">
        <v>4468</v>
      </c>
      <c r="D721" s="3626">
        <v>4004</v>
      </c>
      <c r="E721" s="3626">
        <v>4468</v>
      </c>
      <c r="F721" s="3626">
        <v>4269</v>
      </c>
    </row>
    <row r="722" spans="1:6" ht="15.75">
      <c r="A722" s="3021">
        <v>32900</v>
      </c>
      <c r="B722" s="3021">
        <v>32950</v>
      </c>
      <c r="C722" s="3981">
        <v>4475</v>
      </c>
      <c r="D722" s="3626">
        <v>4011</v>
      </c>
      <c r="E722" s="3626">
        <v>4475</v>
      </c>
      <c r="F722" s="3626">
        <v>4276</v>
      </c>
    </row>
    <row r="723" spans="1:6" ht="15.75">
      <c r="A723" s="3021">
        <v>32950</v>
      </c>
      <c r="B723" s="3021">
        <v>33000</v>
      </c>
      <c r="C723" s="3981">
        <v>4483</v>
      </c>
      <c r="D723" s="3626">
        <v>4019</v>
      </c>
      <c r="E723" s="3626">
        <v>4483</v>
      </c>
      <c r="F723" s="3626">
        <v>4284</v>
      </c>
    </row>
    <row r="724" spans="1:6" ht="15.75">
      <c r="A724" s="3021">
        <v>33000</v>
      </c>
      <c r="B724" s="3021">
        <v>33050</v>
      </c>
      <c r="C724" s="3981">
        <v>4490</v>
      </c>
      <c r="D724" s="3626">
        <v>4026</v>
      </c>
      <c r="E724" s="3626">
        <v>4490</v>
      </c>
      <c r="F724" s="3626">
        <v>4291</v>
      </c>
    </row>
    <row r="725" spans="1:6" ht="15.75">
      <c r="A725" s="3021">
        <v>33050</v>
      </c>
      <c r="B725" s="3021">
        <v>33100</v>
      </c>
      <c r="C725" s="3981">
        <v>4498</v>
      </c>
      <c r="D725" s="3626">
        <v>4034</v>
      </c>
      <c r="E725" s="3626">
        <v>4498</v>
      </c>
      <c r="F725" s="3626">
        <v>4299</v>
      </c>
    </row>
    <row r="726" spans="1:6" ht="15.75">
      <c r="A726" s="3021">
        <v>33100</v>
      </c>
      <c r="B726" s="3021">
        <v>33150</v>
      </c>
      <c r="C726" s="3981">
        <v>4505</v>
      </c>
      <c r="D726" s="3626">
        <v>4041</v>
      </c>
      <c r="E726" s="3626">
        <v>4505</v>
      </c>
      <c r="F726" s="3626">
        <v>4306</v>
      </c>
    </row>
    <row r="727" spans="1:6" ht="15.75">
      <c r="A727" s="3021">
        <v>33150</v>
      </c>
      <c r="B727" s="3021">
        <v>33200</v>
      </c>
      <c r="C727" s="3981">
        <v>4513</v>
      </c>
      <c r="D727" s="3626">
        <v>4049</v>
      </c>
      <c r="E727" s="3626">
        <v>4513</v>
      </c>
      <c r="F727" s="3626">
        <v>4314</v>
      </c>
    </row>
    <row r="728" spans="1:6" ht="15.75">
      <c r="A728" s="3021">
        <v>33200</v>
      </c>
      <c r="B728" s="3021">
        <v>33250</v>
      </c>
      <c r="C728" s="3981">
        <v>4520</v>
      </c>
      <c r="D728" s="3626">
        <v>4056</v>
      </c>
      <c r="E728" s="3626">
        <v>4520</v>
      </c>
      <c r="F728" s="3626">
        <v>4321</v>
      </c>
    </row>
    <row r="729" spans="1:6" ht="15.75">
      <c r="A729" s="3021">
        <v>33250</v>
      </c>
      <c r="B729" s="3021">
        <v>33300</v>
      </c>
      <c r="C729" s="3981">
        <v>4528</v>
      </c>
      <c r="D729" s="3626">
        <v>4064</v>
      </c>
      <c r="E729" s="3626">
        <v>4528</v>
      </c>
      <c r="F729" s="3626">
        <v>4329</v>
      </c>
    </row>
    <row r="730" spans="1:6" ht="15.75">
      <c r="A730" s="3021">
        <v>33300</v>
      </c>
      <c r="B730" s="3021">
        <v>33350</v>
      </c>
      <c r="C730" s="3981">
        <v>4535</v>
      </c>
      <c r="D730" s="3626">
        <v>4071</v>
      </c>
      <c r="E730" s="3626">
        <v>4535</v>
      </c>
      <c r="F730" s="3626">
        <v>4336</v>
      </c>
    </row>
    <row r="731" spans="1:6" ht="15.75">
      <c r="A731" s="3021">
        <v>33350</v>
      </c>
      <c r="B731" s="3021">
        <v>33400</v>
      </c>
      <c r="C731" s="3981">
        <v>4543</v>
      </c>
      <c r="D731" s="3626">
        <v>4079</v>
      </c>
      <c r="E731" s="3626">
        <v>4543</v>
      </c>
      <c r="F731" s="3626">
        <v>4344</v>
      </c>
    </row>
    <row r="732" spans="1:6" ht="15.75">
      <c r="A732" s="3021">
        <v>33400</v>
      </c>
      <c r="B732" s="3021">
        <v>33450</v>
      </c>
      <c r="C732" s="3981">
        <v>4550</v>
      </c>
      <c r="D732" s="3626">
        <v>4086</v>
      </c>
      <c r="E732" s="3626">
        <v>4550</v>
      </c>
      <c r="F732" s="3626">
        <v>4351</v>
      </c>
    </row>
    <row r="733" spans="1:6" ht="15.75">
      <c r="A733" s="3021">
        <v>33450</v>
      </c>
      <c r="B733" s="3021">
        <v>33500</v>
      </c>
      <c r="C733" s="3981">
        <v>4558</v>
      </c>
      <c r="D733" s="3626">
        <v>4094</v>
      </c>
      <c r="E733" s="3626">
        <v>4558</v>
      </c>
      <c r="F733" s="3626">
        <v>4359</v>
      </c>
    </row>
    <row r="734" spans="1:6" ht="15.75">
      <c r="A734" s="3021">
        <v>33500</v>
      </c>
      <c r="B734" s="3021">
        <v>33550</v>
      </c>
      <c r="C734" s="3981">
        <v>4565</v>
      </c>
      <c r="D734" s="3626">
        <v>4101</v>
      </c>
      <c r="E734" s="3626">
        <v>4565</v>
      </c>
      <c r="F734" s="3626">
        <v>4366</v>
      </c>
    </row>
    <row r="735" spans="1:6" ht="15.75">
      <c r="A735" s="3021">
        <v>33550</v>
      </c>
      <c r="B735" s="3021">
        <v>33600</v>
      </c>
      <c r="C735" s="3981">
        <v>4573</v>
      </c>
      <c r="D735" s="3626">
        <v>4109</v>
      </c>
      <c r="E735" s="3626">
        <v>4573</v>
      </c>
      <c r="F735" s="3626">
        <v>4374</v>
      </c>
    </row>
    <row r="736" spans="1:6" ht="15.75">
      <c r="A736" s="3021">
        <v>33600</v>
      </c>
      <c r="B736" s="3021">
        <v>33650</v>
      </c>
      <c r="C736" s="3981">
        <v>4580</v>
      </c>
      <c r="D736" s="3626">
        <v>4116</v>
      </c>
      <c r="E736" s="3626">
        <v>4580</v>
      </c>
      <c r="F736" s="3626">
        <v>4381</v>
      </c>
    </row>
    <row r="737" spans="1:6" ht="15.75">
      <c r="A737" s="3021">
        <v>33650</v>
      </c>
      <c r="B737" s="3021">
        <v>33700</v>
      </c>
      <c r="C737" s="3981">
        <v>4588</v>
      </c>
      <c r="D737" s="3626">
        <v>4124</v>
      </c>
      <c r="E737" s="3626">
        <v>4588</v>
      </c>
      <c r="F737" s="3626">
        <v>4389</v>
      </c>
    </row>
    <row r="738" spans="1:6" ht="15.75">
      <c r="A738" s="3021">
        <v>33700</v>
      </c>
      <c r="B738" s="3021">
        <v>33750</v>
      </c>
      <c r="C738" s="3981">
        <v>4595</v>
      </c>
      <c r="D738" s="3626">
        <v>4131</v>
      </c>
      <c r="E738" s="3626">
        <v>4595</v>
      </c>
      <c r="F738" s="3626">
        <v>4396</v>
      </c>
    </row>
    <row r="739" spans="1:6" ht="15.75">
      <c r="A739" s="3021">
        <v>33750</v>
      </c>
      <c r="B739" s="3021">
        <v>33800</v>
      </c>
      <c r="C739" s="3981">
        <v>4603</v>
      </c>
      <c r="D739" s="3626">
        <v>4139</v>
      </c>
      <c r="E739" s="3626">
        <v>4603</v>
      </c>
      <c r="F739" s="3626">
        <v>4404</v>
      </c>
    </row>
    <row r="740" spans="1:6" ht="15.75">
      <c r="A740" s="3021">
        <v>33800</v>
      </c>
      <c r="B740" s="3021">
        <v>33850</v>
      </c>
      <c r="C740" s="3981">
        <v>4610</v>
      </c>
      <c r="D740" s="3626">
        <v>4146</v>
      </c>
      <c r="E740" s="3626">
        <v>4610</v>
      </c>
      <c r="F740" s="3626">
        <v>4411</v>
      </c>
    </row>
    <row r="741" spans="1:6" ht="15.75">
      <c r="A741" s="3021">
        <v>33850</v>
      </c>
      <c r="B741" s="3021">
        <v>33900</v>
      </c>
      <c r="C741" s="3981">
        <v>4618</v>
      </c>
      <c r="D741" s="3626">
        <v>4154</v>
      </c>
      <c r="E741" s="3626">
        <v>4618</v>
      </c>
      <c r="F741" s="3626">
        <v>4419</v>
      </c>
    </row>
    <row r="742" spans="1:6" ht="15.75">
      <c r="A742" s="3021">
        <v>33900</v>
      </c>
      <c r="B742" s="3021">
        <v>33950</v>
      </c>
      <c r="C742" s="3981">
        <v>4625</v>
      </c>
      <c r="D742" s="3626">
        <v>4161</v>
      </c>
      <c r="E742" s="3626">
        <v>4625</v>
      </c>
      <c r="F742" s="3626">
        <v>4426</v>
      </c>
    </row>
    <row r="743" spans="1:6" ht="15.75">
      <c r="A743" s="3021">
        <v>33950</v>
      </c>
      <c r="B743" s="3021">
        <v>34000</v>
      </c>
      <c r="C743" s="3981">
        <v>4633</v>
      </c>
      <c r="D743" s="3626">
        <v>4169</v>
      </c>
      <c r="E743" s="3626">
        <v>4633</v>
      </c>
      <c r="F743" s="3626">
        <v>4434</v>
      </c>
    </row>
    <row r="744" spans="1:6" ht="15.75">
      <c r="A744" s="3021">
        <v>34000</v>
      </c>
      <c r="B744" s="3021">
        <v>34050</v>
      </c>
      <c r="C744" s="3981">
        <v>4640</v>
      </c>
      <c r="D744" s="3626">
        <v>4176</v>
      </c>
      <c r="E744" s="3626">
        <v>4640</v>
      </c>
      <c r="F744" s="3626">
        <v>4441</v>
      </c>
    </row>
    <row r="745" spans="1:6" ht="15.75">
      <c r="A745" s="3021">
        <v>34050</v>
      </c>
      <c r="B745" s="3021">
        <v>34100</v>
      </c>
      <c r="C745" s="3981">
        <v>4648</v>
      </c>
      <c r="D745" s="3626">
        <v>4184</v>
      </c>
      <c r="E745" s="3626">
        <v>4648</v>
      </c>
      <c r="F745" s="3626">
        <v>4449</v>
      </c>
    </row>
    <row r="746" spans="1:6" ht="15.75">
      <c r="A746" s="3021">
        <v>34100</v>
      </c>
      <c r="B746" s="3021">
        <v>34150</v>
      </c>
      <c r="C746" s="3981">
        <v>4655</v>
      </c>
      <c r="D746" s="3626">
        <v>4191</v>
      </c>
      <c r="E746" s="3626">
        <v>4655</v>
      </c>
      <c r="F746" s="3626">
        <v>4456</v>
      </c>
    </row>
    <row r="747" spans="1:6" ht="15.75">
      <c r="A747" s="3021">
        <v>34150</v>
      </c>
      <c r="B747" s="3021">
        <v>34200</v>
      </c>
      <c r="C747" s="3981">
        <v>4663</v>
      </c>
      <c r="D747" s="3626">
        <v>4199</v>
      </c>
      <c r="E747" s="3626">
        <v>4663</v>
      </c>
      <c r="F747" s="3626">
        <v>4464</v>
      </c>
    </row>
    <row r="748" spans="1:6" ht="15.75">
      <c r="A748" s="3021">
        <v>34200</v>
      </c>
      <c r="B748" s="3021">
        <v>34250</v>
      </c>
      <c r="C748" s="3981">
        <v>4670</v>
      </c>
      <c r="D748" s="3626">
        <v>4206</v>
      </c>
      <c r="E748" s="3626">
        <v>4670</v>
      </c>
      <c r="F748" s="3626">
        <v>4471</v>
      </c>
    </row>
    <row r="749" spans="1:6" ht="15.75">
      <c r="A749" s="3021">
        <v>34250</v>
      </c>
      <c r="B749" s="3021">
        <v>34300</v>
      </c>
      <c r="C749" s="3981">
        <v>4678</v>
      </c>
      <c r="D749" s="3626">
        <v>4214</v>
      </c>
      <c r="E749" s="3626">
        <v>4678</v>
      </c>
      <c r="F749" s="3626">
        <v>4479</v>
      </c>
    </row>
    <row r="750" spans="1:6" ht="15.75">
      <c r="A750" s="3021">
        <v>34300</v>
      </c>
      <c r="B750" s="3021">
        <v>34350</v>
      </c>
      <c r="C750" s="3981">
        <v>4685</v>
      </c>
      <c r="D750" s="3626">
        <v>4221</v>
      </c>
      <c r="E750" s="3626">
        <v>4685</v>
      </c>
      <c r="F750" s="3626">
        <v>4486</v>
      </c>
    </row>
    <row r="751" spans="1:6" ht="15.75">
      <c r="A751" s="3021">
        <v>34350</v>
      </c>
      <c r="B751" s="3021">
        <v>34400</v>
      </c>
      <c r="C751" s="3981">
        <v>4693</v>
      </c>
      <c r="D751" s="3626">
        <v>4229</v>
      </c>
      <c r="E751" s="3626">
        <v>4693</v>
      </c>
      <c r="F751" s="3626">
        <v>4494</v>
      </c>
    </row>
    <row r="752" spans="1:6" ht="15.75">
      <c r="A752" s="3021">
        <v>34400</v>
      </c>
      <c r="B752" s="3021">
        <v>34450</v>
      </c>
      <c r="C752" s="3981">
        <v>4700</v>
      </c>
      <c r="D752" s="3626">
        <v>4236</v>
      </c>
      <c r="E752" s="3626">
        <v>4700</v>
      </c>
      <c r="F752" s="3626">
        <v>4501</v>
      </c>
    </row>
    <row r="753" spans="1:6" ht="15.75">
      <c r="A753" s="3021">
        <v>34450</v>
      </c>
      <c r="B753" s="3021">
        <v>34500</v>
      </c>
      <c r="C753" s="3981">
        <v>4708</v>
      </c>
      <c r="D753" s="3626">
        <v>4244</v>
      </c>
      <c r="E753" s="3626">
        <v>4708</v>
      </c>
      <c r="F753" s="3626">
        <v>4509</v>
      </c>
    </row>
    <row r="754" spans="1:6" ht="15.75">
      <c r="A754" s="3021">
        <v>34500</v>
      </c>
      <c r="B754" s="3021">
        <v>34550</v>
      </c>
      <c r="C754" s="3981">
        <v>4715</v>
      </c>
      <c r="D754" s="3626">
        <v>4251</v>
      </c>
      <c r="E754" s="3626">
        <v>4715</v>
      </c>
      <c r="F754" s="3626">
        <v>4516</v>
      </c>
    </row>
    <row r="755" spans="1:6" ht="15.75">
      <c r="A755" s="3021">
        <v>34550</v>
      </c>
      <c r="B755" s="3021">
        <v>34600</v>
      </c>
      <c r="C755" s="3981">
        <v>4723</v>
      </c>
      <c r="D755" s="3626">
        <v>4259</v>
      </c>
      <c r="E755" s="3626">
        <v>4723</v>
      </c>
      <c r="F755" s="3626">
        <v>4524</v>
      </c>
    </row>
    <row r="756" spans="1:6" ht="15.75">
      <c r="A756" s="3021">
        <v>34600</v>
      </c>
      <c r="B756" s="3021">
        <v>34650</v>
      </c>
      <c r="C756" s="3981">
        <v>4730</v>
      </c>
      <c r="D756" s="3626">
        <v>4266</v>
      </c>
      <c r="E756" s="3626">
        <v>4730</v>
      </c>
      <c r="F756" s="3626">
        <v>4531</v>
      </c>
    </row>
    <row r="757" spans="1:6" ht="15.75">
      <c r="A757" s="3021">
        <v>34650</v>
      </c>
      <c r="B757" s="3021">
        <v>34700</v>
      </c>
      <c r="C757" s="3981">
        <v>4738</v>
      </c>
      <c r="D757" s="3626">
        <v>4274</v>
      </c>
      <c r="E757" s="3626">
        <v>4738</v>
      </c>
      <c r="F757" s="3626">
        <v>4539</v>
      </c>
    </row>
    <row r="758" spans="1:6" ht="15.75">
      <c r="A758" s="3021">
        <v>34700</v>
      </c>
      <c r="B758" s="3021">
        <v>34750</v>
      </c>
      <c r="C758" s="3981">
        <v>4745</v>
      </c>
      <c r="D758" s="3626">
        <v>4281</v>
      </c>
      <c r="E758" s="3626">
        <v>4745</v>
      </c>
      <c r="F758" s="3626">
        <v>4546</v>
      </c>
    </row>
    <row r="759" spans="1:6" ht="15.75">
      <c r="A759" s="3021">
        <v>34750</v>
      </c>
      <c r="B759" s="3021">
        <v>34800</v>
      </c>
      <c r="C759" s="3981">
        <v>4753</v>
      </c>
      <c r="D759" s="3626">
        <v>4289</v>
      </c>
      <c r="E759" s="3626">
        <v>4753</v>
      </c>
      <c r="F759" s="3626">
        <v>4554</v>
      </c>
    </row>
    <row r="760" spans="1:6" ht="15.75">
      <c r="A760" s="3021">
        <v>34800</v>
      </c>
      <c r="B760" s="3021">
        <v>34850</v>
      </c>
      <c r="C760" s="3981">
        <v>4760</v>
      </c>
      <c r="D760" s="3626">
        <v>4296</v>
      </c>
      <c r="E760" s="3626">
        <v>4760</v>
      </c>
      <c r="F760" s="3626">
        <v>4561</v>
      </c>
    </row>
    <row r="761" spans="1:6" ht="15.75">
      <c r="A761" s="3021">
        <v>34850</v>
      </c>
      <c r="B761" s="3021">
        <v>34900</v>
      </c>
      <c r="C761" s="3981">
        <v>4768</v>
      </c>
      <c r="D761" s="3626">
        <v>4304</v>
      </c>
      <c r="E761" s="3626">
        <v>4768</v>
      </c>
      <c r="F761" s="3626">
        <v>4569</v>
      </c>
    </row>
    <row r="762" spans="1:6" ht="15.75">
      <c r="A762" s="3021">
        <v>34900</v>
      </c>
      <c r="B762" s="3021">
        <v>34950</v>
      </c>
      <c r="C762" s="3981">
        <v>4775</v>
      </c>
      <c r="D762" s="3626">
        <v>4311</v>
      </c>
      <c r="E762" s="3626">
        <v>4775</v>
      </c>
      <c r="F762" s="3626">
        <v>4576</v>
      </c>
    </row>
    <row r="763" spans="1:6" ht="15.75">
      <c r="A763" s="3021">
        <v>34950</v>
      </c>
      <c r="B763" s="3021">
        <v>35000</v>
      </c>
      <c r="C763" s="3981">
        <v>4783</v>
      </c>
      <c r="D763" s="3626">
        <v>4319</v>
      </c>
      <c r="E763" s="3626">
        <v>4783</v>
      </c>
      <c r="F763" s="3626">
        <v>4584</v>
      </c>
    </row>
    <row r="764" spans="1:6" ht="15.75">
      <c r="A764" s="3021">
        <v>35000</v>
      </c>
      <c r="B764" s="3021">
        <v>35050</v>
      </c>
      <c r="C764" s="3981">
        <v>4790</v>
      </c>
      <c r="D764" s="3626">
        <v>4326</v>
      </c>
      <c r="E764" s="3626">
        <v>4790</v>
      </c>
      <c r="F764" s="3626">
        <v>4591</v>
      </c>
    </row>
    <row r="765" spans="1:6" ht="15.75">
      <c r="A765" s="3021">
        <v>35050</v>
      </c>
      <c r="B765" s="3021">
        <v>35100</v>
      </c>
      <c r="C765" s="3981">
        <v>4798</v>
      </c>
      <c r="D765" s="3626">
        <v>4334</v>
      </c>
      <c r="E765" s="3626">
        <v>4798</v>
      </c>
      <c r="F765" s="3626">
        <v>4599</v>
      </c>
    </row>
    <row r="766" spans="1:6" ht="15.75">
      <c r="A766" s="3021">
        <v>35100</v>
      </c>
      <c r="B766" s="3021">
        <v>35150</v>
      </c>
      <c r="C766" s="3981">
        <v>4805</v>
      </c>
      <c r="D766" s="3626">
        <v>4341</v>
      </c>
      <c r="E766" s="3626">
        <v>4805</v>
      </c>
      <c r="F766" s="3626">
        <v>4606</v>
      </c>
    </row>
    <row r="767" spans="1:6" ht="15.75">
      <c r="A767" s="3021">
        <v>35150</v>
      </c>
      <c r="B767" s="3021">
        <v>35200</v>
      </c>
      <c r="C767" s="3981">
        <v>4813</v>
      </c>
      <c r="D767" s="3626">
        <v>4349</v>
      </c>
      <c r="E767" s="3626">
        <v>4813</v>
      </c>
      <c r="F767" s="3626">
        <v>4614</v>
      </c>
    </row>
    <row r="768" spans="1:6" ht="15.75">
      <c r="A768" s="3021">
        <v>35200</v>
      </c>
      <c r="B768" s="3021">
        <v>35250</v>
      </c>
      <c r="C768" s="3981">
        <v>4820</v>
      </c>
      <c r="D768" s="3626">
        <v>4356</v>
      </c>
      <c r="E768" s="3626">
        <v>4820</v>
      </c>
      <c r="F768" s="3626">
        <v>4621</v>
      </c>
    </row>
    <row r="769" spans="1:6" ht="15.75">
      <c r="A769" s="3021">
        <v>35250</v>
      </c>
      <c r="B769" s="3021">
        <v>35300</v>
      </c>
      <c r="C769" s="3981">
        <v>4828</v>
      </c>
      <c r="D769" s="3626">
        <v>4364</v>
      </c>
      <c r="E769" s="3626">
        <v>4828</v>
      </c>
      <c r="F769" s="3626">
        <v>4629</v>
      </c>
    </row>
    <row r="770" spans="1:6" ht="15.75">
      <c r="A770" s="3021">
        <v>35300</v>
      </c>
      <c r="B770" s="3021">
        <v>35350</v>
      </c>
      <c r="C770" s="3981">
        <v>4835</v>
      </c>
      <c r="D770" s="3626">
        <v>4371</v>
      </c>
      <c r="E770" s="3626">
        <v>4835</v>
      </c>
      <c r="F770" s="3626">
        <v>4636</v>
      </c>
    </row>
    <row r="771" spans="1:6" ht="15.75">
      <c r="A771" s="3021">
        <v>35350</v>
      </c>
      <c r="B771" s="3021">
        <v>35400</v>
      </c>
      <c r="C771" s="3981">
        <v>4843</v>
      </c>
      <c r="D771" s="3626">
        <v>4379</v>
      </c>
      <c r="E771" s="3626">
        <v>4843</v>
      </c>
      <c r="F771" s="3626">
        <v>4644</v>
      </c>
    </row>
    <row r="772" spans="1:6" ht="15.75">
      <c r="A772" s="3021">
        <v>35400</v>
      </c>
      <c r="B772" s="3021">
        <v>35450</v>
      </c>
      <c r="C772" s="3981">
        <v>4850</v>
      </c>
      <c r="D772" s="3626">
        <v>4386</v>
      </c>
      <c r="E772" s="3626">
        <v>4850</v>
      </c>
      <c r="F772" s="3626">
        <v>4651</v>
      </c>
    </row>
    <row r="773" spans="1:6" ht="15.75">
      <c r="A773" s="3021">
        <v>35450</v>
      </c>
      <c r="B773" s="3021">
        <v>35500</v>
      </c>
      <c r="C773" s="3981">
        <v>4858</v>
      </c>
      <c r="D773" s="3626">
        <v>4394</v>
      </c>
      <c r="E773" s="3626">
        <v>4858</v>
      </c>
      <c r="F773" s="3626">
        <v>4659</v>
      </c>
    </row>
    <row r="774" spans="1:6" ht="15.75">
      <c r="A774" s="3021">
        <v>35500</v>
      </c>
      <c r="B774" s="3021">
        <v>35550</v>
      </c>
      <c r="C774" s="3981">
        <v>4865</v>
      </c>
      <c r="D774" s="3626">
        <v>4401</v>
      </c>
      <c r="E774" s="3626">
        <v>4865</v>
      </c>
      <c r="F774" s="3626">
        <v>4666</v>
      </c>
    </row>
    <row r="775" spans="1:6" ht="15.75">
      <c r="A775" s="3021">
        <v>35550</v>
      </c>
      <c r="B775" s="3021">
        <v>35600</v>
      </c>
      <c r="C775" s="3981">
        <v>4873</v>
      </c>
      <c r="D775" s="3626">
        <v>4409</v>
      </c>
      <c r="E775" s="3626">
        <v>4873</v>
      </c>
      <c r="F775" s="3626">
        <v>4674</v>
      </c>
    </row>
    <row r="776" spans="1:6" ht="15.75">
      <c r="A776" s="3021">
        <v>35600</v>
      </c>
      <c r="B776" s="3021">
        <v>35650</v>
      </c>
      <c r="C776" s="3981">
        <v>4880</v>
      </c>
      <c r="D776" s="3626">
        <v>4416</v>
      </c>
      <c r="E776" s="3626">
        <v>4880</v>
      </c>
      <c r="F776" s="3626">
        <v>4681</v>
      </c>
    </row>
    <row r="777" spans="1:6" ht="15.75">
      <c r="A777" s="3021">
        <v>35650</v>
      </c>
      <c r="B777" s="3021">
        <v>35700</v>
      </c>
      <c r="C777" s="3981">
        <v>4888</v>
      </c>
      <c r="D777" s="3626">
        <v>4424</v>
      </c>
      <c r="E777" s="3626">
        <v>4888</v>
      </c>
      <c r="F777" s="3626">
        <v>4689</v>
      </c>
    </row>
    <row r="778" spans="1:6" ht="15.75">
      <c r="A778" s="3021">
        <v>35700</v>
      </c>
      <c r="B778" s="3021">
        <v>35750</v>
      </c>
      <c r="C778" s="3981">
        <v>4895</v>
      </c>
      <c r="D778" s="3626">
        <v>4431</v>
      </c>
      <c r="E778" s="3626">
        <v>4895</v>
      </c>
      <c r="F778" s="3626">
        <v>4696</v>
      </c>
    </row>
    <row r="779" spans="1:6" ht="15.75">
      <c r="A779" s="3021">
        <v>35750</v>
      </c>
      <c r="B779" s="3021">
        <v>35800</v>
      </c>
      <c r="C779" s="3981">
        <v>4903</v>
      </c>
      <c r="D779" s="3626">
        <v>4439</v>
      </c>
      <c r="E779" s="3626">
        <v>4903</v>
      </c>
      <c r="F779" s="3626">
        <v>4704</v>
      </c>
    </row>
    <row r="780" spans="1:6" ht="15.75">
      <c r="A780" s="3021">
        <v>35800</v>
      </c>
      <c r="B780" s="3021">
        <v>35850</v>
      </c>
      <c r="C780" s="3981">
        <v>4910</v>
      </c>
      <c r="D780" s="3626">
        <v>4446</v>
      </c>
      <c r="E780" s="3626">
        <v>4910</v>
      </c>
      <c r="F780" s="3626">
        <v>4711</v>
      </c>
    </row>
    <row r="781" spans="1:6" ht="15.75">
      <c r="A781" s="3021">
        <v>35850</v>
      </c>
      <c r="B781" s="3021">
        <v>35900</v>
      </c>
      <c r="C781" s="3981">
        <v>4918</v>
      </c>
      <c r="D781" s="3626">
        <v>4454</v>
      </c>
      <c r="E781" s="3626">
        <v>4918</v>
      </c>
      <c r="F781" s="3626">
        <v>4719</v>
      </c>
    </row>
    <row r="782" spans="1:6" ht="15.75">
      <c r="A782" s="3021">
        <v>35900</v>
      </c>
      <c r="B782" s="3021">
        <v>35950</v>
      </c>
      <c r="C782" s="3981">
        <v>4925</v>
      </c>
      <c r="D782" s="3626">
        <v>4461</v>
      </c>
      <c r="E782" s="3626">
        <v>4925</v>
      </c>
      <c r="F782" s="3626">
        <v>4726</v>
      </c>
    </row>
    <row r="783" spans="1:6" ht="15.75">
      <c r="A783" s="3021">
        <v>35950</v>
      </c>
      <c r="B783" s="3021">
        <v>36000</v>
      </c>
      <c r="C783" s="3981">
        <v>4933</v>
      </c>
      <c r="D783" s="3626">
        <v>4469</v>
      </c>
      <c r="E783" s="3626">
        <v>4933</v>
      </c>
      <c r="F783" s="3626">
        <v>4734</v>
      </c>
    </row>
    <row r="784" spans="1:6" ht="15.75">
      <c r="A784" s="3021">
        <v>36000</v>
      </c>
      <c r="B784" s="3021">
        <v>36050</v>
      </c>
      <c r="C784" s="3981">
        <v>4940</v>
      </c>
      <c r="D784" s="3626">
        <v>4476</v>
      </c>
      <c r="E784" s="3626">
        <v>4940</v>
      </c>
      <c r="F784" s="3626">
        <v>4741</v>
      </c>
    </row>
    <row r="785" spans="1:6" ht="15.75">
      <c r="A785" s="3021">
        <v>36050</v>
      </c>
      <c r="B785" s="3021">
        <v>36100</v>
      </c>
      <c r="C785" s="3981">
        <v>4948</v>
      </c>
      <c r="D785" s="3626">
        <v>4484</v>
      </c>
      <c r="E785" s="3626">
        <v>4948</v>
      </c>
      <c r="F785" s="3626">
        <v>4749</v>
      </c>
    </row>
    <row r="786" spans="1:6" ht="15.75">
      <c r="A786" s="3021">
        <v>36100</v>
      </c>
      <c r="B786" s="3021">
        <v>36150</v>
      </c>
      <c r="C786" s="3981">
        <v>4955</v>
      </c>
      <c r="D786" s="3626">
        <v>4491</v>
      </c>
      <c r="E786" s="3626">
        <v>4955</v>
      </c>
      <c r="F786" s="3626">
        <v>4756</v>
      </c>
    </row>
    <row r="787" spans="1:6" ht="15.75">
      <c r="A787" s="3021">
        <v>36150</v>
      </c>
      <c r="B787" s="3021">
        <v>36200</v>
      </c>
      <c r="C787" s="3981">
        <v>4963</v>
      </c>
      <c r="D787" s="3626">
        <v>4499</v>
      </c>
      <c r="E787" s="3626">
        <v>4963</v>
      </c>
      <c r="F787" s="3626">
        <v>4764</v>
      </c>
    </row>
    <row r="788" spans="1:6" ht="15.75">
      <c r="A788" s="3021">
        <v>36200</v>
      </c>
      <c r="B788" s="3021">
        <v>36250</v>
      </c>
      <c r="C788" s="3981">
        <v>4970</v>
      </c>
      <c r="D788" s="3626">
        <v>4506</v>
      </c>
      <c r="E788" s="3626">
        <v>4970</v>
      </c>
      <c r="F788" s="3626">
        <v>4771</v>
      </c>
    </row>
    <row r="789" spans="1:6" ht="15.75">
      <c r="A789" s="3021">
        <v>36250</v>
      </c>
      <c r="B789" s="3021">
        <v>36300</v>
      </c>
      <c r="C789" s="3981">
        <v>4978</v>
      </c>
      <c r="D789" s="3626">
        <v>4514</v>
      </c>
      <c r="E789" s="3626">
        <v>4978</v>
      </c>
      <c r="F789" s="3626">
        <v>4779</v>
      </c>
    </row>
    <row r="790" spans="1:6" ht="15.75">
      <c r="A790" s="3021">
        <v>36300</v>
      </c>
      <c r="B790" s="3021">
        <v>36350</v>
      </c>
      <c r="C790" s="3981">
        <v>4985</v>
      </c>
      <c r="D790" s="3626">
        <v>4521</v>
      </c>
      <c r="E790" s="3626">
        <v>4985</v>
      </c>
      <c r="F790" s="3626">
        <v>4786</v>
      </c>
    </row>
    <row r="791" spans="1:6" ht="15.75">
      <c r="A791" s="3021">
        <v>36350</v>
      </c>
      <c r="B791" s="3021">
        <v>36400</v>
      </c>
      <c r="C791" s="3981">
        <v>4993</v>
      </c>
      <c r="D791" s="3626">
        <v>4529</v>
      </c>
      <c r="E791" s="3626">
        <v>4993</v>
      </c>
      <c r="F791" s="3626">
        <v>4794</v>
      </c>
    </row>
    <row r="792" spans="1:6" ht="15.75">
      <c r="A792" s="3021">
        <v>36400</v>
      </c>
      <c r="B792" s="3021">
        <v>36450</v>
      </c>
      <c r="C792" s="3981">
        <v>5000</v>
      </c>
      <c r="D792" s="3626">
        <v>4536</v>
      </c>
      <c r="E792" s="3626">
        <v>5000</v>
      </c>
      <c r="F792" s="3626">
        <v>4801</v>
      </c>
    </row>
    <row r="793" spans="1:6" ht="15.75">
      <c r="A793" s="3021">
        <v>36450</v>
      </c>
      <c r="B793" s="3021">
        <v>36500</v>
      </c>
      <c r="C793" s="3981">
        <v>5008</v>
      </c>
      <c r="D793" s="3626">
        <v>4544</v>
      </c>
      <c r="E793" s="3626">
        <v>5008</v>
      </c>
      <c r="F793" s="3626">
        <v>4809</v>
      </c>
    </row>
    <row r="794" spans="1:6" ht="15.75">
      <c r="A794" s="3021">
        <v>36500</v>
      </c>
      <c r="B794" s="3021">
        <v>36550</v>
      </c>
      <c r="C794" s="3981">
        <v>5015</v>
      </c>
      <c r="D794" s="3626">
        <v>4551</v>
      </c>
      <c r="E794" s="3626">
        <v>5015</v>
      </c>
      <c r="F794" s="3626">
        <v>4816</v>
      </c>
    </row>
    <row r="795" spans="1:6" ht="15.75">
      <c r="A795" s="3021">
        <v>36550</v>
      </c>
      <c r="B795" s="3021">
        <v>36600</v>
      </c>
      <c r="C795" s="3981">
        <v>5023</v>
      </c>
      <c r="D795" s="3626">
        <v>4559</v>
      </c>
      <c r="E795" s="3626">
        <v>5023</v>
      </c>
      <c r="F795" s="3626">
        <v>4824</v>
      </c>
    </row>
    <row r="796" spans="1:6" ht="15.75">
      <c r="A796" s="3021">
        <v>36600</v>
      </c>
      <c r="B796" s="3021">
        <v>36650</v>
      </c>
      <c r="C796" s="3981">
        <v>5030</v>
      </c>
      <c r="D796" s="3626">
        <v>4566</v>
      </c>
      <c r="E796" s="3626">
        <v>5030</v>
      </c>
      <c r="F796" s="3626">
        <v>4831</v>
      </c>
    </row>
    <row r="797" spans="1:6" ht="15.75">
      <c r="A797" s="3021">
        <v>36650</v>
      </c>
      <c r="B797" s="3021">
        <v>36700</v>
      </c>
      <c r="C797" s="3981">
        <v>5038</v>
      </c>
      <c r="D797" s="3626">
        <v>4574</v>
      </c>
      <c r="E797" s="3626">
        <v>5038</v>
      </c>
      <c r="F797" s="3626">
        <v>4839</v>
      </c>
    </row>
    <row r="798" spans="1:6" ht="15.75">
      <c r="A798" s="3021">
        <v>36700</v>
      </c>
      <c r="B798" s="3021">
        <v>36750</v>
      </c>
      <c r="C798" s="3981">
        <v>5045</v>
      </c>
      <c r="D798" s="3626">
        <v>4581</v>
      </c>
      <c r="E798" s="3626">
        <v>5045</v>
      </c>
      <c r="F798" s="3626">
        <v>4846</v>
      </c>
    </row>
    <row r="799" spans="1:6" ht="15.75">
      <c r="A799" s="3021">
        <v>36750</v>
      </c>
      <c r="B799" s="3021">
        <v>36800</v>
      </c>
      <c r="C799" s="3981">
        <v>5053</v>
      </c>
      <c r="D799" s="3626">
        <v>4589</v>
      </c>
      <c r="E799" s="3626">
        <v>5053</v>
      </c>
      <c r="F799" s="3626">
        <v>4854</v>
      </c>
    </row>
    <row r="800" spans="1:6" ht="15.75">
      <c r="A800" s="3021">
        <v>36800</v>
      </c>
      <c r="B800" s="3021">
        <v>36850</v>
      </c>
      <c r="C800" s="3981">
        <v>5060</v>
      </c>
      <c r="D800" s="3626">
        <v>4596</v>
      </c>
      <c r="E800" s="3626">
        <v>5060</v>
      </c>
      <c r="F800" s="3626">
        <v>4861</v>
      </c>
    </row>
    <row r="801" spans="1:6" ht="15.75">
      <c r="A801" s="3021">
        <v>36850</v>
      </c>
      <c r="B801" s="3021">
        <v>36900</v>
      </c>
      <c r="C801" s="3981">
        <v>5068</v>
      </c>
      <c r="D801" s="3626">
        <v>4604</v>
      </c>
      <c r="E801" s="3626">
        <v>5068</v>
      </c>
      <c r="F801" s="3626">
        <v>4869</v>
      </c>
    </row>
    <row r="802" spans="1:6" ht="15.75">
      <c r="A802" s="3021">
        <v>36900</v>
      </c>
      <c r="B802" s="3021">
        <v>36950</v>
      </c>
      <c r="C802" s="3981">
        <v>5075</v>
      </c>
      <c r="D802" s="3626">
        <v>4611</v>
      </c>
      <c r="E802" s="3626">
        <v>5075</v>
      </c>
      <c r="F802" s="3626">
        <v>4876</v>
      </c>
    </row>
    <row r="803" spans="1:6" ht="15.75">
      <c r="A803" s="3021">
        <v>36950</v>
      </c>
      <c r="B803" s="3021">
        <v>37000</v>
      </c>
      <c r="C803" s="3981">
        <v>5083</v>
      </c>
      <c r="D803" s="3626">
        <v>4619</v>
      </c>
      <c r="E803" s="3626">
        <v>5083</v>
      </c>
      <c r="F803" s="3626">
        <v>4884</v>
      </c>
    </row>
    <row r="804" spans="1:6" ht="15.75">
      <c r="A804" s="3021">
        <v>37000</v>
      </c>
      <c r="B804" s="3021">
        <v>37050</v>
      </c>
      <c r="C804" s="3981">
        <v>5090</v>
      </c>
      <c r="D804" s="3626">
        <v>4626</v>
      </c>
      <c r="E804" s="3626">
        <v>5090</v>
      </c>
      <c r="F804" s="3626">
        <v>4891</v>
      </c>
    </row>
    <row r="805" spans="1:6" ht="15.75">
      <c r="A805" s="3021">
        <v>37050</v>
      </c>
      <c r="B805" s="3021">
        <v>37100</v>
      </c>
      <c r="C805" s="3981">
        <v>5098</v>
      </c>
      <c r="D805" s="3626">
        <v>4634</v>
      </c>
      <c r="E805" s="3626">
        <v>5098</v>
      </c>
      <c r="F805" s="3626">
        <v>4899</v>
      </c>
    </row>
    <row r="806" spans="1:6" ht="15.75">
      <c r="A806" s="3021">
        <v>37100</v>
      </c>
      <c r="B806" s="3021">
        <v>37150</v>
      </c>
      <c r="C806" s="3981">
        <v>5105</v>
      </c>
      <c r="D806" s="3626">
        <v>4641</v>
      </c>
      <c r="E806" s="3626">
        <v>5105</v>
      </c>
      <c r="F806" s="3626">
        <v>4906</v>
      </c>
    </row>
    <row r="807" spans="1:6" ht="15.75">
      <c r="A807" s="3021">
        <v>37150</v>
      </c>
      <c r="B807" s="3021">
        <v>37200</v>
      </c>
      <c r="C807" s="3981">
        <v>5113</v>
      </c>
      <c r="D807" s="3626">
        <v>4649</v>
      </c>
      <c r="E807" s="3626">
        <v>5113</v>
      </c>
      <c r="F807" s="3626">
        <v>4914</v>
      </c>
    </row>
    <row r="808" spans="1:6" ht="15.75">
      <c r="A808" s="3021">
        <v>37200</v>
      </c>
      <c r="B808" s="3021">
        <v>37250</v>
      </c>
      <c r="C808" s="3981">
        <v>5120</v>
      </c>
      <c r="D808" s="3626">
        <v>4656</v>
      </c>
      <c r="E808" s="3626">
        <v>5120</v>
      </c>
      <c r="F808" s="3626">
        <v>4921</v>
      </c>
    </row>
    <row r="809" spans="1:6" ht="15.75">
      <c r="A809" s="3021">
        <v>37250</v>
      </c>
      <c r="B809" s="3021">
        <v>37300</v>
      </c>
      <c r="C809" s="3981">
        <v>5128</v>
      </c>
      <c r="D809" s="3626">
        <v>4664</v>
      </c>
      <c r="E809" s="3626">
        <v>5128</v>
      </c>
      <c r="F809" s="3626">
        <v>4929</v>
      </c>
    </row>
    <row r="810" spans="1:6" ht="15.75">
      <c r="A810" s="3021">
        <v>37300</v>
      </c>
      <c r="B810" s="3021">
        <v>37350</v>
      </c>
      <c r="C810" s="3981">
        <v>5135</v>
      </c>
      <c r="D810" s="3626">
        <v>4671</v>
      </c>
      <c r="E810" s="3626">
        <v>5135</v>
      </c>
      <c r="F810" s="3626">
        <v>4936</v>
      </c>
    </row>
    <row r="811" spans="1:6" ht="15.75">
      <c r="A811" s="3021">
        <v>37350</v>
      </c>
      <c r="B811" s="3021">
        <v>37400</v>
      </c>
      <c r="C811" s="3981">
        <v>5143</v>
      </c>
      <c r="D811" s="3626">
        <v>4679</v>
      </c>
      <c r="E811" s="3626">
        <v>5143</v>
      </c>
      <c r="F811" s="3626">
        <v>4944</v>
      </c>
    </row>
    <row r="812" spans="1:6" ht="15.75">
      <c r="A812" s="3021">
        <v>37400</v>
      </c>
      <c r="B812" s="3021">
        <v>37450</v>
      </c>
      <c r="C812" s="3981">
        <v>5150</v>
      </c>
      <c r="D812" s="3626">
        <v>4686</v>
      </c>
      <c r="E812" s="3626">
        <v>5150</v>
      </c>
      <c r="F812" s="3626">
        <v>4951</v>
      </c>
    </row>
    <row r="813" spans="1:6" ht="15.75">
      <c r="A813" s="3021">
        <v>37450</v>
      </c>
      <c r="B813" s="3021">
        <v>37500</v>
      </c>
      <c r="C813" s="3981">
        <v>5158</v>
      </c>
      <c r="D813" s="3626">
        <v>4694</v>
      </c>
      <c r="E813" s="3626">
        <v>5158</v>
      </c>
      <c r="F813" s="3626">
        <v>4959</v>
      </c>
    </row>
    <row r="814" spans="1:6" ht="15.75">
      <c r="A814" s="3021">
        <v>37500</v>
      </c>
      <c r="B814" s="3021">
        <v>37550</v>
      </c>
      <c r="C814" s="3981">
        <v>5165</v>
      </c>
      <c r="D814" s="3626">
        <v>4701</v>
      </c>
      <c r="E814" s="3626">
        <v>5165</v>
      </c>
      <c r="F814" s="3626">
        <v>4966</v>
      </c>
    </row>
    <row r="815" spans="1:6" ht="15.75">
      <c r="A815" s="3021">
        <v>37550</v>
      </c>
      <c r="B815" s="3021">
        <v>37600</v>
      </c>
      <c r="C815" s="3981">
        <v>5173</v>
      </c>
      <c r="D815" s="3626">
        <v>4709</v>
      </c>
      <c r="E815" s="3626">
        <v>5173</v>
      </c>
      <c r="F815" s="3626">
        <v>4974</v>
      </c>
    </row>
    <row r="816" spans="1:6" ht="15.75">
      <c r="A816" s="3021">
        <v>37600</v>
      </c>
      <c r="B816" s="3021">
        <v>37650</v>
      </c>
      <c r="C816" s="3981">
        <v>5180</v>
      </c>
      <c r="D816" s="3626">
        <v>4716</v>
      </c>
      <c r="E816" s="3626">
        <v>5180</v>
      </c>
      <c r="F816" s="3626">
        <v>4981</v>
      </c>
    </row>
    <row r="817" spans="1:6" ht="15.75">
      <c r="A817" s="3021">
        <v>37650</v>
      </c>
      <c r="B817" s="3021">
        <v>37700</v>
      </c>
      <c r="C817" s="3981">
        <v>5190</v>
      </c>
      <c r="D817" s="3626">
        <v>4724</v>
      </c>
      <c r="E817" s="3626">
        <v>5190</v>
      </c>
      <c r="F817" s="3626">
        <v>4989</v>
      </c>
    </row>
    <row r="818" spans="1:6" ht="15.75">
      <c r="A818" s="3021">
        <v>37700</v>
      </c>
      <c r="B818" s="3021">
        <v>37750</v>
      </c>
      <c r="C818" s="3981">
        <v>5203</v>
      </c>
      <c r="D818" s="3626">
        <v>4731</v>
      </c>
      <c r="E818" s="3626">
        <v>5203</v>
      </c>
      <c r="F818" s="3626">
        <v>4996</v>
      </c>
    </row>
    <row r="819" spans="1:6" ht="15.75">
      <c r="A819" s="3021">
        <v>37750</v>
      </c>
      <c r="B819" s="3021">
        <v>37800</v>
      </c>
      <c r="C819" s="3981">
        <v>5215</v>
      </c>
      <c r="D819" s="3626">
        <v>4739</v>
      </c>
      <c r="E819" s="3626">
        <v>5215</v>
      </c>
      <c r="F819" s="3626">
        <v>5004</v>
      </c>
    </row>
    <row r="820" spans="1:6" ht="15.75">
      <c r="A820" s="3021">
        <v>37800</v>
      </c>
      <c r="B820" s="3021">
        <v>37850</v>
      </c>
      <c r="C820" s="3981">
        <v>5228</v>
      </c>
      <c r="D820" s="3626">
        <v>4746</v>
      </c>
      <c r="E820" s="3626">
        <v>5228</v>
      </c>
      <c r="F820" s="3626">
        <v>5011</v>
      </c>
    </row>
    <row r="821" spans="1:6" ht="15.75">
      <c r="A821" s="3021">
        <v>37850</v>
      </c>
      <c r="B821" s="3021">
        <v>37900</v>
      </c>
      <c r="C821" s="3981">
        <v>5240</v>
      </c>
      <c r="D821" s="3626">
        <v>4754</v>
      </c>
      <c r="E821" s="3626">
        <v>5240</v>
      </c>
      <c r="F821" s="3626">
        <v>5019</v>
      </c>
    </row>
    <row r="822" spans="1:6" ht="15.75">
      <c r="A822" s="3021">
        <v>37900</v>
      </c>
      <c r="B822" s="3021">
        <v>37950</v>
      </c>
      <c r="C822" s="3981">
        <v>5253</v>
      </c>
      <c r="D822" s="3626">
        <v>4761</v>
      </c>
      <c r="E822" s="3626">
        <v>5253</v>
      </c>
      <c r="F822" s="3626">
        <v>5026</v>
      </c>
    </row>
    <row r="823" spans="1:6" ht="15.75">
      <c r="A823" s="3021">
        <v>37950</v>
      </c>
      <c r="B823" s="3021">
        <v>38000</v>
      </c>
      <c r="C823" s="3981">
        <v>5265</v>
      </c>
      <c r="D823" s="3626">
        <v>4769</v>
      </c>
      <c r="E823" s="3626">
        <v>5265</v>
      </c>
      <c r="F823" s="3626">
        <v>5034</v>
      </c>
    </row>
    <row r="824" spans="1:6" ht="15.75">
      <c r="A824" s="3021">
        <v>38000</v>
      </c>
      <c r="B824" s="3021">
        <v>38050</v>
      </c>
      <c r="C824" s="3981">
        <v>5278</v>
      </c>
      <c r="D824" s="3626">
        <v>4776</v>
      </c>
      <c r="E824" s="3626">
        <v>5278</v>
      </c>
      <c r="F824" s="3626">
        <v>5041</v>
      </c>
    </row>
    <row r="825" spans="1:6" ht="15.75">
      <c r="A825" s="3021">
        <v>38050</v>
      </c>
      <c r="B825" s="3021">
        <v>38100</v>
      </c>
      <c r="C825" s="3981">
        <v>5290</v>
      </c>
      <c r="D825" s="3626">
        <v>4784</v>
      </c>
      <c r="E825" s="3626">
        <v>5290</v>
      </c>
      <c r="F825" s="3626">
        <v>5049</v>
      </c>
    </row>
    <row r="826" spans="1:6" ht="15.75">
      <c r="A826" s="3021">
        <v>38100</v>
      </c>
      <c r="B826" s="3021">
        <v>38150</v>
      </c>
      <c r="C826" s="3981">
        <v>5303</v>
      </c>
      <c r="D826" s="3626">
        <v>4791</v>
      </c>
      <c r="E826" s="3626">
        <v>5303</v>
      </c>
      <c r="F826" s="3626">
        <v>5056</v>
      </c>
    </row>
    <row r="827" spans="1:6" ht="15.75">
      <c r="A827" s="3021">
        <v>38150</v>
      </c>
      <c r="B827" s="3021">
        <v>38200</v>
      </c>
      <c r="C827" s="3981">
        <v>5315</v>
      </c>
      <c r="D827" s="3626">
        <v>4799</v>
      </c>
      <c r="E827" s="3626">
        <v>5315</v>
      </c>
      <c r="F827" s="3626">
        <v>5064</v>
      </c>
    </row>
    <row r="828" spans="1:6" ht="15.75">
      <c r="A828" s="3021">
        <v>38200</v>
      </c>
      <c r="B828" s="3021">
        <v>38250</v>
      </c>
      <c r="C828" s="3981">
        <v>5328</v>
      </c>
      <c r="D828" s="3626">
        <v>4806</v>
      </c>
      <c r="E828" s="3626">
        <v>5328</v>
      </c>
      <c r="F828" s="3626">
        <v>5071</v>
      </c>
    </row>
    <row r="829" spans="1:6" ht="15.75">
      <c r="A829" s="3021">
        <v>38250</v>
      </c>
      <c r="B829" s="3021">
        <v>38300</v>
      </c>
      <c r="C829" s="3981">
        <v>5340</v>
      </c>
      <c r="D829" s="3626">
        <v>4814</v>
      </c>
      <c r="E829" s="3626">
        <v>5340</v>
      </c>
      <c r="F829" s="3626">
        <v>5079</v>
      </c>
    </row>
    <row r="830" spans="1:6" ht="15.75">
      <c r="A830" s="3021">
        <v>38300</v>
      </c>
      <c r="B830" s="3021">
        <v>38350</v>
      </c>
      <c r="C830" s="3981">
        <v>5353</v>
      </c>
      <c r="D830" s="3626">
        <v>4821</v>
      </c>
      <c r="E830" s="3626">
        <v>5353</v>
      </c>
      <c r="F830" s="3626">
        <v>5086</v>
      </c>
    </row>
    <row r="831" spans="1:6" ht="15.75">
      <c r="A831" s="3021">
        <v>38350</v>
      </c>
      <c r="B831" s="3021">
        <v>38400</v>
      </c>
      <c r="C831" s="3981">
        <v>5365</v>
      </c>
      <c r="D831" s="3626">
        <v>4829</v>
      </c>
      <c r="E831" s="3626">
        <v>5365</v>
      </c>
      <c r="F831" s="3626">
        <v>5094</v>
      </c>
    </row>
    <row r="832" spans="1:6" ht="15.75">
      <c r="A832" s="3021">
        <v>38400</v>
      </c>
      <c r="B832" s="3021">
        <v>38450</v>
      </c>
      <c r="C832" s="3981">
        <v>5378</v>
      </c>
      <c r="D832" s="3626">
        <v>4836</v>
      </c>
      <c r="E832" s="3626">
        <v>5378</v>
      </c>
      <c r="F832" s="3626">
        <v>5101</v>
      </c>
    </row>
    <row r="833" spans="1:6" ht="15.75">
      <c r="A833" s="3021">
        <v>38450</v>
      </c>
      <c r="B833" s="3021">
        <v>38500</v>
      </c>
      <c r="C833" s="3981">
        <v>5390</v>
      </c>
      <c r="D833" s="3626">
        <v>4844</v>
      </c>
      <c r="E833" s="3626">
        <v>5390</v>
      </c>
      <c r="F833" s="3626">
        <v>5109</v>
      </c>
    </row>
    <row r="834" spans="1:6" ht="15.75">
      <c r="A834" s="3021">
        <v>38500</v>
      </c>
      <c r="B834" s="3021">
        <v>38550</v>
      </c>
      <c r="C834" s="3981">
        <v>5403</v>
      </c>
      <c r="D834" s="3626">
        <v>4851</v>
      </c>
      <c r="E834" s="3626">
        <v>5403</v>
      </c>
      <c r="F834" s="3626">
        <v>5116</v>
      </c>
    </row>
    <row r="835" spans="1:6" ht="15.75">
      <c r="A835" s="3021">
        <v>38550</v>
      </c>
      <c r="B835" s="3021">
        <v>38600</v>
      </c>
      <c r="C835" s="3981">
        <v>5415</v>
      </c>
      <c r="D835" s="3626">
        <v>4859</v>
      </c>
      <c r="E835" s="3626">
        <v>5415</v>
      </c>
      <c r="F835" s="3626">
        <v>5124</v>
      </c>
    </row>
    <row r="836" spans="1:6" ht="15.75">
      <c r="A836" s="3021">
        <v>38600</v>
      </c>
      <c r="B836" s="3021">
        <v>38650</v>
      </c>
      <c r="C836" s="3981">
        <v>5428</v>
      </c>
      <c r="D836" s="3626">
        <v>4866</v>
      </c>
      <c r="E836" s="3626">
        <v>5428</v>
      </c>
      <c r="F836" s="3626">
        <v>5131</v>
      </c>
    </row>
    <row r="837" spans="1:6" ht="15.75">
      <c r="A837" s="3021">
        <v>38650</v>
      </c>
      <c r="B837" s="3021">
        <v>38700</v>
      </c>
      <c r="C837" s="3981">
        <v>5440</v>
      </c>
      <c r="D837" s="3626">
        <v>4874</v>
      </c>
      <c r="E837" s="3626">
        <v>5440</v>
      </c>
      <c r="F837" s="3626">
        <v>5139</v>
      </c>
    </row>
    <row r="838" spans="1:6" ht="15.75">
      <c r="A838" s="3021">
        <v>38700</v>
      </c>
      <c r="B838" s="3021">
        <v>38750</v>
      </c>
      <c r="C838" s="3981">
        <v>5453</v>
      </c>
      <c r="D838" s="3626">
        <v>4881</v>
      </c>
      <c r="E838" s="3626">
        <v>5453</v>
      </c>
      <c r="F838" s="3626">
        <v>5146</v>
      </c>
    </row>
    <row r="839" spans="1:6" ht="15.75">
      <c r="A839" s="3021">
        <v>38750</v>
      </c>
      <c r="B839" s="3021">
        <v>38800</v>
      </c>
      <c r="C839" s="3981">
        <v>5465</v>
      </c>
      <c r="D839" s="3626">
        <v>4889</v>
      </c>
      <c r="E839" s="3626">
        <v>5465</v>
      </c>
      <c r="F839" s="3626">
        <v>5154</v>
      </c>
    </row>
    <row r="840" spans="1:6" ht="15.75">
      <c r="A840" s="3021">
        <v>38800</v>
      </c>
      <c r="B840" s="3021">
        <v>38850</v>
      </c>
      <c r="C840" s="3981">
        <v>5478</v>
      </c>
      <c r="D840" s="3626">
        <v>4896</v>
      </c>
      <c r="E840" s="3626">
        <v>5478</v>
      </c>
      <c r="F840" s="3626">
        <v>5161</v>
      </c>
    </row>
    <row r="841" spans="1:6" ht="15.75">
      <c r="A841" s="3021">
        <v>38850</v>
      </c>
      <c r="B841" s="3021">
        <v>38900</v>
      </c>
      <c r="C841" s="3981">
        <v>5490</v>
      </c>
      <c r="D841" s="3626">
        <v>4904</v>
      </c>
      <c r="E841" s="3626">
        <v>5490</v>
      </c>
      <c r="F841" s="3626">
        <v>5169</v>
      </c>
    </row>
    <row r="842" spans="1:6" ht="15.75">
      <c r="A842" s="3021">
        <v>38900</v>
      </c>
      <c r="B842" s="3021">
        <v>38950</v>
      </c>
      <c r="C842" s="3981">
        <v>5503</v>
      </c>
      <c r="D842" s="3626">
        <v>4911</v>
      </c>
      <c r="E842" s="3626">
        <v>5503</v>
      </c>
      <c r="F842" s="3626">
        <v>5176</v>
      </c>
    </row>
    <row r="843" spans="1:6" ht="15.75">
      <c r="A843" s="3021">
        <v>38950</v>
      </c>
      <c r="B843" s="3021">
        <v>39000</v>
      </c>
      <c r="C843" s="3981">
        <v>5515</v>
      </c>
      <c r="D843" s="3626">
        <v>4919</v>
      </c>
      <c r="E843" s="3626">
        <v>5515</v>
      </c>
      <c r="F843" s="3626">
        <v>5184</v>
      </c>
    </row>
    <row r="844" spans="1:6" ht="15.75">
      <c r="A844" s="3021">
        <v>39000</v>
      </c>
      <c r="B844" s="3021">
        <v>39050</v>
      </c>
      <c r="C844" s="3981">
        <v>5528</v>
      </c>
      <c r="D844" s="3626">
        <v>4926</v>
      </c>
      <c r="E844" s="3626">
        <v>5528</v>
      </c>
      <c r="F844" s="3626">
        <v>5191</v>
      </c>
    </row>
    <row r="845" spans="1:6" ht="15.75">
      <c r="A845" s="3021">
        <v>39050</v>
      </c>
      <c r="B845" s="3021">
        <v>39100</v>
      </c>
      <c r="C845" s="3981">
        <v>5540</v>
      </c>
      <c r="D845" s="3626">
        <v>4934</v>
      </c>
      <c r="E845" s="3626">
        <v>5540</v>
      </c>
      <c r="F845" s="3626">
        <v>5199</v>
      </c>
    </row>
    <row r="846" spans="1:6" ht="15.75">
      <c r="A846" s="3021">
        <v>39100</v>
      </c>
      <c r="B846" s="3021">
        <v>39150</v>
      </c>
      <c r="C846" s="3981">
        <v>5553</v>
      </c>
      <c r="D846" s="3626">
        <v>4941</v>
      </c>
      <c r="E846" s="3626">
        <v>5553</v>
      </c>
      <c r="F846" s="3626">
        <v>5206</v>
      </c>
    </row>
    <row r="847" spans="1:6" ht="15.75">
      <c r="A847" s="3021">
        <v>39150</v>
      </c>
      <c r="B847" s="3021">
        <v>39200</v>
      </c>
      <c r="C847" s="3981">
        <v>5565</v>
      </c>
      <c r="D847" s="3626">
        <v>4949</v>
      </c>
      <c r="E847" s="3626">
        <v>5565</v>
      </c>
      <c r="F847" s="3626">
        <v>5214</v>
      </c>
    </row>
    <row r="848" spans="1:6" ht="15.75">
      <c r="A848" s="3021">
        <v>39200</v>
      </c>
      <c r="B848" s="3021">
        <v>39250</v>
      </c>
      <c r="C848" s="3981">
        <v>5578</v>
      </c>
      <c r="D848" s="3626">
        <v>4956</v>
      </c>
      <c r="E848" s="3626">
        <v>5578</v>
      </c>
      <c r="F848" s="3626">
        <v>5221</v>
      </c>
    </row>
    <row r="849" spans="1:6" ht="15.75">
      <c r="A849" s="3021">
        <v>39250</v>
      </c>
      <c r="B849" s="3021">
        <v>39300</v>
      </c>
      <c r="C849" s="3981">
        <v>5590</v>
      </c>
      <c r="D849" s="3626">
        <v>4964</v>
      </c>
      <c r="E849" s="3626">
        <v>5590</v>
      </c>
      <c r="F849" s="3626">
        <v>5229</v>
      </c>
    </row>
    <row r="850" spans="1:6" ht="15.75">
      <c r="A850" s="3021">
        <v>39300</v>
      </c>
      <c r="B850" s="3021">
        <v>39350</v>
      </c>
      <c r="C850" s="3981">
        <v>5603</v>
      </c>
      <c r="D850" s="3626">
        <v>4971</v>
      </c>
      <c r="E850" s="3626">
        <v>5603</v>
      </c>
      <c r="F850" s="3626">
        <v>5236</v>
      </c>
    </row>
    <row r="851" spans="1:6" ht="15.75">
      <c r="A851" s="3021">
        <v>39350</v>
      </c>
      <c r="B851" s="3021">
        <v>39400</v>
      </c>
      <c r="C851" s="3981">
        <v>5615</v>
      </c>
      <c r="D851" s="3626">
        <v>4979</v>
      </c>
      <c r="E851" s="3626">
        <v>5615</v>
      </c>
      <c r="F851" s="3626">
        <v>5244</v>
      </c>
    </row>
    <row r="852" spans="1:6" ht="15.75">
      <c r="A852" s="3021">
        <v>39400</v>
      </c>
      <c r="B852" s="3021">
        <v>39450</v>
      </c>
      <c r="C852" s="3981">
        <v>5628</v>
      </c>
      <c r="D852" s="3626">
        <v>4986</v>
      </c>
      <c r="E852" s="3626">
        <v>5628</v>
      </c>
      <c r="F852" s="3626">
        <v>5251</v>
      </c>
    </row>
    <row r="853" spans="1:6" ht="15.75">
      <c r="A853" s="3021">
        <v>39450</v>
      </c>
      <c r="B853" s="3021">
        <v>39500</v>
      </c>
      <c r="C853" s="3981">
        <v>5640</v>
      </c>
      <c r="D853" s="3626">
        <v>4994</v>
      </c>
      <c r="E853" s="3626">
        <v>5640</v>
      </c>
      <c r="F853" s="3626">
        <v>5259</v>
      </c>
    </row>
    <row r="854" spans="1:6" ht="15.75">
      <c r="A854" s="3021">
        <v>39500</v>
      </c>
      <c r="B854" s="3021">
        <v>39550</v>
      </c>
      <c r="C854" s="3981">
        <v>5653</v>
      </c>
      <c r="D854" s="3626">
        <v>5001</v>
      </c>
      <c r="E854" s="3626">
        <v>5653</v>
      </c>
      <c r="F854" s="3626">
        <v>5266</v>
      </c>
    </row>
    <row r="855" spans="1:6" ht="15.75">
      <c r="A855" s="3021">
        <v>39550</v>
      </c>
      <c r="B855" s="3021">
        <v>39600</v>
      </c>
      <c r="C855" s="3981">
        <v>5665</v>
      </c>
      <c r="D855" s="3626">
        <v>5009</v>
      </c>
      <c r="E855" s="3626">
        <v>5665</v>
      </c>
      <c r="F855" s="3626">
        <v>5274</v>
      </c>
    </row>
    <row r="856" spans="1:6" ht="15.75">
      <c r="A856" s="3021">
        <v>39600</v>
      </c>
      <c r="B856" s="3021">
        <v>39650</v>
      </c>
      <c r="C856" s="3981">
        <v>5678</v>
      </c>
      <c r="D856" s="3626">
        <v>5016</v>
      </c>
      <c r="E856" s="3626">
        <v>5678</v>
      </c>
      <c r="F856" s="3626">
        <v>5281</v>
      </c>
    </row>
    <row r="857" spans="1:6" ht="15.75">
      <c r="A857" s="3021">
        <v>39650</v>
      </c>
      <c r="B857" s="3021">
        <v>39700</v>
      </c>
      <c r="C857" s="3981">
        <v>5690</v>
      </c>
      <c r="D857" s="3626">
        <v>5024</v>
      </c>
      <c r="E857" s="3626">
        <v>5690</v>
      </c>
      <c r="F857" s="3626">
        <v>5289</v>
      </c>
    </row>
    <row r="858" spans="1:6" ht="15.75">
      <c r="A858" s="3021">
        <v>39700</v>
      </c>
      <c r="B858" s="3021">
        <v>39750</v>
      </c>
      <c r="C858" s="3981">
        <v>5703</v>
      </c>
      <c r="D858" s="3626">
        <v>5031</v>
      </c>
      <c r="E858" s="3626">
        <v>5703</v>
      </c>
      <c r="F858" s="3626">
        <v>5296</v>
      </c>
    </row>
    <row r="859" spans="1:6" ht="15.75">
      <c r="A859" s="3021">
        <v>39750</v>
      </c>
      <c r="B859" s="3021">
        <v>39800</v>
      </c>
      <c r="C859" s="3981">
        <v>5715</v>
      </c>
      <c r="D859" s="3626">
        <v>5039</v>
      </c>
      <c r="E859" s="3626">
        <v>5715</v>
      </c>
      <c r="F859" s="3626">
        <v>5304</v>
      </c>
    </row>
    <row r="860" spans="1:6" ht="15.75">
      <c r="A860" s="3021">
        <v>39800</v>
      </c>
      <c r="B860" s="3021">
        <v>39850</v>
      </c>
      <c r="C860" s="3981">
        <v>5728</v>
      </c>
      <c r="D860" s="3626">
        <v>5046</v>
      </c>
      <c r="E860" s="3626">
        <v>5728</v>
      </c>
      <c r="F860" s="3626">
        <v>5311</v>
      </c>
    </row>
    <row r="861" spans="1:6" ht="15.75">
      <c r="A861" s="3021">
        <v>39850</v>
      </c>
      <c r="B861" s="3021">
        <v>39900</v>
      </c>
      <c r="C861" s="3981">
        <v>5740</v>
      </c>
      <c r="D861" s="3626">
        <v>5054</v>
      </c>
      <c r="E861" s="3626">
        <v>5740</v>
      </c>
      <c r="F861" s="3626">
        <v>5319</v>
      </c>
    </row>
    <row r="862" spans="1:6" ht="15.75">
      <c r="A862" s="3021">
        <v>39900</v>
      </c>
      <c r="B862" s="3021">
        <v>39950</v>
      </c>
      <c r="C862" s="3981">
        <v>5753</v>
      </c>
      <c r="D862" s="3626">
        <v>5061</v>
      </c>
      <c r="E862" s="3626">
        <v>5753</v>
      </c>
      <c r="F862" s="3626">
        <v>5326</v>
      </c>
    </row>
    <row r="863" spans="1:6" ht="15.75">
      <c r="A863" s="3021">
        <v>39950</v>
      </c>
      <c r="B863" s="3021">
        <v>40000</v>
      </c>
      <c r="C863" s="3981">
        <v>5765</v>
      </c>
      <c r="D863" s="3626">
        <v>5069</v>
      </c>
      <c r="E863" s="3626">
        <v>5765</v>
      </c>
      <c r="F863" s="3626">
        <v>5334</v>
      </c>
    </row>
    <row r="864" spans="1:6" ht="15.75">
      <c r="A864" s="3021">
        <v>40000</v>
      </c>
      <c r="B864" s="3021">
        <v>40050</v>
      </c>
      <c r="C864" s="3981">
        <v>5778</v>
      </c>
      <c r="D864" s="3626">
        <v>5076</v>
      </c>
      <c r="E864" s="3626">
        <v>5778</v>
      </c>
      <c r="F864" s="3626">
        <v>5341</v>
      </c>
    </row>
    <row r="865" spans="1:6" ht="15.75">
      <c r="A865" s="3021">
        <v>40050</v>
      </c>
      <c r="B865" s="3021">
        <v>40100</v>
      </c>
      <c r="C865" s="3981">
        <v>5790</v>
      </c>
      <c r="D865" s="3626">
        <v>5084</v>
      </c>
      <c r="E865" s="3626">
        <v>5790</v>
      </c>
      <c r="F865" s="3626">
        <v>5349</v>
      </c>
    </row>
    <row r="866" spans="1:6" ht="15.75">
      <c r="A866" s="3021">
        <v>40100</v>
      </c>
      <c r="B866" s="3021">
        <v>40150</v>
      </c>
      <c r="C866" s="3981">
        <v>5803</v>
      </c>
      <c r="D866" s="3626">
        <v>5091</v>
      </c>
      <c r="E866" s="3626">
        <v>5803</v>
      </c>
      <c r="F866" s="3626">
        <v>5356</v>
      </c>
    </row>
    <row r="867" spans="1:6" ht="15.75">
      <c r="A867" s="3021">
        <v>40150</v>
      </c>
      <c r="B867" s="3021">
        <v>40200</v>
      </c>
      <c r="C867" s="3981">
        <v>5815</v>
      </c>
      <c r="D867" s="3626">
        <v>5099</v>
      </c>
      <c r="E867" s="3626">
        <v>5815</v>
      </c>
      <c r="F867" s="3626">
        <v>5364</v>
      </c>
    </row>
    <row r="868" spans="1:6" ht="15.75">
      <c r="A868" s="3021">
        <v>40200</v>
      </c>
      <c r="B868" s="3021">
        <v>40250</v>
      </c>
      <c r="C868" s="3981">
        <v>5828</v>
      </c>
      <c r="D868" s="3626">
        <v>5106</v>
      </c>
      <c r="E868" s="3626">
        <v>5828</v>
      </c>
      <c r="F868" s="3626">
        <v>5371</v>
      </c>
    </row>
    <row r="869" spans="1:6" ht="15.75">
      <c r="A869" s="3021">
        <v>40250</v>
      </c>
      <c r="B869" s="3021">
        <v>40300</v>
      </c>
      <c r="C869" s="3981">
        <v>5840</v>
      </c>
      <c r="D869" s="3626">
        <v>5114</v>
      </c>
      <c r="E869" s="3626">
        <v>5840</v>
      </c>
      <c r="F869" s="3626">
        <v>5379</v>
      </c>
    </row>
    <row r="870" spans="1:6" ht="15.75">
      <c r="A870" s="3021">
        <v>40300</v>
      </c>
      <c r="B870" s="3021">
        <v>40350</v>
      </c>
      <c r="C870" s="3981">
        <v>5853</v>
      </c>
      <c r="D870" s="3626">
        <v>5121</v>
      </c>
      <c r="E870" s="3626">
        <v>5853</v>
      </c>
      <c r="F870" s="3626">
        <v>5386</v>
      </c>
    </row>
    <row r="871" spans="1:6" ht="15.75">
      <c r="A871" s="3021">
        <v>40350</v>
      </c>
      <c r="B871" s="3021">
        <v>40400</v>
      </c>
      <c r="C871" s="3981">
        <v>5865</v>
      </c>
      <c r="D871" s="3626">
        <v>5129</v>
      </c>
      <c r="E871" s="3626">
        <v>5865</v>
      </c>
      <c r="F871" s="3626">
        <v>5394</v>
      </c>
    </row>
    <row r="872" spans="1:6" ht="15.75">
      <c r="A872" s="3021">
        <v>40400</v>
      </c>
      <c r="B872" s="3021">
        <v>40450</v>
      </c>
      <c r="C872" s="3981">
        <v>5878</v>
      </c>
      <c r="D872" s="3626">
        <v>5136</v>
      </c>
      <c r="E872" s="3626">
        <v>5878</v>
      </c>
      <c r="F872" s="3626">
        <v>5401</v>
      </c>
    </row>
    <row r="873" spans="1:6" ht="15.75">
      <c r="A873" s="3021">
        <v>40450</v>
      </c>
      <c r="B873" s="3021">
        <v>40500</v>
      </c>
      <c r="C873" s="3981">
        <v>5890</v>
      </c>
      <c r="D873" s="3626">
        <v>5144</v>
      </c>
      <c r="E873" s="3626">
        <v>5890</v>
      </c>
      <c r="F873" s="3626">
        <v>5409</v>
      </c>
    </row>
    <row r="874" spans="1:6" ht="15.75">
      <c r="A874" s="3021">
        <v>40500</v>
      </c>
      <c r="B874" s="3021">
        <v>40550</v>
      </c>
      <c r="C874" s="3981">
        <v>5903</v>
      </c>
      <c r="D874" s="3626">
        <v>5151</v>
      </c>
      <c r="E874" s="3626">
        <v>5903</v>
      </c>
      <c r="F874" s="3626">
        <v>5416</v>
      </c>
    </row>
    <row r="875" spans="1:6" ht="15.75">
      <c r="A875" s="3021">
        <v>40550</v>
      </c>
      <c r="B875" s="3021">
        <v>40600</v>
      </c>
      <c r="C875" s="3981">
        <v>5915</v>
      </c>
      <c r="D875" s="3626">
        <v>5159</v>
      </c>
      <c r="E875" s="3626">
        <v>5915</v>
      </c>
      <c r="F875" s="3626">
        <v>5424</v>
      </c>
    </row>
    <row r="876" spans="1:6" ht="15.75">
      <c r="A876" s="3021">
        <v>40600</v>
      </c>
      <c r="B876" s="3021">
        <v>40650</v>
      </c>
      <c r="C876" s="3981">
        <v>5928</v>
      </c>
      <c r="D876" s="3626">
        <v>5166</v>
      </c>
      <c r="E876" s="3626">
        <v>5928</v>
      </c>
      <c r="F876" s="3626">
        <v>5431</v>
      </c>
    </row>
    <row r="877" spans="1:6" ht="15.75">
      <c r="A877" s="3021">
        <v>40650</v>
      </c>
      <c r="B877" s="3021">
        <v>40700</v>
      </c>
      <c r="C877" s="3981">
        <v>5940</v>
      </c>
      <c r="D877" s="3626">
        <v>5174</v>
      </c>
      <c r="E877" s="3626">
        <v>5940</v>
      </c>
      <c r="F877" s="3626">
        <v>5439</v>
      </c>
    </row>
    <row r="878" spans="1:6" ht="15.75">
      <c r="A878" s="3021">
        <v>40700</v>
      </c>
      <c r="B878" s="3021">
        <v>40750</v>
      </c>
      <c r="C878" s="3981">
        <v>5953</v>
      </c>
      <c r="D878" s="3626">
        <v>5181</v>
      </c>
      <c r="E878" s="3626">
        <v>5953</v>
      </c>
      <c r="F878" s="3626">
        <v>5446</v>
      </c>
    </row>
    <row r="879" spans="1:6" ht="15.75">
      <c r="A879" s="3021">
        <v>40750</v>
      </c>
      <c r="B879" s="3021">
        <v>40800</v>
      </c>
      <c r="C879" s="3981">
        <v>5965</v>
      </c>
      <c r="D879" s="3626">
        <v>5189</v>
      </c>
      <c r="E879" s="3626">
        <v>5965</v>
      </c>
      <c r="F879" s="3626">
        <v>5454</v>
      </c>
    </row>
    <row r="880" spans="1:6" ht="15.75">
      <c r="A880" s="3021">
        <v>40800</v>
      </c>
      <c r="B880" s="3021">
        <v>40850</v>
      </c>
      <c r="C880" s="3981">
        <v>5978</v>
      </c>
      <c r="D880" s="3626">
        <v>5196</v>
      </c>
      <c r="E880" s="3626">
        <v>5978</v>
      </c>
      <c r="F880" s="3626">
        <v>5461</v>
      </c>
    </row>
    <row r="881" spans="1:6" ht="15.75">
      <c r="A881" s="3021">
        <v>40850</v>
      </c>
      <c r="B881" s="3021">
        <v>40900</v>
      </c>
      <c r="C881" s="3981">
        <v>5990</v>
      </c>
      <c r="D881" s="3626">
        <v>5204</v>
      </c>
      <c r="E881" s="3626">
        <v>5990</v>
      </c>
      <c r="F881" s="3626">
        <v>5469</v>
      </c>
    </row>
    <row r="882" spans="1:6" ht="15.75">
      <c r="A882" s="3021">
        <v>40900</v>
      </c>
      <c r="B882" s="3021">
        <v>40950</v>
      </c>
      <c r="C882" s="3981">
        <v>6003</v>
      </c>
      <c r="D882" s="3626">
        <v>5211</v>
      </c>
      <c r="E882" s="3626">
        <v>6003</v>
      </c>
      <c r="F882" s="3626">
        <v>5476</v>
      </c>
    </row>
    <row r="883" spans="1:6" ht="15.75">
      <c r="A883" s="3021">
        <v>40950</v>
      </c>
      <c r="B883" s="3021">
        <v>41000</v>
      </c>
      <c r="C883" s="3981">
        <v>6015</v>
      </c>
      <c r="D883" s="3626">
        <v>5219</v>
      </c>
      <c r="E883" s="3626">
        <v>6015</v>
      </c>
      <c r="F883" s="3626">
        <v>5484</v>
      </c>
    </row>
    <row r="884" spans="1:6" ht="15.75">
      <c r="A884" s="3021">
        <v>41000</v>
      </c>
      <c r="B884" s="3021">
        <v>41050</v>
      </c>
      <c r="C884" s="3981">
        <v>6028</v>
      </c>
      <c r="D884" s="3626">
        <v>5226</v>
      </c>
      <c r="E884" s="3626">
        <v>6028</v>
      </c>
      <c r="F884" s="3626">
        <v>5491</v>
      </c>
    </row>
    <row r="885" spans="1:6" ht="15.75">
      <c r="A885" s="3021">
        <v>41050</v>
      </c>
      <c r="B885" s="3021">
        <v>41100</v>
      </c>
      <c r="C885" s="3981">
        <v>6040</v>
      </c>
      <c r="D885" s="3626">
        <v>5234</v>
      </c>
      <c r="E885" s="3626">
        <v>6040</v>
      </c>
      <c r="F885" s="3626">
        <v>5499</v>
      </c>
    </row>
    <row r="886" spans="1:6" ht="15.75">
      <c r="A886" s="3021">
        <v>41100</v>
      </c>
      <c r="B886" s="3021">
        <v>41150</v>
      </c>
      <c r="C886" s="3981">
        <v>6053</v>
      </c>
      <c r="D886" s="3626">
        <v>5241</v>
      </c>
      <c r="E886" s="3626">
        <v>6053</v>
      </c>
      <c r="F886" s="3626">
        <v>5506</v>
      </c>
    </row>
    <row r="887" spans="1:6" ht="15.75">
      <c r="A887" s="3021">
        <v>41150</v>
      </c>
      <c r="B887" s="3021">
        <v>41200</v>
      </c>
      <c r="C887" s="3981">
        <v>6065</v>
      </c>
      <c r="D887" s="3626">
        <v>5249</v>
      </c>
      <c r="E887" s="3626">
        <v>6065</v>
      </c>
      <c r="F887" s="3626">
        <v>5514</v>
      </c>
    </row>
    <row r="888" spans="1:6" ht="15.75">
      <c r="A888" s="3021">
        <v>41200</v>
      </c>
      <c r="B888" s="3021">
        <v>41250</v>
      </c>
      <c r="C888" s="3981">
        <v>6078</v>
      </c>
      <c r="D888" s="3626">
        <v>5256</v>
      </c>
      <c r="E888" s="3626">
        <v>6078</v>
      </c>
      <c r="F888" s="3626">
        <v>5521</v>
      </c>
    </row>
    <row r="889" spans="1:6" ht="15.75">
      <c r="A889" s="3021">
        <v>41250</v>
      </c>
      <c r="B889" s="3021">
        <v>41300</v>
      </c>
      <c r="C889" s="3981">
        <v>6090</v>
      </c>
      <c r="D889" s="3626">
        <v>5264</v>
      </c>
      <c r="E889" s="3626">
        <v>6090</v>
      </c>
      <c r="F889" s="3626">
        <v>5529</v>
      </c>
    </row>
    <row r="890" spans="1:6" ht="15.75">
      <c r="A890" s="3021">
        <v>41300</v>
      </c>
      <c r="B890" s="3021">
        <v>41350</v>
      </c>
      <c r="C890" s="3981">
        <v>6103</v>
      </c>
      <c r="D890" s="3626">
        <v>5271</v>
      </c>
      <c r="E890" s="3626">
        <v>6103</v>
      </c>
      <c r="F890" s="3626">
        <v>5536</v>
      </c>
    </row>
    <row r="891" spans="1:6" ht="15.75">
      <c r="A891" s="3021">
        <v>41350</v>
      </c>
      <c r="B891" s="3021">
        <v>41400</v>
      </c>
      <c r="C891" s="3981">
        <v>6115</v>
      </c>
      <c r="D891" s="3626">
        <v>5279</v>
      </c>
      <c r="E891" s="3626">
        <v>6115</v>
      </c>
      <c r="F891" s="3626">
        <v>5544</v>
      </c>
    </row>
    <row r="892" spans="1:6" ht="15.75">
      <c r="A892" s="3021">
        <v>41400</v>
      </c>
      <c r="B892" s="3021">
        <v>41450</v>
      </c>
      <c r="C892" s="3981">
        <v>6128</v>
      </c>
      <c r="D892" s="3626">
        <v>5286</v>
      </c>
      <c r="E892" s="3626">
        <v>6128</v>
      </c>
      <c r="F892" s="3626">
        <v>5551</v>
      </c>
    </row>
    <row r="893" spans="1:6" ht="15.75">
      <c r="A893" s="3021">
        <v>41450</v>
      </c>
      <c r="B893" s="3021">
        <v>41500</v>
      </c>
      <c r="C893" s="3981">
        <v>6140</v>
      </c>
      <c r="D893" s="3626">
        <v>5294</v>
      </c>
      <c r="E893" s="3626">
        <v>6140</v>
      </c>
      <c r="F893" s="3626">
        <v>5559</v>
      </c>
    </row>
    <row r="894" spans="1:6" ht="15.75">
      <c r="A894" s="3021">
        <v>41500</v>
      </c>
      <c r="B894" s="3021">
        <v>41550</v>
      </c>
      <c r="C894" s="3981">
        <v>6153</v>
      </c>
      <c r="D894" s="3626">
        <v>5301</v>
      </c>
      <c r="E894" s="3626">
        <v>6153</v>
      </c>
      <c r="F894" s="3626">
        <v>5566</v>
      </c>
    </row>
    <row r="895" spans="1:6" ht="15.75">
      <c r="A895" s="3021">
        <v>41550</v>
      </c>
      <c r="B895" s="3021">
        <v>41600</v>
      </c>
      <c r="C895" s="3981">
        <v>6165</v>
      </c>
      <c r="D895" s="3626">
        <v>5309</v>
      </c>
      <c r="E895" s="3626">
        <v>6165</v>
      </c>
      <c r="F895" s="3626">
        <v>5574</v>
      </c>
    </row>
    <row r="896" spans="1:6" ht="15.75">
      <c r="A896" s="3021">
        <v>41600</v>
      </c>
      <c r="B896" s="3021">
        <v>41650</v>
      </c>
      <c r="C896" s="3981">
        <v>6178</v>
      </c>
      <c r="D896" s="3626">
        <v>5316</v>
      </c>
      <c r="E896" s="3626">
        <v>6178</v>
      </c>
      <c r="F896" s="3626">
        <v>5581</v>
      </c>
    </row>
    <row r="897" spans="1:6" ht="15.75">
      <c r="A897" s="3021">
        <v>41650</v>
      </c>
      <c r="B897" s="3021">
        <v>41700</v>
      </c>
      <c r="C897" s="3981">
        <v>6190</v>
      </c>
      <c r="D897" s="3626">
        <v>5324</v>
      </c>
      <c r="E897" s="3626">
        <v>6190</v>
      </c>
      <c r="F897" s="3626">
        <v>5589</v>
      </c>
    </row>
    <row r="898" spans="1:6" ht="15.75">
      <c r="A898" s="3021">
        <v>41700</v>
      </c>
      <c r="B898" s="3021">
        <v>41750</v>
      </c>
      <c r="C898" s="3981">
        <v>6203</v>
      </c>
      <c r="D898" s="3626">
        <v>5331</v>
      </c>
      <c r="E898" s="3626">
        <v>6203</v>
      </c>
      <c r="F898" s="3626">
        <v>5596</v>
      </c>
    </row>
    <row r="899" spans="1:6" ht="15.75">
      <c r="A899" s="3021">
        <v>41750</v>
      </c>
      <c r="B899" s="3021">
        <v>41800</v>
      </c>
      <c r="C899" s="3981">
        <v>6215</v>
      </c>
      <c r="D899" s="3626">
        <v>5339</v>
      </c>
      <c r="E899" s="3626">
        <v>6215</v>
      </c>
      <c r="F899" s="3626">
        <v>5604</v>
      </c>
    </row>
    <row r="900" spans="1:6" ht="15.75">
      <c r="A900" s="3021">
        <v>41800</v>
      </c>
      <c r="B900" s="3021">
        <v>41850</v>
      </c>
      <c r="C900" s="3981">
        <v>6228</v>
      </c>
      <c r="D900" s="3626">
        <v>5346</v>
      </c>
      <c r="E900" s="3626">
        <v>6228</v>
      </c>
      <c r="F900" s="3626">
        <v>5611</v>
      </c>
    </row>
    <row r="901" spans="1:6" ht="15.75">
      <c r="A901" s="3021">
        <v>41850</v>
      </c>
      <c r="B901" s="3021">
        <v>41900</v>
      </c>
      <c r="C901" s="3981">
        <v>6240</v>
      </c>
      <c r="D901" s="3626">
        <v>5354</v>
      </c>
      <c r="E901" s="3626">
        <v>6240</v>
      </c>
      <c r="F901" s="3626">
        <v>5619</v>
      </c>
    </row>
    <row r="902" spans="1:6" ht="15.75">
      <c r="A902" s="3021">
        <v>41900</v>
      </c>
      <c r="B902" s="3021">
        <v>41950</v>
      </c>
      <c r="C902" s="3981">
        <v>6253</v>
      </c>
      <c r="D902" s="3626">
        <v>5361</v>
      </c>
      <c r="E902" s="3626">
        <v>6253</v>
      </c>
      <c r="F902" s="3626">
        <v>5626</v>
      </c>
    </row>
    <row r="903" spans="1:6" ht="15.75">
      <c r="A903" s="3021">
        <v>41950</v>
      </c>
      <c r="B903" s="3021">
        <v>42000</v>
      </c>
      <c r="C903" s="3981">
        <v>6265</v>
      </c>
      <c r="D903" s="3626">
        <v>5369</v>
      </c>
      <c r="E903" s="3626">
        <v>6265</v>
      </c>
      <c r="F903" s="3626">
        <v>5634</v>
      </c>
    </row>
    <row r="904" spans="1:6" ht="15.75">
      <c r="A904" s="3021">
        <v>42000</v>
      </c>
      <c r="B904" s="3021">
        <v>42050</v>
      </c>
      <c r="C904" s="3981">
        <v>6278</v>
      </c>
      <c r="D904" s="3626">
        <v>5376</v>
      </c>
      <c r="E904" s="3626">
        <v>6278</v>
      </c>
      <c r="F904" s="3626">
        <v>5641</v>
      </c>
    </row>
    <row r="905" spans="1:6" ht="15.75">
      <c r="A905" s="3021">
        <v>42050</v>
      </c>
      <c r="B905" s="3021">
        <v>42100</v>
      </c>
      <c r="C905" s="3981">
        <v>6290</v>
      </c>
      <c r="D905" s="3626">
        <v>5384</v>
      </c>
      <c r="E905" s="3626">
        <v>6290</v>
      </c>
      <c r="F905" s="3626">
        <v>5649</v>
      </c>
    </row>
    <row r="906" spans="1:6" ht="15.75">
      <c r="A906" s="3021">
        <v>42100</v>
      </c>
      <c r="B906" s="3021">
        <v>42150</v>
      </c>
      <c r="C906" s="3981">
        <v>6303</v>
      </c>
      <c r="D906" s="3626">
        <v>5391</v>
      </c>
      <c r="E906" s="3626">
        <v>6303</v>
      </c>
      <c r="F906" s="3626">
        <v>5656</v>
      </c>
    </row>
    <row r="907" spans="1:6" ht="15.75">
      <c r="A907" s="3021">
        <v>42150</v>
      </c>
      <c r="B907" s="3021">
        <v>42200</v>
      </c>
      <c r="C907" s="3981">
        <v>6315</v>
      </c>
      <c r="D907" s="3626">
        <v>5399</v>
      </c>
      <c r="E907" s="3626">
        <v>6315</v>
      </c>
      <c r="F907" s="3626">
        <v>5664</v>
      </c>
    </row>
    <row r="908" spans="1:6" ht="15.75">
      <c r="A908" s="3021">
        <v>42200</v>
      </c>
      <c r="B908" s="3021">
        <v>42250</v>
      </c>
      <c r="C908" s="3981">
        <v>6328</v>
      </c>
      <c r="D908" s="3626">
        <v>5406</v>
      </c>
      <c r="E908" s="3626">
        <v>6328</v>
      </c>
      <c r="F908" s="3626">
        <v>5671</v>
      </c>
    </row>
    <row r="909" spans="1:6" ht="15.75">
      <c r="A909" s="3021">
        <v>42250</v>
      </c>
      <c r="B909" s="3021">
        <v>42300</v>
      </c>
      <c r="C909" s="3981">
        <v>6340</v>
      </c>
      <c r="D909" s="3626">
        <v>5414</v>
      </c>
      <c r="E909" s="3626">
        <v>6340</v>
      </c>
      <c r="F909" s="3626">
        <v>5679</v>
      </c>
    </row>
    <row r="910" spans="1:6" ht="15.75">
      <c r="A910" s="3021">
        <v>42300</v>
      </c>
      <c r="B910" s="3021">
        <v>42350</v>
      </c>
      <c r="C910" s="3981">
        <v>6353</v>
      </c>
      <c r="D910" s="3626">
        <v>5421</v>
      </c>
      <c r="E910" s="3626">
        <v>6353</v>
      </c>
      <c r="F910" s="3626">
        <v>5686</v>
      </c>
    </row>
    <row r="911" spans="1:6" ht="15.75">
      <c r="A911" s="3021">
        <v>42350</v>
      </c>
      <c r="B911" s="3021">
        <v>42400</v>
      </c>
      <c r="C911" s="3981">
        <v>6365</v>
      </c>
      <c r="D911" s="3626">
        <v>5429</v>
      </c>
      <c r="E911" s="3626">
        <v>6365</v>
      </c>
      <c r="F911" s="3626">
        <v>5694</v>
      </c>
    </row>
    <row r="912" spans="1:6" ht="15.75">
      <c r="A912" s="3021">
        <v>42400</v>
      </c>
      <c r="B912" s="3021">
        <v>42450</v>
      </c>
      <c r="C912" s="3981">
        <v>6378</v>
      </c>
      <c r="D912" s="3626">
        <v>5436</v>
      </c>
      <c r="E912" s="3626">
        <v>6378</v>
      </c>
      <c r="F912" s="3626">
        <v>5701</v>
      </c>
    </row>
    <row r="913" spans="1:6" ht="15.75">
      <c r="A913" s="3021">
        <v>42450</v>
      </c>
      <c r="B913" s="3021">
        <v>42500</v>
      </c>
      <c r="C913" s="3981">
        <v>6390</v>
      </c>
      <c r="D913" s="3626">
        <v>5444</v>
      </c>
      <c r="E913" s="3626">
        <v>6390</v>
      </c>
      <c r="F913" s="3626">
        <v>5709</v>
      </c>
    </row>
    <row r="914" spans="1:6" ht="15.75">
      <c r="A914" s="3021">
        <v>42500</v>
      </c>
      <c r="B914" s="3021">
        <v>42550</v>
      </c>
      <c r="C914" s="3981">
        <v>6403</v>
      </c>
      <c r="D914" s="3626">
        <v>5451</v>
      </c>
      <c r="E914" s="3626">
        <v>6403</v>
      </c>
      <c r="F914" s="3626">
        <v>5716</v>
      </c>
    </row>
    <row r="915" spans="1:6" ht="15.75">
      <c r="A915" s="3021">
        <v>42550</v>
      </c>
      <c r="B915" s="3021">
        <v>42600</v>
      </c>
      <c r="C915" s="3981">
        <v>6415</v>
      </c>
      <c r="D915" s="3626">
        <v>5459</v>
      </c>
      <c r="E915" s="3626">
        <v>6415</v>
      </c>
      <c r="F915" s="3626">
        <v>5724</v>
      </c>
    </row>
    <row r="916" spans="1:6" ht="15.75">
      <c r="A916" s="3021">
        <v>42600</v>
      </c>
      <c r="B916" s="3021">
        <v>42650</v>
      </c>
      <c r="C916" s="3981">
        <v>6428</v>
      </c>
      <c r="D916" s="3626">
        <v>5466</v>
      </c>
      <c r="E916" s="3626">
        <v>6428</v>
      </c>
      <c r="F916" s="3626">
        <v>5731</v>
      </c>
    </row>
    <row r="917" spans="1:6" ht="15.75">
      <c r="A917" s="3021">
        <v>42650</v>
      </c>
      <c r="B917" s="3021">
        <v>42700</v>
      </c>
      <c r="C917" s="3981">
        <v>6440</v>
      </c>
      <c r="D917" s="3626">
        <v>5474</v>
      </c>
      <c r="E917" s="3626">
        <v>6440</v>
      </c>
      <c r="F917" s="3626">
        <v>5739</v>
      </c>
    </row>
    <row r="918" spans="1:6" ht="15.75">
      <c r="A918" s="3021">
        <v>42700</v>
      </c>
      <c r="B918" s="3021">
        <v>42750</v>
      </c>
      <c r="C918" s="3981">
        <v>6453</v>
      </c>
      <c r="D918" s="3626">
        <v>5481</v>
      </c>
      <c r="E918" s="3626">
        <v>6453</v>
      </c>
      <c r="F918" s="3626">
        <v>5746</v>
      </c>
    </row>
    <row r="919" spans="1:6" ht="15.75">
      <c r="A919" s="3021">
        <v>42750</v>
      </c>
      <c r="B919" s="3021">
        <v>42800</v>
      </c>
      <c r="C919" s="3981">
        <v>6465</v>
      </c>
      <c r="D919" s="3626">
        <v>5489</v>
      </c>
      <c r="E919" s="3626">
        <v>6465</v>
      </c>
      <c r="F919" s="3626">
        <v>5754</v>
      </c>
    </row>
    <row r="920" spans="1:6" ht="15.75">
      <c r="A920" s="3021">
        <v>42800</v>
      </c>
      <c r="B920" s="3021">
        <v>42850</v>
      </c>
      <c r="C920" s="3981">
        <v>6478</v>
      </c>
      <c r="D920" s="3626">
        <v>5496</v>
      </c>
      <c r="E920" s="3626">
        <v>6478</v>
      </c>
      <c r="F920" s="3626">
        <v>5761</v>
      </c>
    </row>
    <row r="921" spans="1:6" ht="15.75">
      <c r="A921" s="3021">
        <v>42850</v>
      </c>
      <c r="B921" s="3021">
        <v>42900</v>
      </c>
      <c r="C921" s="3981">
        <v>6490</v>
      </c>
      <c r="D921" s="3626">
        <v>5504</v>
      </c>
      <c r="E921" s="3626">
        <v>6490</v>
      </c>
      <c r="F921" s="3626">
        <v>5769</v>
      </c>
    </row>
    <row r="922" spans="1:6" ht="15.75">
      <c r="A922" s="3021">
        <v>42900</v>
      </c>
      <c r="B922" s="3021">
        <v>42950</v>
      </c>
      <c r="C922" s="3981">
        <v>6503</v>
      </c>
      <c r="D922" s="3626">
        <v>5511</v>
      </c>
      <c r="E922" s="3626">
        <v>6503</v>
      </c>
      <c r="F922" s="3626">
        <v>5776</v>
      </c>
    </row>
    <row r="923" spans="1:6" ht="15.75">
      <c r="A923" s="3021">
        <v>42950</v>
      </c>
      <c r="B923" s="3021">
        <v>43000</v>
      </c>
      <c r="C923" s="3981">
        <v>6515</v>
      </c>
      <c r="D923" s="3626">
        <v>5519</v>
      </c>
      <c r="E923" s="3626">
        <v>6515</v>
      </c>
      <c r="F923" s="3626">
        <v>5784</v>
      </c>
    </row>
    <row r="924" spans="1:6" ht="15.75">
      <c r="A924" s="3021">
        <v>43000</v>
      </c>
      <c r="B924" s="3021">
        <v>43050</v>
      </c>
      <c r="C924" s="3981">
        <v>6528</v>
      </c>
      <c r="D924" s="3626">
        <v>5526</v>
      </c>
      <c r="E924" s="3626">
        <v>6528</v>
      </c>
      <c r="F924" s="3626">
        <v>5791</v>
      </c>
    </row>
    <row r="925" spans="1:6" ht="15.75">
      <c r="A925" s="3021">
        <v>43050</v>
      </c>
      <c r="B925" s="3021">
        <v>43100</v>
      </c>
      <c r="C925" s="3981">
        <v>6540</v>
      </c>
      <c r="D925" s="3626">
        <v>5534</v>
      </c>
      <c r="E925" s="3626">
        <v>6540</v>
      </c>
      <c r="F925" s="3626">
        <v>5799</v>
      </c>
    </row>
    <row r="926" spans="1:6" ht="15.75">
      <c r="A926" s="3021">
        <v>43100</v>
      </c>
      <c r="B926" s="3021">
        <v>43150</v>
      </c>
      <c r="C926" s="3981">
        <v>6553</v>
      </c>
      <c r="D926" s="3626">
        <v>5541</v>
      </c>
      <c r="E926" s="3626">
        <v>6553</v>
      </c>
      <c r="F926" s="3626">
        <v>5806</v>
      </c>
    </row>
    <row r="927" spans="1:6" ht="15.75">
      <c r="A927" s="3021">
        <v>43150</v>
      </c>
      <c r="B927" s="3021">
        <v>43200</v>
      </c>
      <c r="C927" s="3981">
        <v>6565</v>
      </c>
      <c r="D927" s="3626">
        <v>5549</v>
      </c>
      <c r="E927" s="3626">
        <v>6565</v>
      </c>
      <c r="F927" s="3626">
        <v>5814</v>
      </c>
    </row>
    <row r="928" spans="1:6" ht="15.75">
      <c r="A928" s="3021">
        <v>43200</v>
      </c>
      <c r="B928" s="3021">
        <v>43250</v>
      </c>
      <c r="C928" s="3981">
        <v>6578</v>
      </c>
      <c r="D928" s="3626">
        <v>5556</v>
      </c>
      <c r="E928" s="3626">
        <v>6578</v>
      </c>
      <c r="F928" s="3626">
        <v>5821</v>
      </c>
    </row>
    <row r="929" spans="1:6" ht="15.75">
      <c r="A929" s="3021">
        <v>43250</v>
      </c>
      <c r="B929" s="3021">
        <v>43300</v>
      </c>
      <c r="C929" s="3981">
        <v>6590</v>
      </c>
      <c r="D929" s="3626">
        <v>5564</v>
      </c>
      <c r="E929" s="3626">
        <v>6590</v>
      </c>
      <c r="F929" s="3626">
        <v>5829</v>
      </c>
    </row>
    <row r="930" spans="1:6" ht="15.75">
      <c r="A930" s="3021">
        <v>43300</v>
      </c>
      <c r="B930" s="3021">
        <v>43350</v>
      </c>
      <c r="C930" s="3981">
        <v>6603</v>
      </c>
      <c r="D930" s="3626">
        <v>5571</v>
      </c>
      <c r="E930" s="3626">
        <v>6603</v>
      </c>
      <c r="F930" s="3626">
        <v>5836</v>
      </c>
    </row>
    <row r="931" spans="1:6" ht="15.75">
      <c r="A931" s="3021">
        <v>43350</v>
      </c>
      <c r="B931" s="3021">
        <v>43400</v>
      </c>
      <c r="C931" s="3981">
        <v>6615</v>
      </c>
      <c r="D931" s="3626">
        <v>5579</v>
      </c>
      <c r="E931" s="3626">
        <v>6615</v>
      </c>
      <c r="F931" s="3626">
        <v>5844</v>
      </c>
    </row>
    <row r="932" spans="1:6" ht="15.75">
      <c r="A932" s="3021">
        <v>43400</v>
      </c>
      <c r="B932" s="3021">
        <v>43450</v>
      </c>
      <c r="C932" s="3981">
        <v>6628</v>
      </c>
      <c r="D932" s="3626">
        <v>5586</v>
      </c>
      <c r="E932" s="3626">
        <v>6628</v>
      </c>
      <c r="F932" s="3626">
        <v>5851</v>
      </c>
    </row>
    <row r="933" spans="1:6" ht="15.75">
      <c r="A933" s="3021">
        <v>43450</v>
      </c>
      <c r="B933" s="3021">
        <v>43500</v>
      </c>
      <c r="C933" s="3981">
        <v>6640</v>
      </c>
      <c r="D933" s="3626">
        <v>5594</v>
      </c>
      <c r="E933" s="3626">
        <v>6640</v>
      </c>
      <c r="F933" s="3626">
        <v>5859</v>
      </c>
    </row>
    <row r="934" spans="1:6" ht="15.75">
      <c r="A934" s="3021">
        <v>43500</v>
      </c>
      <c r="B934" s="3021">
        <v>43550</v>
      </c>
      <c r="C934" s="3981">
        <v>6653</v>
      </c>
      <c r="D934" s="3626">
        <v>5601</v>
      </c>
      <c r="E934" s="3626">
        <v>6653</v>
      </c>
      <c r="F934" s="3626">
        <v>5866</v>
      </c>
    </row>
    <row r="935" spans="1:6" ht="15.75">
      <c r="A935" s="3021">
        <v>43550</v>
      </c>
      <c r="B935" s="3021">
        <v>43600</v>
      </c>
      <c r="C935" s="3981">
        <v>6665</v>
      </c>
      <c r="D935" s="3626">
        <v>5609</v>
      </c>
      <c r="E935" s="3626">
        <v>6665</v>
      </c>
      <c r="F935" s="3626">
        <v>5874</v>
      </c>
    </row>
    <row r="936" spans="1:6" ht="15.75">
      <c r="A936" s="3021">
        <v>43600</v>
      </c>
      <c r="B936" s="3021">
        <v>43650</v>
      </c>
      <c r="C936" s="3981">
        <v>6678</v>
      </c>
      <c r="D936" s="3626">
        <v>5616</v>
      </c>
      <c r="E936" s="3626">
        <v>6678</v>
      </c>
      <c r="F936" s="3626">
        <v>5881</v>
      </c>
    </row>
    <row r="937" spans="1:6" ht="15.75">
      <c r="A937" s="3021">
        <v>43650</v>
      </c>
      <c r="B937" s="3021">
        <v>43700</v>
      </c>
      <c r="C937" s="3981">
        <v>6690</v>
      </c>
      <c r="D937" s="3626">
        <v>5624</v>
      </c>
      <c r="E937" s="3626">
        <v>6690</v>
      </c>
      <c r="F937" s="3626">
        <v>5889</v>
      </c>
    </row>
    <row r="938" spans="1:6" ht="15.75">
      <c r="A938" s="3021">
        <v>43700</v>
      </c>
      <c r="B938" s="3021">
        <v>43750</v>
      </c>
      <c r="C938" s="3981">
        <v>6703</v>
      </c>
      <c r="D938" s="3626">
        <v>5631</v>
      </c>
      <c r="E938" s="3626">
        <v>6703</v>
      </c>
      <c r="F938" s="3626">
        <v>5896</v>
      </c>
    </row>
    <row r="939" spans="1:6" ht="15.75">
      <c r="A939" s="3021">
        <v>43750</v>
      </c>
      <c r="B939" s="3021">
        <v>43800</v>
      </c>
      <c r="C939" s="3981">
        <v>6715</v>
      </c>
      <c r="D939" s="3626">
        <v>5639</v>
      </c>
      <c r="E939" s="3626">
        <v>6715</v>
      </c>
      <c r="F939" s="3626">
        <v>5904</v>
      </c>
    </row>
    <row r="940" spans="1:6" ht="15.75">
      <c r="A940" s="3021">
        <v>43800</v>
      </c>
      <c r="B940" s="3021">
        <v>43850</v>
      </c>
      <c r="C940" s="3981">
        <v>6728</v>
      </c>
      <c r="D940" s="3626">
        <v>5646</v>
      </c>
      <c r="E940" s="3626">
        <v>6728</v>
      </c>
      <c r="F940" s="3626">
        <v>5911</v>
      </c>
    </row>
    <row r="941" spans="1:6" ht="15.75">
      <c r="A941" s="3021">
        <v>43850</v>
      </c>
      <c r="B941" s="3021">
        <v>43900</v>
      </c>
      <c r="C941" s="3981">
        <v>6740</v>
      </c>
      <c r="D941" s="3626">
        <v>5654</v>
      </c>
      <c r="E941" s="3626">
        <v>6740</v>
      </c>
      <c r="F941" s="3626">
        <v>5919</v>
      </c>
    </row>
    <row r="942" spans="1:6" ht="15.75">
      <c r="A942" s="3021">
        <v>43900</v>
      </c>
      <c r="B942" s="3021">
        <v>43950</v>
      </c>
      <c r="C942" s="3981">
        <v>6753</v>
      </c>
      <c r="D942" s="3626">
        <v>5661</v>
      </c>
      <c r="E942" s="3626">
        <v>6753</v>
      </c>
      <c r="F942" s="3626">
        <v>5926</v>
      </c>
    </row>
    <row r="943" spans="1:6" ht="15.75">
      <c r="A943" s="3021">
        <v>43950</v>
      </c>
      <c r="B943" s="3021">
        <v>44000</v>
      </c>
      <c r="C943" s="3981">
        <v>6765</v>
      </c>
      <c r="D943" s="3626">
        <v>5669</v>
      </c>
      <c r="E943" s="3626">
        <v>6765</v>
      </c>
      <c r="F943" s="3626">
        <v>5934</v>
      </c>
    </row>
    <row r="944" spans="1:6" ht="15.75">
      <c r="A944" s="3021">
        <v>44000</v>
      </c>
      <c r="B944" s="3021">
        <v>44050</v>
      </c>
      <c r="C944" s="3981">
        <v>6778</v>
      </c>
      <c r="D944" s="3626">
        <v>5676</v>
      </c>
      <c r="E944" s="3626">
        <v>6778</v>
      </c>
      <c r="F944" s="3626">
        <v>5941</v>
      </c>
    </row>
    <row r="945" spans="1:6" ht="15.75">
      <c r="A945" s="3021">
        <v>44050</v>
      </c>
      <c r="B945" s="3021">
        <v>44100</v>
      </c>
      <c r="C945" s="3981">
        <v>6790</v>
      </c>
      <c r="D945" s="3626">
        <v>5684</v>
      </c>
      <c r="E945" s="3626">
        <v>6790</v>
      </c>
      <c r="F945" s="3626">
        <v>5949</v>
      </c>
    </row>
    <row r="946" spans="1:6" ht="15.75">
      <c r="A946" s="3021">
        <v>44100</v>
      </c>
      <c r="B946" s="3021">
        <v>44150</v>
      </c>
      <c r="C946" s="3981">
        <v>6803</v>
      </c>
      <c r="D946" s="3626">
        <v>5691</v>
      </c>
      <c r="E946" s="3626">
        <v>6803</v>
      </c>
      <c r="F946" s="3626">
        <v>5956</v>
      </c>
    </row>
    <row r="947" spans="1:6" ht="15.75">
      <c r="A947" s="3021">
        <v>44150</v>
      </c>
      <c r="B947" s="3021">
        <v>44200</v>
      </c>
      <c r="C947" s="3981">
        <v>6815</v>
      </c>
      <c r="D947" s="3626">
        <v>5699</v>
      </c>
      <c r="E947" s="3626">
        <v>6815</v>
      </c>
      <c r="F947" s="3626">
        <v>5964</v>
      </c>
    </row>
    <row r="948" spans="1:6" ht="15.75">
      <c r="A948" s="3021">
        <v>44200</v>
      </c>
      <c r="B948" s="3021">
        <v>44250</v>
      </c>
      <c r="C948" s="3981">
        <v>6828</v>
      </c>
      <c r="D948" s="3626">
        <v>5706</v>
      </c>
      <c r="E948" s="3626">
        <v>6828</v>
      </c>
      <c r="F948" s="3626">
        <v>5971</v>
      </c>
    </row>
    <row r="949" spans="1:6" ht="15.75">
      <c r="A949" s="3021">
        <v>44250</v>
      </c>
      <c r="B949" s="3021">
        <v>44300</v>
      </c>
      <c r="C949" s="3981">
        <v>6840</v>
      </c>
      <c r="D949" s="3626">
        <v>5714</v>
      </c>
      <c r="E949" s="3626">
        <v>6840</v>
      </c>
      <c r="F949" s="3626">
        <v>5979</v>
      </c>
    </row>
    <row r="950" spans="1:6" ht="15.75">
      <c r="A950" s="3021">
        <v>44300</v>
      </c>
      <c r="B950" s="3021">
        <v>44350</v>
      </c>
      <c r="C950" s="3981">
        <v>6853</v>
      </c>
      <c r="D950" s="3626">
        <v>5721</v>
      </c>
      <c r="E950" s="3626">
        <v>6853</v>
      </c>
      <c r="F950" s="3626">
        <v>5986</v>
      </c>
    </row>
    <row r="951" spans="1:6" ht="15.75">
      <c r="A951" s="3021">
        <v>44350</v>
      </c>
      <c r="B951" s="3021">
        <v>44400</v>
      </c>
      <c r="C951" s="3981">
        <v>6865</v>
      </c>
      <c r="D951" s="3626">
        <v>5729</v>
      </c>
      <c r="E951" s="3626">
        <v>6865</v>
      </c>
      <c r="F951" s="3626">
        <v>5994</v>
      </c>
    </row>
    <row r="952" spans="1:6" ht="15.75">
      <c r="A952" s="3021">
        <v>44400</v>
      </c>
      <c r="B952" s="3021">
        <v>44450</v>
      </c>
      <c r="C952" s="3981">
        <v>6878</v>
      </c>
      <c r="D952" s="3626">
        <v>5736</v>
      </c>
      <c r="E952" s="3626">
        <v>6878</v>
      </c>
      <c r="F952" s="3626">
        <v>6001</v>
      </c>
    </row>
    <row r="953" spans="1:6" ht="15.75">
      <c r="A953" s="3021">
        <v>44450</v>
      </c>
      <c r="B953" s="3021">
        <v>44500</v>
      </c>
      <c r="C953" s="3981">
        <v>6890</v>
      </c>
      <c r="D953" s="3626">
        <v>5744</v>
      </c>
      <c r="E953" s="3626">
        <v>6890</v>
      </c>
      <c r="F953" s="3626">
        <v>6009</v>
      </c>
    </row>
    <row r="954" spans="1:6" ht="15.75">
      <c r="A954" s="3021">
        <v>44500</v>
      </c>
      <c r="B954" s="3021">
        <v>44550</v>
      </c>
      <c r="C954" s="3981">
        <v>6903</v>
      </c>
      <c r="D954" s="3626">
        <v>5751</v>
      </c>
      <c r="E954" s="3626">
        <v>6903</v>
      </c>
      <c r="F954" s="3626">
        <v>6016</v>
      </c>
    </row>
    <row r="955" spans="1:6" ht="15.75">
      <c r="A955" s="3021">
        <v>44550</v>
      </c>
      <c r="B955" s="3021">
        <v>44600</v>
      </c>
      <c r="C955" s="3981">
        <v>6915</v>
      </c>
      <c r="D955" s="3626">
        <v>5759</v>
      </c>
      <c r="E955" s="3626">
        <v>6915</v>
      </c>
      <c r="F955" s="3626">
        <v>6024</v>
      </c>
    </row>
    <row r="956" spans="1:6" ht="15.75">
      <c r="A956" s="3021">
        <v>44600</v>
      </c>
      <c r="B956" s="3021">
        <v>44650</v>
      </c>
      <c r="C956" s="3981">
        <v>6928</v>
      </c>
      <c r="D956" s="3626">
        <v>5766</v>
      </c>
      <c r="E956" s="3626">
        <v>6928</v>
      </c>
      <c r="F956" s="3626">
        <v>6031</v>
      </c>
    </row>
    <row r="957" spans="1:6" ht="15.75">
      <c r="A957" s="3021">
        <v>44650</v>
      </c>
      <c r="B957" s="3021">
        <v>44700</v>
      </c>
      <c r="C957" s="3981">
        <v>6940</v>
      </c>
      <c r="D957" s="3626">
        <v>5774</v>
      </c>
      <c r="E957" s="3626">
        <v>6940</v>
      </c>
      <c r="F957" s="3626">
        <v>6039</v>
      </c>
    </row>
    <row r="958" spans="1:6" ht="15.75">
      <c r="A958" s="3021">
        <v>44700</v>
      </c>
      <c r="B958" s="3021">
        <v>44750</v>
      </c>
      <c r="C958" s="3981">
        <v>6953</v>
      </c>
      <c r="D958" s="3626">
        <v>5781</v>
      </c>
      <c r="E958" s="3626">
        <v>6953</v>
      </c>
      <c r="F958" s="3626">
        <v>6046</v>
      </c>
    </row>
    <row r="959" spans="1:6" ht="15.75">
      <c r="A959" s="3021">
        <v>44750</v>
      </c>
      <c r="B959" s="3021">
        <v>44800</v>
      </c>
      <c r="C959" s="3981">
        <v>6965</v>
      </c>
      <c r="D959" s="3626">
        <v>5789</v>
      </c>
      <c r="E959" s="3626">
        <v>6965</v>
      </c>
      <c r="F959" s="3626">
        <v>6054</v>
      </c>
    </row>
    <row r="960" spans="1:6" ht="15.75">
      <c r="A960" s="3021">
        <v>44800</v>
      </c>
      <c r="B960" s="3021">
        <v>44850</v>
      </c>
      <c r="C960" s="3981">
        <v>6978</v>
      </c>
      <c r="D960" s="3626">
        <v>5796</v>
      </c>
      <c r="E960" s="3626">
        <v>6978</v>
      </c>
      <c r="F960" s="3626">
        <v>6061</v>
      </c>
    </row>
    <row r="961" spans="1:6" ht="15.75">
      <c r="A961" s="3021">
        <v>44850</v>
      </c>
      <c r="B961" s="3021">
        <v>44900</v>
      </c>
      <c r="C961" s="3981">
        <v>6990</v>
      </c>
      <c r="D961" s="3626">
        <v>5804</v>
      </c>
      <c r="E961" s="3626">
        <v>6990</v>
      </c>
      <c r="F961" s="3626">
        <v>6069</v>
      </c>
    </row>
    <row r="962" spans="1:6" ht="15.75">
      <c r="A962" s="3021">
        <v>44900</v>
      </c>
      <c r="B962" s="3021">
        <v>44950</v>
      </c>
      <c r="C962" s="3981">
        <v>7003</v>
      </c>
      <c r="D962" s="3626">
        <v>5811</v>
      </c>
      <c r="E962" s="3626">
        <v>7003</v>
      </c>
      <c r="F962" s="3626">
        <v>6076</v>
      </c>
    </row>
    <row r="963" spans="1:6" ht="15.75">
      <c r="A963" s="3021">
        <v>44950</v>
      </c>
      <c r="B963" s="3021">
        <v>45000</v>
      </c>
      <c r="C963" s="3981">
        <v>7015</v>
      </c>
      <c r="D963" s="3626">
        <v>5819</v>
      </c>
      <c r="E963" s="3626">
        <v>7015</v>
      </c>
      <c r="F963" s="3626">
        <v>6084</v>
      </c>
    </row>
    <row r="964" spans="1:6" ht="15.75">
      <c r="A964" s="3021">
        <v>45000</v>
      </c>
      <c r="B964" s="3021">
        <v>45050</v>
      </c>
      <c r="C964" s="3981">
        <v>7028</v>
      </c>
      <c r="D964" s="3626">
        <v>5826</v>
      </c>
      <c r="E964" s="3626">
        <v>7028</v>
      </c>
      <c r="F964" s="3626">
        <v>6091</v>
      </c>
    </row>
    <row r="965" spans="1:6" ht="15.75">
      <c r="A965" s="3021">
        <v>45050</v>
      </c>
      <c r="B965" s="3021">
        <v>45100</v>
      </c>
      <c r="C965" s="3981">
        <v>7040</v>
      </c>
      <c r="D965" s="3626">
        <v>5834</v>
      </c>
      <c r="E965" s="3626">
        <v>7040</v>
      </c>
      <c r="F965" s="3626">
        <v>6099</v>
      </c>
    </row>
    <row r="966" spans="1:6" ht="15.75">
      <c r="A966" s="3021">
        <v>45100</v>
      </c>
      <c r="B966" s="3021">
        <v>45150</v>
      </c>
      <c r="C966" s="3981">
        <v>7053</v>
      </c>
      <c r="D966" s="3626">
        <v>5841</v>
      </c>
      <c r="E966" s="3626">
        <v>7053</v>
      </c>
      <c r="F966" s="3626">
        <v>6106</v>
      </c>
    </row>
    <row r="967" spans="1:6" ht="15.75">
      <c r="A967" s="3021">
        <v>45150</v>
      </c>
      <c r="B967" s="3021">
        <v>45200</v>
      </c>
      <c r="C967" s="3981">
        <v>7065</v>
      </c>
      <c r="D967" s="3626">
        <v>5849</v>
      </c>
      <c r="E967" s="3626">
        <v>7065</v>
      </c>
      <c r="F967" s="3626">
        <v>6114</v>
      </c>
    </row>
    <row r="968" spans="1:6" ht="15.75">
      <c r="A968" s="3021">
        <v>45200</v>
      </c>
      <c r="B968" s="3021">
        <v>45250</v>
      </c>
      <c r="C968" s="3981">
        <v>7078</v>
      </c>
      <c r="D968" s="3626">
        <v>5856</v>
      </c>
      <c r="E968" s="3626">
        <v>7078</v>
      </c>
      <c r="F968" s="3626">
        <v>6121</v>
      </c>
    </row>
    <row r="969" spans="1:6" ht="15.75">
      <c r="A969" s="3021">
        <v>45250</v>
      </c>
      <c r="B969" s="3021">
        <v>45300</v>
      </c>
      <c r="C969" s="3981">
        <v>7090</v>
      </c>
      <c r="D969" s="3626">
        <v>5864</v>
      </c>
      <c r="E969" s="3626">
        <v>7090</v>
      </c>
      <c r="F969" s="3626">
        <v>6129</v>
      </c>
    </row>
    <row r="970" spans="1:6" ht="15.75">
      <c r="A970" s="3021">
        <v>45300</v>
      </c>
      <c r="B970" s="3021">
        <v>45350</v>
      </c>
      <c r="C970" s="3981">
        <v>7103</v>
      </c>
      <c r="D970" s="3626">
        <v>5871</v>
      </c>
      <c r="E970" s="3626">
        <v>7103</v>
      </c>
      <c r="F970" s="3626">
        <v>6136</v>
      </c>
    </row>
    <row r="971" spans="1:6" ht="15.75">
      <c r="A971" s="3021">
        <v>45350</v>
      </c>
      <c r="B971" s="3021">
        <v>45400</v>
      </c>
      <c r="C971" s="3981">
        <v>7115</v>
      </c>
      <c r="D971" s="3626">
        <v>5879</v>
      </c>
      <c r="E971" s="3626">
        <v>7115</v>
      </c>
      <c r="F971" s="3626">
        <v>6144</v>
      </c>
    </row>
    <row r="972" spans="1:6" ht="15.75">
      <c r="A972" s="3021">
        <v>45400</v>
      </c>
      <c r="B972" s="3021">
        <v>45450</v>
      </c>
      <c r="C972" s="3981">
        <v>7128</v>
      </c>
      <c r="D972" s="3626">
        <v>5886</v>
      </c>
      <c r="E972" s="3626">
        <v>7128</v>
      </c>
      <c r="F972" s="3626">
        <v>6151</v>
      </c>
    </row>
    <row r="973" spans="1:6" ht="15.75">
      <c r="A973" s="3021">
        <v>45450</v>
      </c>
      <c r="B973" s="3021">
        <v>45500</v>
      </c>
      <c r="C973" s="3981">
        <v>7140</v>
      </c>
      <c r="D973" s="3626">
        <v>5894</v>
      </c>
      <c r="E973" s="3626">
        <v>7140</v>
      </c>
      <c r="F973" s="3626">
        <v>6159</v>
      </c>
    </row>
    <row r="974" spans="1:6" ht="15.75">
      <c r="A974" s="3021">
        <v>45500</v>
      </c>
      <c r="B974" s="3021">
        <v>45550</v>
      </c>
      <c r="C974" s="3981">
        <v>7153</v>
      </c>
      <c r="D974" s="3626">
        <v>5901</v>
      </c>
      <c r="E974" s="3626">
        <v>7153</v>
      </c>
      <c r="F974" s="3626">
        <v>6166</v>
      </c>
    </row>
    <row r="975" spans="1:6" ht="15.75">
      <c r="A975" s="3021">
        <v>45550</v>
      </c>
      <c r="B975" s="3021">
        <v>45600</v>
      </c>
      <c r="C975" s="3981">
        <v>7165</v>
      </c>
      <c r="D975" s="3626">
        <v>5909</v>
      </c>
      <c r="E975" s="3626">
        <v>7165</v>
      </c>
      <c r="F975" s="3626">
        <v>6174</v>
      </c>
    </row>
    <row r="976" spans="1:6" ht="15.75">
      <c r="A976" s="3021">
        <v>45600</v>
      </c>
      <c r="B976" s="3021">
        <v>45650</v>
      </c>
      <c r="C976" s="3981">
        <v>7178</v>
      </c>
      <c r="D976" s="3626">
        <v>5916</v>
      </c>
      <c r="E976" s="3626">
        <v>7178</v>
      </c>
      <c r="F976" s="3626">
        <v>6181</v>
      </c>
    </row>
    <row r="977" spans="1:6" ht="15.75">
      <c r="A977" s="3021">
        <v>45650</v>
      </c>
      <c r="B977" s="3021">
        <v>45700</v>
      </c>
      <c r="C977" s="3981">
        <v>7190</v>
      </c>
      <c r="D977" s="3626">
        <v>5924</v>
      </c>
      <c r="E977" s="3626">
        <v>7190</v>
      </c>
      <c r="F977" s="3626">
        <v>6189</v>
      </c>
    </row>
    <row r="978" spans="1:6" ht="15.75">
      <c r="A978" s="3021">
        <v>45700</v>
      </c>
      <c r="B978" s="3021">
        <v>45750</v>
      </c>
      <c r="C978" s="3981">
        <v>7203</v>
      </c>
      <c r="D978" s="3626">
        <v>5931</v>
      </c>
      <c r="E978" s="3626">
        <v>7203</v>
      </c>
      <c r="F978" s="3626">
        <v>6196</v>
      </c>
    </row>
    <row r="979" spans="1:6" ht="15.75">
      <c r="A979" s="3021">
        <v>45750</v>
      </c>
      <c r="B979" s="3021">
        <v>45800</v>
      </c>
      <c r="C979" s="3981">
        <v>7215</v>
      </c>
      <c r="D979" s="3626">
        <v>5939</v>
      </c>
      <c r="E979" s="3626">
        <v>7215</v>
      </c>
      <c r="F979" s="3626">
        <v>6204</v>
      </c>
    </row>
    <row r="980" spans="1:6" ht="15.75">
      <c r="A980" s="3021">
        <v>45800</v>
      </c>
      <c r="B980" s="3021">
        <v>45850</v>
      </c>
      <c r="C980" s="3981">
        <v>7228</v>
      </c>
      <c r="D980" s="3626">
        <v>5946</v>
      </c>
      <c r="E980" s="3626">
        <v>7228</v>
      </c>
      <c r="F980" s="3626">
        <v>6211</v>
      </c>
    </row>
    <row r="981" spans="1:6" ht="15.75">
      <c r="A981" s="3021">
        <v>45850</v>
      </c>
      <c r="B981" s="3021">
        <v>45900</v>
      </c>
      <c r="C981" s="3981">
        <v>7240</v>
      </c>
      <c r="D981" s="3626">
        <v>5954</v>
      </c>
      <c r="E981" s="3626">
        <v>7240</v>
      </c>
      <c r="F981" s="3626">
        <v>6219</v>
      </c>
    </row>
    <row r="982" spans="1:6" ht="15.75">
      <c r="A982" s="3021">
        <v>45900</v>
      </c>
      <c r="B982" s="3021">
        <v>45950</v>
      </c>
      <c r="C982" s="3981">
        <v>7253</v>
      </c>
      <c r="D982" s="3626">
        <v>5961</v>
      </c>
      <c r="E982" s="3626">
        <v>7253</v>
      </c>
      <c r="F982" s="3626">
        <v>6226</v>
      </c>
    </row>
    <row r="983" spans="1:6" ht="15.75">
      <c r="A983" s="3021">
        <v>45950</v>
      </c>
      <c r="B983" s="3021">
        <v>46000</v>
      </c>
      <c r="C983" s="3981">
        <v>7265</v>
      </c>
      <c r="D983" s="3626">
        <v>5969</v>
      </c>
      <c r="E983" s="3626">
        <v>7265</v>
      </c>
      <c r="F983" s="3626">
        <v>6234</v>
      </c>
    </row>
    <row r="984" spans="1:6" ht="15.75">
      <c r="A984" s="3021">
        <v>46000</v>
      </c>
      <c r="B984" s="3021">
        <v>46050</v>
      </c>
      <c r="C984" s="3981">
        <v>7278</v>
      </c>
      <c r="D984" s="3626">
        <v>5976</v>
      </c>
      <c r="E984" s="3626">
        <v>7278</v>
      </c>
      <c r="F984" s="3626">
        <v>6241</v>
      </c>
    </row>
    <row r="985" spans="1:6" ht="15.75">
      <c r="A985" s="3021">
        <v>46050</v>
      </c>
      <c r="B985" s="3021">
        <v>46100</v>
      </c>
      <c r="C985" s="3981">
        <v>7290</v>
      </c>
      <c r="D985" s="3626">
        <v>5984</v>
      </c>
      <c r="E985" s="3626">
        <v>7290</v>
      </c>
      <c r="F985" s="3626">
        <v>6249</v>
      </c>
    </row>
    <row r="986" spans="1:6" ht="15.75">
      <c r="A986" s="3021">
        <v>46100</v>
      </c>
      <c r="B986" s="3021">
        <v>46150</v>
      </c>
      <c r="C986" s="3981">
        <v>7303</v>
      </c>
      <c r="D986" s="3626">
        <v>5991</v>
      </c>
      <c r="E986" s="3626">
        <v>7303</v>
      </c>
      <c r="F986" s="3626">
        <v>6256</v>
      </c>
    </row>
    <row r="987" spans="1:6" ht="15.75">
      <c r="A987" s="3021">
        <v>46150</v>
      </c>
      <c r="B987" s="3021">
        <v>46200</v>
      </c>
      <c r="C987" s="3981">
        <v>7315</v>
      </c>
      <c r="D987" s="3626">
        <v>5999</v>
      </c>
      <c r="E987" s="3626">
        <v>7315</v>
      </c>
      <c r="F987" s="3626">
        <v>6264</v>
      </c>
    </row>
    <row r="988" spans="1:6" ht="15.75">
      <c r="A988" s="3021">
        <v>46200</v>
      </c>
      <c r="B988" s="3021">
        <v>46250</v>
      </c>
      <c r="C988" s="3981">
        <v>7328</v>
      </c>
      <c r="D988" s="3626">
        <v>6006</v>
      </c>
      <c r="E988" s="3626">
        <v>7328</v>
      </c>
      <c r="F988" s="3626">
        <v>6271</v>
      </c>
    </row>
    <row r="989" spans="1:6" ht="15.75">
      <c r="A989" s="3021">
        <v>46250</v>
      </c>
      <c r="B989" s="3021">
        <v>46300</v>
      </c>
      <c r="C989" s="3981">
        <v>7340</v>
      </c>
      <c r="D989" s="3626">
        <v>6014</v>
      </c>
      <c r="E989" s="3626">
        <v>7340</v>
      </c>
      <c r="F989" s="3626">
        <v>6279</v>
      </c>
    </row>
    <row r="990" spans="1:6" ht="15.75">
      <c r="A990" s="3021">
        <v>46300</v>
      </c>
      <c r="B990" s="3021">
        <v>46350</v>
      </c>
      <c r="C990" s="3981">
        <v>7353</v>
      </c>
      <c r="D990" s="3626">
        <v>6021</v>
      </c>
      <c r="E990" s="3626">
        <v>7353</v>
      </c>
      <c r="F990" s="3626">
        <v>6286</v>
      </c>
    </row>
    <row r="991" spans="1:6" ht="15.75">
      <c r="A991" s="3021">
        <v>46350</v>
      </c>
      <c r="B991" s="3021">
        <v>46400</v>
      </c>
      <c r="C991" s="3981">
        <v>7365</v>
      </c>
      <c r="D991" s="3626">
        <v>6029</v>
      </c>
      <c r="E991" s="3626">
        <v>7365</v>
      </c>
      <c r="F991" s="3626">
        <v>6294</v>
      </c>
    </row>
    <row r="992" spans="1:6" ht="15.75">
      <c r="A992" s="3021">
        <v>46400</v>
      </c>
      <c r="B992" s="3021">
        <v>46450</v>
      </c>
      <c r="C992" s="3981">
        <v>7378</v>
      </c>
      <c r="D992" s="3626">
        <v>6036</v>
      </c>
      <c r="E992" s="3626">
        <v>7378</v>
      </c>
      <c r="F992" s="3626">
        <v>6301</v>
      </c>
    </row>
    <row r="993" spans="1:6" ht="15.75">
      <c r="A993" s="3021">
        <v>46450</v>
      </c>
      <c r="B993" s="3021">
        <v>46500</v>
      </c>
      <c r="C993" s="3981">
        <v>7390</v>
      </c>
      <c r="D993" s="3626">
        <v>6044</v>
      </c>
      <c r="E993" s="3626">
        <v>7390</v>
      </c>
      <c r="F993" s="3626">
        <v>6309</v>
      </c>
    </row>
    <row r="994" spans="1:6" ht="15.75">
      <c r="A994" s="3021">
        <v>46500</v>
      </c>
      <c r="B994" s="3021">
        <v>46550</v>
      </c>
      <c r="C994" s="3981">
        <v>7403</v>
      </c>
      <c r="D994" s="3626">
        <v>6051</v>
      </c>
      <c r="E994" s="3626">
        <v>7403</v>
      </c>
      <c r="F994" s="3626">
        <v>6316</v>
      </c>
    </row>
    <row r="995" spans="1:6" ht="15.75">
      <c r="A995" s="3021">
        <v>46550</v>
      </c>
      <c r="B995" s="3021">
        <v>46600</v>
      </c>
      <c r="C995" s="3981">
        <v>7415</v>
      </c>
      <c r="D995" s="3626">
        <v>6059</v>
      </c>
      <c r="E995" s="3626">
        <v>7415</v>
      </c>
      <c r="F995" s="3626">
        <v>6324</v>
      </c>
    </row>
    <row r="996" spans="1:6" ht="15.75">
      <c r="A996" s="3021">
        <v>46600</v>
      </c>
      <c r="B996" s="3021">
        <v>46650</v>
      </c>
      <c r="C996" s="3981">
        <v>7428</v>
      </c>
      <c r="D996" s="3626">
        <v>6066</v>
      </c>
      <c r="E996" s="3626">
        <v>7428</v>
      </c>
      <c r="F996" s="3626">
        <v>6331</v>
      </c>
    </row>
    <row r="997" spans="1:6" ht="15.75">
      <c r="A997" s="3021">
        <v>46650</v>
      </c>
      <c r="B997" s="3021">
        <v>46700</v>
      </c>
      <c r="C997" s="3981">
        <v>7440</v>
      </c>
      <c r="D997" s="3626">
        <v>6074</v>
      </c>
      <c r="E997" s="3626">
        <v>7440</v>
      </c>
      <c r="F997" s="3626">
        <v>6339</v>
      </c>
    </row>
    <row r="998" spans="1:6" ht="15.75">
      <c r="A998" s="3021">
        <v>46700</v>
      </c>
      <c r="B998" s="3021">
        <v>46750</v>
      </c>
      <c r="C998" s="3981">
        <v>7453</v>
      </c>
      <c r="D998" s="3626">
        <v>6081</v>
      </c>
      <c r="E998" s="3626">
        <v>7453</v>
      </c>
      <c r="F998" s="3626">
        <v>6346</v>
      </c>
    </row>
    <row r="999" spans="1:6" ht="15.75">
      <c r="A999" s="3021">
        <v>46750</v>
      </c>
      <c r="B999" s="3021">
        <v>46800</v>
      </c>
      <c r="C999" s="3981">
        <v>7465</v>
      </c>
      <c r="D999" s="3626">
        <v>6089</v>
      </c>
      <c r="E999" s="3626">
        <v>7465</v>
      </c>
      <c r="F999" s="3626">
        <v>6354</v>
      </c>
    </row>
    <row r="1000" spans="1:6" ht="15.75">
      <c r="A1000" s="3021">
        <v>46800</v>
      </c>
      <c r="B1000" s="3021">
        <v>46850</v>
      </c>
      <c r="C1000" s="3981">
        <v>7478</v>
      </c>
      <c r="D1000" s="3626">
        <v>6096</v>
      </c>
      <c r="E1000" s="3626">
        <v>7478</v>
      </c>
      <c r="F1000" s="3626">
        <v>6361</v>
      </c>
    </row>
    <row r="1001" spans="1:6" ht="15.75">
      <c r="A1001" s="3021">
        <v>46850</v>
      </c>
      <c r="B1001" s="3021">
        <v>46900</v>
      </c>
      <c r="C1001" s="3981">
        <v>7490</v>
      </c>
      <c r="D1001" s="3626">
        <v>6104</v>
      </c>
      <c r="E1001" s="3626">
        <v>7490</v>
      </c>
      <c r="F1001" s="3626">
        <v>6369</v>
      </c>
    </row>
    <row r="1002" spans="1:6" ht="15.75">
      <c r="A1002" s="3021">
        <v>46900</v>
      </c>
      <c r="B1002" s="3021">
        <v>46950</v>
      </c>
      <c r="C1002" s="3981">
        <v>7503</v>
      </c>
      <c r="D1002" s="3626">
        <v>6111</v>
      </c>
      <c r="E1002" s="3626">
        <v>7503</v>
      </c>
      <c r="F1002" s="3626">
        <v>6376</v>
      </c>
    </row>
    <row r="1003" spans="1:6" ht="15.75">
      <c r="A1003" s="3021">
        <v>46950</v>
      </c>
      <c r="B1003" s="3021">
        <v>47000</v>
      </c>
      <c r="C1003" s="3981">
        <v>7515</v>
      </c>
      <c r="D1003" s="3626">
        <v>6119</v>
      </c>
      <c r="E1003" s="3626">
        <v>7515</v>
      </c>
      <c r="F1003" s="3626">
        <v>6384</v>
      </c>
    </row>
    <row r="1004" spans="1:6" ht="15.75">
      <c r="A1004" s="3021">
        <v>47000</v>
      </c>
      <c r="B1004" s="3021">
        <v>47050</v>
      </c>
      <c r="C1004" s="3981">
        <v>7528</v>
      </c>
      <c r="D1004" s="3626">
        <v>6126</v>
      </c>
      <c r="E1004" s="3626">
        <v>7528</v>
      </c>
      <c r="F1004" s="3626">
        <v>6391</v>
      </c>
    </row>
    <row r="1005" spans="1:6" ht="15.75">
      <c r="A1005" s="3021">
        <v>47050</v>
      </c>
      <c r="B1005" s="3021">
        <v>47100</v>
      </c>
      <c r="C1005" s="3981">
        <v>7540</v>
      </c>
      <c r="D1005" s="3626">
        <v>6134</v>
      </c>
      <c r="E1005" s="3626">
        <v>7540</v>
      </c>
      <c r="F1005" s="3626">
        <v>6399</v>
      </c>
    </row>
    <row r="1006" spans="1:6" ht="15.75">
      <c r="A1006" s="3021">
        <v>47100</v>
      </c>
      <c r="B1006" s="3021">
        <v>47150</v>
      </c>
      <c r="C1006" s="3981">
        <v>7553</v>
      </c>
      <c r="D1006" s="3626">
        <v>6141</v>
      </c>
      <c r="E1006" s="3626">
        <v>7553</v>
      </c>
      <c r="F1006" s="3626">
        <v>6406</v>
      </c>
    </row>
    <row r="1007" spans="1:6" ht="15.75">
      <c r="A1007" s="3021">
        <v>47150</v>
      </c>
      <c r="B1007" s="3021">
        <v>47200</v>
      </c>
      <c r="C1007" s="3981">
        <v>7565</v>
      </c>
      <c r="D1007" s="3626">
        <v>6149</v>
      </c>
      <c r="E1007" s="3626">
        <v>7565</v>
      </c>
      <c r="F1007" s="3626">
        <v>6414</v>
      </c>
    </row>
    <row r="1008" spans="1:6" ht="15.75">
      <c r="A1008" s="3021">
        <v>47200</v>
      </c>
      <c r="B1008" s="3021">
        <v>47250</v>
      </c>
      <c r="C1008" s="3981">
        <v>7578</v>
      </c>
      <c r="D1008" s="3626">
        <v>6156</v>
      </c>
      <c r="E1008" s="3626">
        <v>7578</v>
      </c>
      <c r="F1008" s="3626">
        <v>6421</v>
      </c>
    </row>
    <row r="1009" spans="1:6" ht="15.75">
      <c r="A1009" s="3021">
        <v>47250</v>
      </c>
      <c r="B1009" s="3021">
        <v>47300</v>
      </c>
      <c r="C1009" s="3981">
        <v>7590</v>
      </c>
      <c r="D1009" s="3626">
        <v>6164</v>
      </c>
      <c r="E1009" s="3626">
        <v>7590</v>
      </c>
      <c r="F1009" s="3626">
        <v>6429</v>
      </c>
    </row>
    <row r="1010" spans="1:6" ht="15.75">
      <c r="A1010" s="3021">
        <v>47300</v>
      </c>
      <c r="B1010" s="3021">
        <v>47350</v>
      </c>
      <c r="C1010" s="3981">
        <v>7603</v>
      </c>
      <c r="D1010" s="3626">
        <v>6171</v>
      </c>
      <c r="E1010" s="3626">
        <v>7603</v>
      </c>
      <c r="F1010" s="3626">
        <v>6436</v>
      </c>
    </row>
    <row r="1011" spans="1:6" ht="15.75">
      <c r="A1011" s="3021">
        <v>47350</v>
      </c>
      <c r="B1011" s="3021">
        <v>47400</v>
      </c>
      <c r="C1011" s="3981">
        <v>7615</v>
      </c>
      <c r="D1011" s="3626">
        <v>6179</v>
      </c>
      <c r="E1011" s="3626">
        <v>7615</v>
      </c>
      <c r="F1011" s="3626">
        <v>6444</v>
      </c>
    </row>
    <row r="1012" spans="1:6" ht="15.75">
      <c r="A1012" s="3021">
        <v>47400</v>
      </c>
      <c r="B1012" s="3021">
        <v>47450</v>
      </c>
      <c r="C1012" s="3981">
        <v>7628</v>
      </c>
      <c r="D1012" s="3626">
        <v>6186</v>
      </c>
      <c r="E1012" s="3626">
        <v>7628</v>
      </c>
      <c r="F1012" s="3626">
        <v>6451</v>
      </c>
    </row>
    <row r="1013" spans="1:6" ht="15.75">
      <c r="A1013" s="3021">
        <v>47450</v>
      </c>
      <c r="B1013" s="3021">
        <v>47500</v>
      </c>
      <c r="C1013" s="3981">
        <v>7640</v>
      </c>
      <c r="D1013" s="3626">
        <v>6194</v>
      </c>
      <c r="E1013" s="3626">
        <v>7640</v>
      </c>
      <c r="F1013" s="3626">
        <v>6459</v>
      </c>
    </row>
    <row r="1014" spans="1:6" ht="15.75">
      <c r="A1014" s="3021">
        <v>47500</v>
      </c>
      <c r="B1014" s="3021">
        <v>47550</v>
      </c>
      <c r="C1014" s="3981">
        <v>7653</v>
      </c>
      <c r="D1014" s="3626">
        <v>6201</v>
      </c>
      <c r="E1014" s="3626">
        <v>7653</v>
      </c>
      <c r="F1014" s="3626">
        <v>6466</v>
      </c>
    </row>
    <row r="1015" spans="1:6" ht="15.75">
      <c r="A1015" s="3021">
        <v>47550</v>
      </c>
      <c r="B1015" s="3021">
        <v>47600</v>
      </c>
      <c r="C1015" s="3981">
        <v>7665</v>
      </c>
      <c r="D1015" s="3626">
        <v>6209</v>
      </c>
      <c r="E1015" s="3626">
        <v>7665</v>
      </c>
      <c r="F1015" s="3626">
        <v>6474</v>
      </c>
    </row>
    <row r="1016" spans="1:6" ht="15.75">
      <c r="A1016" s="3021">
        <v>47600</v>
      </c>
      <c r="B1016" s="3021">
        <v>47650</v>
      </c>
      <c r="C1016" s="3981">
        <v>7678</v>
      </c>
      <c r="D1016" s="3626">
        <v>6216</v>
      </c>
      <c r="E1016" s="3626">
        <v>7678</v>
      </c>
      <c r="F1016" s="3626">
        <v>6481</v>
      </c>
    </row>
    <row r="1017" spans="1:6" ht="15.75">
      <c r="A1017" s="3021">
        <v>47650</v>
      </c>
      <c r="B1017" s="3021">
        <v>47700</v>
      </c>
      <c r="C1017" s="3981">
        <v>7690</v>
      </c>
      <c r="D1017" s="3626">
        <v>6224</v>
      </c>
      <c r="E1017" s="3626">
        <v>7690</v>
      </c>
      <c r="F1017" s="3626">
        <v>6489</v>
      </c>
    </row>
    <row r="1018" spans="1:6" ht="15.75">
      <c r="A1018" s="3021">
        <v>47700</v>
      </c>
      <c r="B1018" s="3021">
        <v>47750</v>
      </c>
      <c r="C1018" s="3981">
        <v>7703</v>
      </c>
      <c r="D1018" s="3626">
        <v>6231</v>
      </c>
      <c r="E1018" s="3626">
        <v>7703</v>
      </c>
      <c r="F1018" s="3626">
        <v>6496</v>
      </c>
    </row>
    <row r="1019" spans="1:6" ht="15.75">
      <c r="A1019" s="3021">
        <v>47750</v>
      </c>
      <c r="B1019" s="3021">
        <v>47800</v>
      </c>
      <c r="C1019" s="3981">
        <v>7715</v>
      </c>
      <c r="D1019" s="3626">
        <v>6239</v>
      </c>
      <c r="E1019" s="3626">
        <v>7715</v>
      </c>
      <c r="F1019" s="3626">
        <v>6504</v>
      </c>
    </row>
    <row r="1020" spans="1:6" ht="15.75">
      <c r="A1020" s="3021">
        <v>47800</v>
      </c>
      <c r="B1020" s="3021">
        <v>47850</v>
      </c>
      <c r="C1020" s="3981">
        <v>7728</v>
      </c>
      <c r="D1020" s="3626">
        <v>6246</v>
      </c>
      <c r="E1020" s="3626">
        <v>7728</v>
      </c>
      <c r="F1020" s="3626">
        <v>6511</v>
      </c>
    </row>
    <row r="1021" spans="1:6" ht="15.75">
      <c r="A1021" s="3021">
        <v>47850</v>
      </c>
      <c r="B1021" s="3021">
        <v>47900</v>
      </c>
      <c r="C1021" s="3981">
        <v>7740</v>
      </c>
      <c r="D1021" s="3626">
        <v>6254</v>
      </c>
      <c r="E1021" s="3626">
        <v>7740</v>
      </c>
      <c r="F1021" s="3626">
        <v>6519</v>
      </c>
    </row>
    <row r="1022" spans="1:6" ht="15.75">
      <c r="A1022" s="3021">
        <v>47900</v>
      </c>
      <c r="B1022" s="3021">
        <v>47950</v>
      </c>
      <c r="C1022" s="3981">
        <v>7753</v>
      </c>
      <c r="D1022" s="3626">
        <v>6261</v>
      </c>
      <c r="E1022" s="3626">
        <v>7753</v>
      </c>
      <c r="F1022" s="3626">
        <v>6526</v>
      </c>
    </row>
    <row r="1023" spans="1:6" ht="15.75">
      <c r="A1023" s="3021">
        <v>47950</v>
      </c>
      <c r="B1023" s="3021">
        <v>48000</v>
      </c>
      <c r="C1023" s="3981">
        <v>7765</v>
      </c>
      <c r="D1023" s="3626">
        <v>6269</v>
      </c>
      <c r="E1023" s="3626">
        <v>7765</v>
      </c>
      <c r="F1023" s="3626">
        <v>6534</v>
      </c>
    </row>
    <row r="1024" spans="1:6" ht="15.75">
      <c r="A1024" s="3021">
        <v>48000</v>
      </c>
      <c r="B1024" s="3021">
        <v>48050</v>
      </c>
      <c r="C1024" s="3981">
        <v>7778</v>
      </c>
      <c r="D1024" s="3626">
        <v>6276</v>
      </c>
      <c r="E1024" s="3626">
        <v>7778</v>
      </c>
      <c r="F1024" s="3626">
        <v>6541</v>
      </c>
    </row>
    <row r="1025" spans="1:6" ht="15.75">
      <c r="A1025" s="3021">
        <v>48050</v>
      </c>
      <c r="B1025" s="3021">
        <v>48100</v>
      </c>
      <c r="C1025" s="3981">
        <v>7790</v>
      </c>
      <c r="D1025" s="3626">
        <v>6284</v>
      </c>
      <c r="E1025" s="3626">
        <v>7790</v>
      </c>
      <c r="F1025" s="3626">
        <v>6549</v>
      </c>
    </row>
    <row r="1026" spans="1:6" ht="15.75">
      <c r="A1026" s="3021">
        <v>48100</v>
      </c>
      <c r="B1026" s="3021">
        <v>48150</v>
      </c>
      <c r="C1026" s="3981">
        <v>7803</v>
      </c>
      <c r="D1026" s="3626">
        <v>6291</v>
      </c>
      <c r="E1026" s="3626">
        <v>7803</v>
      </c>
      <c r="F1026" s="3626">
        <v>6556</v>
      </c>
    </row>
    <row r="1027" spans="1:6" ht="15.75">
      <c r="A1027" s="3021">
        <v>48150</v>
      </c>
      <c r="B1027" s="3021">
        <v>48200</v>
      </c>
      <c r="C1027" s="3981">
        <v>7815</v>
      </c>
      <c r="D1027" s="3626">
        <v>6299</v>
      </c>
      <c r="E1027" s="3626">
        <v>7815</v>
      </c>
      <c r="F1027" s="3626">
        <v>6564</v>
      </c>
    </row>
    <row r="1028" spans="1:6" ht="15.75">
      <c r="A1028" s="3021">
        <v>48200</v>
      </c>
      <c r="B1028" s="3021">
        <v>48250</v>
      </c>
      <c r="C1028" s="3981">
        <v>7828</v>
      </c>
      <c r="D1028" s="3626">
        <v>6306</v>
      </c>
      <c r="E1028" s="3626">
        <v>7828</v>
      </c>
      <c r="F1028" s="3626">
        <v>6571</v>
      </c>
    </row>
    <row r="1029" spans="1:6" ht="15.75">
      <c r="A1029" s="3021">
        <v>48250</v>
      </c>
      <c r="B1029" s="3021">
        <v>48300</v>
      </c>
      <c r="C1029" s="3981">
        <v>7840</v>
      </c>
      <c r="D1029" s="3626">
        <v>6314</v>
      </c>
      <c r="E1029" s="3626">
        <v>7840</v>
      </c>
      <c r="F1029" s="3626">
        <v>6579</v>
      </c>
    </row>
    <row r="1030" spans="1:6" ht="15.75">
      <c r="A1030" s="3021">
        <v>48300</v>
      </c>
      <c r="B1030" s="3021">
        <v>48350</v>
      </c>
      <c r="C1030" s="3981">
        <v>7853</v>
      </c>
      <c r="D1030" s="3626">
        <v>6321</v>
      </c>
      <c r="E1030" s="3626">
        <v>7853</v>
      </c>
      <c r="F1030" s="3626">
        <v>6586</v>
      </c>
    </row>
    <row r="1031" spans="1:6" ht="15.75">
      <c r="A1031" s="3021">
        <v>48350</v>
      </c>
      <c r="B1031" s="3021">
        <v>48400</v>
      </c>
      <c r="C1031" s="3981">
        <v>7865</v>
      </c>
      <c r="D1031" s="3626">
        <v>6329</v>
      </c>
      <c r="E1031" s="3626">
        <v>7865</v>
      </c>
      <c r="F1031" s="3626">
        <v>6594</v>
      </c>
    </row>
    <row r="1032" spans="1:6" ht="15.75">
      <c r="A1032" s="3021">
        <v>48400</v>
      </c>
      <c r="B1032" s="3021">
        <v>48450</v>
      </c>
      <c r="C1032" s="3981">
        <v>7878</v>
      </c>
      <c r="D1032" s="3626">
        <v>6336</v>
      </c>
      <c r="E1032" s="3626">
        <v>7878</v>
      </c>
      <c r="F1032" s="3626">
        <v>6601</v>
      </c>
    </row>
    <row r="1033" spans="1:6" ht="15.75">
      <c r="A1033" s="3021">
        <v>48450</v>
      </c>
      <c r="B1033" s="3021">
        <v>48500</v>
      </c>
      <c r="C1033" s="3981">
        <v>7890</v>
      </c>
      <c r="D1033" s="3626">
        <v>6344</v>
      </c>
      <c r="E1033" s="3626">
        <v>7890</v>
      </c>
      <c r="F1033" s="3626">
        <v>6609</v>
      </c>
    </row>
    <row r="1034" spans="1:6" ht="15.75">
      <c r="A1034" s="3021">
        <v>48500</v>
      </c>
      <c r="B1034" s="3021">
        <v>48550</v>
      </c>
      <c r="C1034" s="3981">
        <v>7903</v>
      </c>
      <c r="D1034" s="3626">
        <v>6351</v>
      </c>
      <c r="E1034" s="3626">
        <v>7903</v>
      </c>
      <c r="F1034" s="3626">
        <v>6616</v>
      </c>
    </row>
    <row r="1035" spans="1:6" ht="15.75">
      <c r="A1035" s="3021">
        <v>48550</v>
      </c>
      <c r="B1035" s="3021">
        <v>48600</v>
      </c>
      <c r="C1035" s="3981">
        <v>7915</v>
      </c>
      <c r="D1035" s="3626">
        <v>6359</v>
      </c>
      <c r="E1035" s="3626">
        <v>7915</v>
      </c>
      <c r="F1035" s="3626">
        <v>6624</v>
      </c>
    </row>
    <row r="1036" spans="1:6" ht="15.75">
      <c r="A1036" s="3021">
        <v>48600</v>
      </c>
      <c r="B1036" s="3021">
        <v>48650</v>
      </c>
      <c r="C1036" s="3981">
        <v>7928</v>
      </c>
      <c r="D1036" s="3626">
        <v>6366</v>
      </c>
      <c r="E1036" s="3626">
        <v>7928</v>
      </c>
      <c r="F1036" s="3626">
        <v>6631</v>
      </c>
    </row>
    <row r="1037" spans="1:6" ht="15.75">
      <c r="A1037" s="3021">
        <v>48650</v>
      </c>
      <c r="B1037" s="3021">
        <v>48700</v>
      </c>
      <c r="C1037" s="3981">
        <v>7940</v>
      </c>
      <c r="D1037" s="3626">
        <v>6374</v>
      </c>
      <c r="E1037" s="3626">
        <v>7940</v>
      </c>
      <c r="F1037" s="3626">
        <v>6639</v>
      </c>
    </row>
    <row r="1038" spans="1:6" ht="15.75">
      <c r="A1038" s="3021">
        <v>48700</v>
      </c>
      <c r="B1038" s="3021">
        <v>48750</v>
      </c>
      <c r="C1038" s="3981">
        <v>7953</v>
      </c>
      <c r="D1038" s="3626">
        <v>6381</v>
      </c>
      <c r="E1038" s="3626">
        <v>7953</v>
      </c>
      <c r="F1038" s="3626">
        <v>6646</v>
      </c>
    </row>
    <row r="1039" spans="1:6" ht="15.75">
      <c r="A1039" s="3021">
        <v>48750</v>
      </c>
      <c r="B1039" s="3021">
        <v>48800</v>
      </c>
      <c r="C1039" s="3981">
        <v>7965</v>
      </c>
      <c r="D1039" s="3626">
        <v>6389</v>
      </c>
      <c r="E1039" s="3626">
        <v>7965</v>
      </c>
      <c r="F1039" s="3626">
        <v>6654</v>
      </c>
    </row>
    <row r="1040" spans="1:6" ht="15.75">
      <c r="A1040" s="3021">
        <v>48800</v>
      </c>
      <c r="B1040" s="3021">
        <v>48850</v>
      </c>
      <c r="C1040" s="3981">
        <v>7978</v>
      </c>
      <c r="D1040" s="3626">
        <v>6396</v>
      </c>
      <c r="E1040" s="3626">
        <v>7978</v>
      </c>
      <c r="F1040" s="3626">
        <v>6661</v>
      </c>
    </row>
    <row r="1041" spans="1:6" ht="15.75">
      <c r="A1041" s="3021">
        <v>48850</v>
      </c>
      <c r="B1041" s="3021">
        <v>48900</v>
      </c>
      <c r="C1041" s="3981">
        <v>7990</v>
      </c>
      <c r="D1041" s="3626">
        <v>6404</v>
      </c>
      <c r="E1041" s="3626">
        <v>7990</v>
      </c>
      <c r="F1041" s="3626">
        <v>6669</v>
      </c>
    </row>
    <row r="1042" spans="1:6" ht="15.75">
      <c r="A1042" s="3021">
        <v>48900</v>
      </c>
      <c r="B1042" s="3021">
        <v>48950</v>
      </c>
      <c r="C1042" s="3981">
        <v>8003</v>
      </c>
      <c r="D1042" s="3626">
        <v>6411</v>
      </c>
      <c r="E1042" s="3626">
        <v>8003</v>
      </c>
      <c r="F1042" s="3626">
        <v>6676</v>
      </c>
    </row>
    <row r="1043" spans="1:6" ht="15.75">
      <c r="A1043" s="3021">
        <v>48950</v>
      </c>
      <c r="B1043" s="3021">
        <v>49000</v>
      </c>
      <c r="C1043" s="3981">
        <v>8015</v>
      </c>
      <c r="D1043" s="3626">
        <v>6419</v>
      </c>
      <c r="E1043" s="3626">
        <v>8015</v>
      </c>
      <c r="F1043" s="3626">
        <v>6684</v>
      </c>
    </row>
    <row r="1044" spans="1:6" ht="15.75">
      <c r="A1044" s="3021">
        <v>49000</v>
      </c>
      <c r="B1044" s="3021">
        <v>49050</v>
      </c>
      <c r="C1044" s="3981">
        <v>8028</v>
      </c>
      <c r="D1044" s="3626">
        <v>6426</v>
      </c>
      <c r="E1044" s="3626">
        <v>8028</v>
      </c>
      <c r="F1044" s="3626">
        <v>6691</v>
      </c>
    </row>
    <row r="1045" spans="1:6" ht="15.75">
      <c r="A1045" s="3021">
        <v>49050</v>
      </c>
      <c r="B1045" s="3021">
        <v>49100</v>
      </c>
      <c r="C1045" s="3981">
        <v>8040</v>
      </c>
      <c r="D1045" s="3626">
        <v>6434</v>
      </c>
      <c r="E1045" s="3626">
        <v>8040</v>
      </c>
      <c r="F1045" s="3626">
        <v>6699</v>
      </c>
    </row>
    <row r="1046" spans="1:6" ht="15.75">
      <c r="A1046" s="3021">
        <v>49100</v>
      </c>
      <c r="B1046" s="3021">
        <v>49150</v>
      </c>
      <c r="C1046" s="3981">
        <v>8053</v>
      </c>
      <c r="D1046" s="3626">
        <v>6441</v>
      </c>
      <c r="E1046" s="3626">
        <v>8053</v>
      </c>
      <c r="F1046" s="3626">
        <v>6706</v>
      </c>
    </row>
    <row r="1047" spans="1:6" ht="15.75">
      <c r="A1047" s="3021">
        <v>49150</v>
      </c>
      <c r="B1047" s="3021">
        <v>49200</v>
      </c>
      <c r="C1047" s="3981">
        <v>8065</v>
      </c>
      <c r="D1047" s="3626">
        <v>6449</v>
      </c>
      <c r="E1047" s="3626">
        <v>8065</v>
      </c>
      <c r="F1047" s="3626">
        <v>6714</v>
      </c>
    </row>
    <row r="1048" spans="1:6" ht="15.75">
      <c r="A1048" s="3021">
        <v>49200</v>
      </c>
      <c r="B1048" s="3021">
        <v>49250</v>
      </c>
      <c r="C1048" s="3981">
        <v>8078</v>
      </c>
      <c r="D1048" s="3626">
        <v>6456</v>
      </c>
      <c r="E1048" s="3626">
        <v>8078</v>
      </c>
      <c r="F1048" s="3626">
        <v>6721</v>
      </c>
    </row>
    <row r="1049" spans="1:6" ht="15.75">
      <c r="A1049" s="3021">
        <v>49250</v>
      </c>
      <c r="B1049" s="3021">
        <v>49300</v>
      </c>
      <c r="C1049" s="3981">
        <v>8090</v>
      </c>
      <c r="D1049" s="3626">
        <v>6464</v>
      </c>
      <c r="E1049" s="3626">
        <v>8090</v>
      </c>
      <c r="F1049" s="3626">
        <v>6729</v>
      </c>
    </row>
    <row r="1050" spans="1:6" ht="15.75">
      <c r="A1050" s="3021">
        <v>49300</v>
      </c>
      <c r="B1050" s="3021">
        <v>49350</v>
      </c>
      <c r="C1050" s="3981">
        <v>8103</v>
      </c>
      <c r="D1050" s="3626">
        <v>6471</v>
      </c>
      <c r="E1050" s="3626">
        <v>8103</v>
      </c>
      <c r="F1050" s="3626">
        <v>6736</v>
      </c>
    </row>
    <row r="1051" spans="1:6" ht="15.75">
      <c r="A1051" s="3021">
        <v>49350</v>
      </c>
      <c r="B1051" s="3021">
        <v>49400</v>
      </c>
      <c r="C1051" s="3981">
        <v>8115</v>
      </c>
      <c r="D1051" s="3626">
        <v>6479</v>
      </c>
      <c r="E1051" s="3626">
        <v>8115</v>
      </c>
      <c r="F1051" s="3626">
        <v>6744</v>
      </c>
    </row>
    <row r="1052" spans="1:6" ht="15.75">
      <c r="A1052" s="3021">
        <v>49400</v>
      </c>
      <c r="B1052" s="3021">
        <v>49450</v>
      </c>
      <c r="C1052" s="3981">
        <v>8128</v>
      </c>
      <c r="D1052" s="3626">
        <v>6486</v>
      </c>
      <c r="E1052" s="3626">
        <v>8128</v>
      </c>
      <c r="F1052" s="3626">
        <v>6751</v>
      </c>
    </row>
    <row r="1053" spans="1:6" ht="15.75">
      <c r="A1053" s="3021">
        <v>49450</v>
      </c>
      <c r="B1053" s="3021">
        <v>49500</v>
      </c>
      <c r="C1053" s="3981">
        <v>8140</v>
      </c>
      <c r="D1053" s="3626">
        <v>6494</v>
      </c>
      <c r="E1053" s="3626">
        <v>8140</v>
      </c>
      <c r="F1053" s="3626">
        <v>6759</v>
      </c>
    </row>
    <row r="1054" spans="1:6" ht="15.75">
      <c r="A1054" s="3021">
        <v>49500</v>
      </c>
      <c r="B1054" s="3021">
        <v>49550</v>
      </c>
      <c r="C1054" s="3981">
        <v>8153</v>
      </c>
      <c r="D1054" s="3626">
        <v>6501</v>
      </c>
      <c r="E1054" s="3626">
        <v>8153</v>
      </c>
      <c r="F1054" s="3626">
        <v>6766</v>
      </c>
    </row>
    <row r="1055" spans="1:6" ht="15.75">
      <c r="A1055" s="3021">
        <v>49550</v>
      </c>
      <c r="B1055" s="3021">
        <v>49600</v>
      </c>
      <c r="C1055" s="3981">
        <v>8165</v>
      </c>
      <c r="D1055" s="3626">
        <v>6509</v>
      </c>
      <c r="E1055" s="3626">
        <v>8165</v>
      </c>
      <c r="F1055" s="3626">
        <v>6774</v>
      </c>
    </row>
    <row r="1056" spans="1:6" ht="15.75">
      <c r="A1056" s="3021">
        <v>49600</v>
      </c>
      <c r="B1056" s="3021">
        <v>49650</v>
      </c>
      <c r="C1056" s="3981">
        <v>8178</v>
      </c>
      <c r="D1056" s="3626">
        <v>6516</v>
      </c>
      <c r="E1056" s="3626">
        <v>8178</v>
      </c>
      <c r="F1056" s="3626">
        <v>6781</v>
      </c>
    </row>
    <row r="1057" spans="1:6" ht="15.75">
      <c r="A1057" s="3021">
        <v>49650</v>
      </c>
      <c r="B1057" s="3021">
        <v>49700</v>
      </c>
      <c r="C1057" s="3981">
        <v>8190</v>
      </c>
      <c r="D1057" s="3626">
        <v>6524</v>
      </c>
      <c r="E1057" s="3626">
        <v>8190</v>
      </c>
      <c r="F1057" s="3626">
        <v>6789</v>
      </c>
    </row>
    <row r="1058" spans="1:6" ht="15.75">
      <c r="A1058" s="3021">
        <v>49700</v>
      </c>
      <c r="B1058" s="3021">
        <v>49750</v>
      </c>
      <c r="C1058" s="3981">
        <v>8203</v>
      </c>
      <c r="D1058" s="3626">
        <v>6531</v>
      </c>
      <c r="E1058" s="3626">
        <v>8203</v>
      </c>
      <c r="F1058" s="3626">
        <v>6796</v>
      </c>
    </row>
    <row r="1059" spans="1:6" ht="15.75">
      <c r="A1059" s="3021">
        <v>49750</v>
      </c>
      <c r="B1059" s="3021">
        <v>49800</v>
      </c>
      <c r="C1059" s="3981">
        <v>8215</v>
      </c>
      <c r="D1059" s="3626">
        <v>6539</v>
      </c>
      <c r="E1059" s="3626">
        <v>8215</v>
      </c>
      <c r="F1059" s="3626">
        <v>6804</v>
      </c>
    </row>
    <row r="1060" spans="1:6" ht="15.75">
      <c r="A1060" s="3021">
        <v>49800</v>
      </c>
      <c r="B1060" s="3021">
        <v>49850</v>
      </c>
      <c r="C1060" s="3981">
        <v>8228</v>
      </c>
      <c r="D1060" s="3626">
        <v>6546</v>
      </c>
      <c r="E1060" s="3626">
        <v>8228</v>
      </c>
      <c r="F1060" s="3626">
        <v>6811</v>
      </c>
    </row>
    <row r="1061" spans="1:6" ht="15.75">
      <c r="A1061" s="3021">
        <v>49850</v>
      </c>
      <c r="B1061" s="3021">
        <v>49900</v>
      </c>
      <c r="C1061" s="3981">
        <v>8240</v>
      </c>
      <c r="D1061" s="3626">
        <v>6554</v>
      </c>
      <c r="E1061" s="3626">
        <v>8240</v>
      </c>
      <c r="F1061" s="3626">
        <v>6819</v>
      </c>
    </row>
    <row r="1062" spans="1:6" ht="15.75">
      <c r="A1062" s="3021">
        <v>49900</v>
      </c>
      <c r="B1062" s="3021">
        <v>49950</v>
      </c>
      <c r="C1062" s="3981">
        <v>8253</v>
      </c>
      <c r="D1062" s="3626">
        <v>6561</v>
      </c>
      <c r="E1062" s="3626">
        <v>8253</v>
      </c>
      <c r="F1062" s="3626">
        <v>6826</v>
      </c>
    </row>
    <row r="1063" spans="1:6" ht="15.75">
      <c r="A1063" s="3021">
        <v>49950</v>
      </c>
      <c r="B1063" s="3021">
        <v>50000</v>
      </c>
      <c r="C1063" s="3981">
        <v>8265</v>
      </c>
      <c r="D1063" s="3626">
        <v>6569</v>
      </c>
      <c r="E1063" s="3626">
        <v>8265</v>
      </c>
      <c r="F1063" s="3626">
        <v>6834</v>
      </c>
    </row>
    <row r="1064" spans="1:6" ht="15.75">
      <c r="A1064" s="3021">
        <v>50000</v>
      </c>
      <c r="B1064" s="3021">
        <v>50050</v>
      </c>
      <c r="C1064" s="3981">
        <v>8278</v>
      </c>
      <c r="D1064" s="3626">
        <v>6576</v>
      </c>
      <c r="E1064" s="3626">
        <v>8278</v>
      </c>
      <c r="F1064" s="3626">
        <v>6841</v>
      </c>
    </row>
    <row r="1065" spans="1:6" ht="15.75">
      <c r="A1065" s="3021">
        <v>50050</v>
      </c>
      <c r="B1065" s="3021">
        <v>50100</v>
      </c>
      <c r="C1065" s="3981">
        <v>8290</v>
      </c>
      <c r="D1065" s="3626">
        <v>6584</v>
      </c>
      <c r="E1065" s="3626">
        <v>8290</v>
      </c>
      <c r="F1065" s="3626">
        <v>6849</v>
      </c>
    </row>
    <row r="1066" spans="1:6" ht="15.75">
      <c r="A1066" s="3021">
        <v>50100</v>
      </c>
      <c r="B1066" s="3021">
        <v>50150</v>
      </c>
      <c r="C1066" s="3981">
        <v>8303</v>
      </c>
      <c r="D1066" s="3626">
        <v>6591</v>
      </c>
      <c r="E1066" s="3626">
        <v>8303</v>
      </c>
      <c r="F1066" s="3626">
        <v>6856</v>
      </c>
    </row>
    <row r="1067" spans="1:6" ht="15.75">
      <c r="A1067" s="3021">
        <v>50150</v>
      </c>
      <c r="B1067" s="3021">
        <v>50200</v>
      </c>
      <c r="C1067" s="3981">
        <v>8315</v>
      </c>
      <c r="D1067" s="3626">
        <v>6599</v>
      </c>
      <c r="E1067" s="3626">
        <v>8315</v>
      </c>
      <c r="F1067" s="3626">
        <v>6864</v>
      </c>
    </row>
    <row r="1068" spans="1:6" ht="15.75">
      <c r="A1068" s="3021">
        <v>50200</v>
      </c>
      <c r="B1068" s="3021">
        <v>50250</v>
      </c>
      <c r="C1068" s="3981">
        <v>8328</v>
      </c>
      <c r="D1068" s="3626">
        <v>6606</v>
      </c>
      <c r="E1068" s="3626">
        <v>8328</v>
      </c>
      <c r="F1068" s="3626">
        <v>6871</v>
      </c>
    </row>
    <row r="1069" spans="1:6" ht="15.75">
      <c r="A1069" s="3021">
        <v>50250</v>
      </c>
      <c r="B1069" s="3021">
        <v>50300</v>
      </c>
      <c r="C1069" s="3981">
        <v>8340</v>
      </c>
      <c r="D1069" s="3626">
        <v>6614</v>
      </c>
      <c r="E1069" s="3626">
        <v>8340</v>
      </c>
      <c r="F1069" s="3626">
        <v>6879</v>
      </c>
    </row>
    <row r="1070" spans="1:6" ht="15.75">
      <c r="A1070" s="3021">
        <v>50300</v>
      </c>
      <c r="B1070" s="3021">
        <v>50350</v>
      </c>
      <c r="C1070" s="3981">
        <v>8353</v>
      </c>
      <c r="D1070" s="3626">
        <v>6621</v>
      </c>
      <c r="E1070" s="3626">
        <v>8353</v>
      </c>
      <c r="F1070" s="3626">
        <v>6886</v>
      </c>
    </row>
    <row r="1071" spans="1:6" ht="15.75">
      <c r="A1071" s="3021">
        <v>50350</v>
      </c>
      <c r="B1071" s="3021">
        <v>50400</v>
      </c>
      <c r="C1071" s="3981">
        <v>8365</v>
      </c>
      <c r="D1071" s="3626">
        <v>6629</v>
      </c>
      <c r="E1071" s="3626">
        <v>8365</v>
      </c>
      <c r="F1071" s="3626">
        <v>6894</v>
      </c>
    </row>
    <row r="1072" spans="1:6" ht="15.75">
      <c r="A1072" s="3021">
        <v>50400</v>
      </c>
      <c r="B1072" s="3021">
        <v>50450</v>
      </c>
      <c r="C1072" s="3981">
        <v>8378</v>
      </c>
      <c r="D1072" s="3626">
        <v>6636</v>
      </c>
      <c r="E1072" s="3626">
        <v>8378</v>
      </c>
      <c r="F1072" s="3626">
        <v>6904</v>
      </c>
    </row>
    <row r="1073" spans="1:6" ht="15.75">
      <c r="A1073" s="3021">
        <v>50450</v>
      </c>
      <c r="B1073" s="3021">
        <v>50500</v>
      </c>
      <c r="C1073" s="3981">
        <v>8390</v>
      </c>
      <c r="D1073" s="3626">
        <v>6644</v>
      </c>
      <c r="E1073" s="3626">
        <v>8390</v>
      </c>
      <c r="F1073" s="3626">
        <v>6916</v>
      </c>
    </row>
    <row r="1074" spans="1:6" ht="15.75">
      <c r="A1074" s="3021">
        <v>50500</v>
      </c>
      <c r="B1074" s="3021">
        <v>50550</v>
      </c>
      <c r="C1074" s="3981">
        <v>8403</v>
      </c>
      <c r="D1074" s="3626">
        <v>6651</v>
      </c>
      <c r="E1074" s="3626">
        <v>8403</v>
      </c>
      <c r="F1074" s="3626">
        <v>6929</v>
      </c>
    </row>
    <row r="1075" spans="1:6" ht="15.75">
      <c r="A1075" s="3021">
        <v>50550</v>
      </c>
      <c r="B1075" s="3021">
        <v>50600</v>
      </c>
      <c r="C1075" s="3981">
        <v>8415</v>
      </c>
      <c r="D1075" s="3626">
        <v>6659</v>
      </c>
      <c r="E1075" s="3626">
        <v>8415</v>
      </c>
      <c r="F1075" s="3626">
        <v>6941</v>
      </c>
    </row>
    <row r="1076" spans="1:6" ht="15.75">
      <c r="A1076" s="3021">
        <v>50600</v>
      </c>
      <c r="B1076" s="3021">
        <v>50650</v>
      </c>
      <c r="C1076" s="3981">
        <v>8428</v>
      </c>
      <c r="D1076" s="3626">
        <v>6666</v>
      </c>
      <c r="E1076" s="3626">
        <v>8428</v>
      </c>
      <c r="F1076" s="3626">
        <v>6954</v>
      </c>
    </row>
    <row r="1077" spans="1:6" ht="15.75">
      <c r="A1077" s="3021">
        <v>50650</v>
      </c>
      <c r="B1077" s="3021">
        <v>50700</v>
      </c>
      <c r="C1077" s="3981">
        <v>8440</v>
      </c>
      <c r="D1077" s="3626">
        <v>6674</v>
      </c>
      <c r="E1077" s="3626">
        <v>8440</v>
      </c>
      <c r="F1077" s="3626">
        <v>6966</v>
      </c>
    </row>
    <row r="1078" spans="1:6" ht="15.75">
      <c r="A1078" s="3021">
        <v>50700</v>
      </c>
      <c r="B1078" s="3021">
        <v>50750</v>
      </c>
      <c r="C1078" s="3981">
        <v>8453</v>
      </c>
      <c r="D1078" s="3626">
        <v>6681</v>
      </c>
      <c r="E1078" s="3626">
        <v>8453</v>
      </c>
      <c r="F1078" s="3626">
        <v>6979</v>
      </c>
    </row>
    <row r="1079" spans="1:6" ht="15.75">
      <c r="A1079" s="3021">
        <v>50750</v>
      </c>
      <c r="B1079" s="3021">
        <v>50800</v>
      </c>
      <c r="C1079" s="3981">
        <v>8465</v>
      </c>
      <c r="D1079" s="3626">
        <v>6689</v>
      </c>
      <c r="E1079" s="3626">
        <v>8465</v>
      </c>
      <c r="F1079" s="3626">
        <v>6991</v>
      </c>
    </row>
    <row r="1080" spans="1:6" ht="15.75">
      <c r="A1080" s="3021">
        <v>50800</v>
      </c>
      <c r="B1080" s="3021">
        <v>50850</v>
      </c>
      <c r="C1080" s="3981">
        <v>8478</v>
      </c>
      <c r="D1080" s="3626">
        <v>6696</v>
      </c>
      <c r="E1080" s="3626">
        <v>8478</v>
      </c>
      <c r="F1080" s="3626">
        <v>7004</v>
      </c>
    </row>
    <row r="1081" spans="1:6" ht="15.75">
      <c r="A1081" s="3021">
        <v>50850</v>
      </c>
      <c r="B1081" s="3021">
        <v>50900</v>
      </c>
      <c r="C1081" s="3981">
        <v>8490</v>
      </c>
      <c r="D1081" s="3626">
        <v>6704</v>
      </c>
      <c r="E1081" s="3626">
        <v>8490</v>
      </c>
      <c r="F1081" s="3626">
        <v>7016</v>
      </c>
    </row>
    <row r="1082" spans="1:6" ht="15.75">
      <c r="A1082" s="3021">
        <v>50900</v>
      </c>
      <c r="B1082" s="3021">
        <v>50950</v>
      </c>
      <c r="C1082" s="3981">
        <v>8503</v>
      </c>
      <c r="D1082" s="3626">
        <v>6711</v>
      </c>
      <c r="E1082" s="3626">
        <v>8503</v>
      </c>
      <c r="F1082" s="3626">
        <v>7029</v>
      </c>
    </row>
    <row r="1083" spans="1:6" ht="15.75">
      <c r="A1083" s="3021">
        <v>50950</v>
      </c>
      <c r="B1083" s="3021">
        <v>51000</v>
      </c>
      <c r="C1083" s="3981">
        <v>8515</v>
      </c>
      <c r="D1083" s="3626">
        <v>6719</v>
      </c>
      <c r="E1083" s="3626">
        <v>8515</v>
      </c>
      <c r="F1083" s="3626">
        <v>7041</v>
      </c>
    </row>
    <row r="1084" spans="1:6" ht="15.75">
      <c r="A1084" s="3021">
        <v>51000</v>
      </c>
      <c r="B1084" s="3021">
        <v>51050</v>
      </c>
      <c r="C1084" s="3981">
        <v>8528</v>
      </c>
      <c r="D1084" s="3626">
        <v>6726</v>
      </c>
      <c r="E1084" s="3626">
        <v>8528</v>
      </c>
      <c r="F1084" s="3626">
        <v>7054</v>
      </c>
    </row>
    <row r="1085" spans="1:6" ht="15.75">
      <c r="A1085" s="3021">
        <v>51050</v>
      </c>
      <c r="B1085" s="3021">
        <v>51100</v>
      </c>
      <c r="C1085" s="3981">
        <v>8540</v>
      </c>
      <c r="D1085" s="3626">
        <v>6734</v>
      </c>
      <c r="E1085" s="3626">
        <v>8540</v>
      </c>
      <c r="F1085" s="3626">
        <v>7066</v>
      </c>
    </row>
    <row r="1086" spans="1:6" ht="15.75">
      <c r="A1086" s="3021">
        <v>51100</v>
      </c>
      <c r="B1086" s="3021">
        <v>51150</v>
      </c>
      <c r="C1086" s="3981">
        <v>8553</v>
      </c>
      <c r="D1086" s="3626">
        <v>6741</v>
      </c>
      <c r="E1086" s="3626">
        <v>8553</v>
      </c>
      <c r="F1086" s="3626">
        <v>7079</v>
      </c>
    </row>
    <row r="1087" spans="1:6" ht="15.75">
      <c r="A1087" s="3021">
        <v>51150</v>
      </c>
      <c r="B1087" s="3021">
        <v>51200</v>
      </c>
      <c r="C1087" s="3981">
        <v>8565</v>
      </c>
      <c r="D1087" s="3626">
        <v>6749</v>
      </c>
      <c r="E1087" s="3626">
        <v>8565</v>
      </c>
      <c r="F1087" s="3626">
        <v>7091</v>
      </c>
    </row>
    <row r="1088" spans="1:6" ht="15.75">
      <c r="A1088" s="3021">
        <v>51200</v>
      </c>
      <c r="B1088" s="3021">
        <v>51250</v>
      </c>
      <c r="C1088" s="3981">
        <v>8578</v>
      </c>
      <c r="D1088" s="3626">
        <v>6756</v>
      </c>
      <c r="E1088" s="3626">
        <v>8578</v>
      </c>
      <c r="F1088" s="3626">
        <v>7104</v>
      </c>
    </row>
    <row r="1089" spans="1:6" ht="15.75">
      <c r="A1089" s="3021">
        <v>51250</v>
      </c>
      <c r="B1089" s="3021">
        <v>51300</v>
      </c>
      <c r="C1089" s="3981">
        <v>8590</v>
      </c>
      <c r="D1089" s="3626">
        <v>6764</v>
      </c>
      <c r="E1089" s="3626">
        <v>8590</v>
      </c>
      <c r="F1089" s="3626">
        <v>7116</v>
      </c>
    </row>
    <row r="1090" spans="1:6" ht="15.75">
      <c r="A1090" s="3021">
        <v>51300</v>
      </c>
      <c r="B1090" s="3021">
        <v>51350</v>
      </c>
      <c r="C1090" s="3981">
        <v>8603</v>
      </c>
      <c r="D1090" s="3626">
        <v>6771</v>
      </c>
      <c r="E1090" s="3626">
        <v>8603</v>
      </c>
      <c r="F1090" s="3626">
        <v>7129</v>
      </c>
    </row>
    <row r="1091" spans="1:6" ht="15.75">
      <c r="A1091" s="3021">
        <v>51350</v>
      </c>
      <c r="B1091" s="3021">
        <v>51400</v>
      </c>
      <c r="C1091" s="3981">
        <v>8615</v>
      </c>
      <c r="D1091" s="3626">
        <v>6779</v>
      </c>
      <c r="E1091" s="3626">
        <v>8615</v>
      </c>
      <c r="F1091" s="3626">
        <v>7141</v>
      </c>
    </row>
    <row r="1092" spans="1:6" ht="15.75">
      <c r="A1092" s="3021">
        <v>51400</v>
      </c>
      <c r="B1092" s="3021">
        <v>51450</v>
      </c>
      <c r="C1092" s="3981">
        <v>8628</v>
      </c>
      <c r="D1092" s="3626">
        <v>6786</v>
      </c>
      <c r="E1092" s="3626">
        <v>8628</v>
      </c>
      <c r="F1092" s="3626">
        <v>7154</v>
      </c>
    </row>
    <row r="1093" spans="1:6" ht="15.75">
      <c r="A1093" s="3021">
        <v>51450</v>
      </c>
      <c r="B1093" s="3021">
        <v>51500</v>
      </c>
      <c r="C1093" s="3981">
        <v>8640</v>
      </c>
      <c r="D1093" s="3626">
        <v>6794</v>
      </c>
      <c r="E1093" s="3626">
        <v>8640</v>
      </c>
      <c r="F1093" s="3626">
        <v>7166</v>
      </c>
    </row>
    <row r="1094" spans="1:6" ht="15.75">
      <c r="A1094" s="3021">
        <v>51500</v>
      </c>
      <c r="B1094" s="3021">
        <v>51550</v>
      </c>
      <c r="C1094" s="3981">
        <v>8653</v>
      </c>
      <c r="D1094" s="3626">
        <v>6801</v>
      </c>
      <c r="E1094" s="3626">
        <v>8653</v>
      </c>
      <c r="F1094" s="3626">
        <v>7179</v>
      </c>
    </row>
    <row r="1095" spans="1:6" ht="15.75">
      <c r="A1095" s="3021">
        <v>51550</v>
      </c>
      <c r="B1095" s="3021">
        <v>51600</v>
      </c>
      <c r="C1095" s="3981">
        <v>8665</v>
      </c>
      <c r="D1095" s="3626">
        <v>6809</v>
      </c>
      <c r="E1095" s="3626">
        <v>8665</v>
      </c>
      <c r="F1095" s="3626">
        <v>7191</v>
      </c>
    </row>
    <row r="1096" spans="1:6" ht="15.75">
      <c r="A1096" s="3021">
        <v>51600</v>
      </c>
      <c r="B1096" s="3021">
        <v>51650</v>
      </c>
      <c r="C1096" s="3981">
        <v>8678</v>
      </c>
      <c r="D1096" s="3626">
        <v>6816</v>
      </c>
      <c r="E1096" s="3626">
        <v>8678</v>
      </c>
      <c r="F1096" s="3626">
        <v>7204</v>
      </c>
    </row>
    <row r="1097" spans="1:6" ht="15.75">
      <c r="A1097" s="3021">
        <v>51650</v>
      </c>
      <c r="B1097" s="3021">
        <v>51700</v>
      </c>
      <c r="C1097" s="3981">
        <v>8690</v>
      </c>
      <c r="D1097" s="3626">
        <v>6824</v>
      </c>
      <c r="E1097" s="3626">
        <v>8690</v>
      </c>
      <c r="F1097" s="3626">
        <v>7216</v>
      </c>
    </row>
    <row r="1098" spans="1:6" ht="15.75">
      <c r="A1098" s="3021">
        <v>51700</v>
      </c>
      <c r="B1098" s="3021">
        <v>51750</v>
      </c>
      <c r="C1098" s="3981">
        <v>8703</v>
      </c>
      <c r="D1098" s="3626">
        <v>6831</v>
      </c>
      <c r="E1098" s="3626">
        <v>8703</v>
      </c>
      <c r="F1098" s="3626">
        <v>7229</v>
      </c>
    </row>
    <row r="1099" spans="1:6" ht="15.75">
      <c r="A1099" s="3021">
        <v>51750</v>
      </c>
      <c r="B1099" s="3021">
        <v>51800</v>
      </c>
      <c r="C1099" s="3981">
        <v>8715</v>
      </c>
      <c r="D1099" s="3626">
        <v>6839</v>
      </c>
      <c r="E1099" s="3626">
        <v>8715</v>
      </c>
      <c r="F1099" s="3626">
        <v>7241</v>
      </c>
    </row>
    <row r="1100" spans="1:6" ht="15.75">
      <c r="A1100" s="3021">
        <v>51800</v>
      </c>
      <c r="B1100" s="3021">
        <v>51850</v>
      </c>
      <c r="C1100" s="3981">
        <v>8728</v>
      </c>
      <c r="D1100" s="3626">
        <v>6846</v>
      </c>
      <c r="E1100" s="3626">
        <v>8728</v>
      </c>
      <c r="F1100" s="3626">
        <v>7254</v>
      </c>
    </row>
    <row r="1101" spans="1:6" ht="15.75">
      <c r="A1101" s="3021">
        <v>51850</v>
      </c>
      <c r="B1101" s="3021">
        <v>51900</v>
      </c>
      <c r="C1101" s="3981">
        <v>8740</v>
      </c>
      <c r="D1101" s="3626">
        <v>6854</v>
      </c>
      <c r="E1101" s="3626">
        <v>8740</v>
      </c>
      <c r="F1101" s="3626">
        <v>7266</v>
      </c>
    </row>
    <row r="1102" spans="1:6" ht="15.75">
      <c r="A1102" s="3021">
        <v>51900</v>
      </c>
      <c r="B1102" s="3021">
        <v>51950</v>
      </c>
      <c r="C1102" s="3981">
        <v>8753</v>
      </c>
      <c r="D1102" s="3626">
        <v>6861</v>
      </c>
      <c r="E1102" s="3626">
        <v>8753</v>
      </c>
      <c r="F1102" s="3626">
        <v>7279</v>
      </c>
    </row>
    <row r="1103" spans="1:6" ht="15.75">
      <c r="A1103" s="3021">
        <v>51950</v>
      </c>
      <c r="B1103" s="3021">
        <v>52000</v>
      </c>
      <c r="C1103" s="3981">
        <v>8765</v>
      </c>
      <c r="D1103" s="3626">
        <v>6869</v>
      </c>
      <c r="E1103" s="3626">
        <v>8765</v>
      </c>
      <c r="F1103" s="3626">
        <v>7291</v>
      </c>
    </row>
    <row r="1104" spans="1:6" ht="15.75">
      <c r="A1104" s="3021">
        <v>52000</v>
      </c>
      <c r="B1104" s="3021">
        <v>52050</v>
      </c>
      <c r="C1104" s="3981">
        <v>8778</v>
      </c>
      <c r="D1104" s="3626">
        <v>6876</v>
      </c>
      <c r="E1104" s="3626">
        <v>8778</v>
      </c>
      <c r="F1104" s="3626">
        <v>7304</v>
      </c>
    </row>
    <row r="1105" spans="1:6" ht="15.75">
      <c r="A1105" s="3021">
        <v>52050</v>
      </c>
      <c r="B1105" s="3021">
        <v>52100</v>
      </c>
      <c r="C1105" s="3981">
        <v>8790</v>
      </c>
      <c r="D1105" s="3626">
        <v>6884</v>
      </c>
      <c r="E1105" s="3626">
        <v>8790</v>
      </c>
      <c r="F1105" s="3626">
        <v>7316</v>
      </c>
    </row>
    <row r="1106" spans="1:6" ht="15.75">
      <c r="A1106" s="3021">
        <v>52100</v>
      </c>
      <c r="B1106" s="3021">
        <v>52150</v>
      </c>
      <c r="C1106" s="3981">
        <v>8803</v>
      </c>
      <c r="D1106" s="3626">
        <v>6891</v>
      </c>
      <c r="E1106" s="3626">
        <v>8803</v>
      </c>
      <c r="F1106" s="3626">
        <v>7329</v>
      </c>
    </row>
    <row r="1107" spans="1:6" ht="15.75">
      <c r="A1107" s="3021">
        <v>52150</v>
      </c>
      <c r="B1107" s="3021">
        <v>52200</v>
      </c>
      <c r="C1107" s="3981">
        <v>8815</v>
      </c>
      <c r="D1107" s="3626">
        <v>6899</v>
      </c>
      <c r="E1107" s="3626">
        <v>8815</v>
      </c>
      <c r="F1107" s="3626">
        <v>7341</v>
      </c>
    </row>
    <row r="1108" spans="1:6" ht="15.75">
      <c r="A1108" s="3021">
        <v>52200</v>
      </c>
      <c r="B1108" s="3021">
        <v>52250</v>
      </c>
      <c r="C1108" s="3981">
        <v>8828</v>
      </c>
      <c r="D1108" s="3626">
        <v>6906</v>
      </c>
      <c r="E1108" s="3626">
        <v>8828</v>
      </c>
      <c r="F1108" s="3626">
        <v>7354</v>
      </c>
    </row>
    <row r="1109" spans="1:6" ht="15.75">
      <c r="A1109" s="3021">
        <v>52250</v>
      </c>
      <c r="B1109" s="3021">
        <v>52300</v>
      </c>
      <c r="C1109" s="3981">
        <v>8840</v>
      </c>
      <c r="D1109" s="3626">
        <v>6914</v>
      </c>
      <c r="E1109" s="3626">
        <v>8840</v>
      </c>
      <c r="F1109" s="3626">
        <v>7366</v>
      </c>
    </row>
    <row r="1110" spans="1:6" ht="15.75">
      <c r="A1110" s="3021">
        <v>52300</v>
      </c>
      <c r="B1110" s="3021">
        <v>52350</v>
      </c>
      <c r="C1110" s="3981">
        <v>8853</v>
      </c>
      <c r="D1110" s="3626">
        <v>6921</v>
      </c>
      <c r="E1110" s="3626">
        <v>8853</v>
      </c>
      <c r="F1110" s="3626">
        <v>7379</v>
      </c>
    </row>
    <row r="1111" spans="1:6" ht="15.75">
      <c r="A1111" s="3021">
        <v>52350</v>
      </c>
      <c r="B1111" s="3021">
        <v>52400</v>
      </c>
      <c r="C1111" s="3981">
        <v>8865</v>
      </c>
      <c r="D1111" s="3626">
        <v>6929</v>
      </c>
      <c r="E1111" s="3626">
        <v>8865</v>
      </c>
      <c r="F1111" s="3626">
        <v>7391</v>
      </c>
    </row>
    <row r="1112" spans="1:6" ht="15.75">
      <c r="A1112" s="3021">
        <v>52400</v>
      </c>
      <c r="B1112" s="3021">
        <v>52450</v>
      </c>
      <c r="C1112" s="3981">
        <v>8878</v>
      </c>
      <c r="D1112" s="3626">
        <v>6936</v>
      </c>
      <c r="E1112" s="3626">
        <v>8878</v>
      </c>
      <c r="F1112" s="3626">
        <v>7404</v>
      </c>
    </row>
    <row r="1113" spans="1:6" ht="15.75">
      <c r="A1113" s="3021">
        <v>52450</v>
      </c>
      <c r="B1113" s="3021">
        <v>52500</v>
      </c>
      <c r="C1113" s="3981">
        <v>8890</v>
      </c>
      <c r="D1113" s="3626">
        <v>6944</v>
      </c>
      <c r="E1113" s="3626">
        <v>8890</v>
      </c>
      <c r="F1113" s="3626">
        <v>7416</v>
      </c>
    </row>
    <row r="1114" spans="1:6" ht="15.75">
      <c r="A1114" s="3021">
        <v>52500</v>
      </c>
      <c r="B1114" s="3021">
        <v>52550</v>
      </c>
      <c r="C1114" s="3981">
        <v>8903</v>
      </c>
      <c r="D1114" s="3626">
        <v>6951</v>
      </c>
      <c r="E1114" s="3626">
        <v>8903</v>
      </c>
      <c r="F1114" s="3626">
        <v>7429</v>
      </c>
    </row>
    <row r="1115" spans="1:6" ht="15.75">
      <c r="A1115" s="3021">
        <v>52550</v>
      </c>
      <c r="B1115" s="3021">
        <v>52600</v>
      </c>
      <c r="C1115" s="3981">
        <v>8915</v>
      </c>
      <c r="D1115" s="3626">
        <v>6959</v>
      </c>
      <c r="E1115" s="3626">
        <v>8915</v>
      </c>
      <c r="F1115" s="3626">
        <v>7441</v>
      </c>
    </row>
    <row r="1116" spans="1:6" ht="15.75">
      <c r="A1116" s="3021">
        <v>52600</v>
      </c>
      <c r="B1116" s="3021">
        <v>52650</v>
      </c>
      <c r="C1116" s="3981">
        <v>8928</v>
      </c>
      <c r="D1116" s="3626">
        <v>6966</v>
      </c>
      <c r="E1116" s="3626">
        <v>8928</v>
      </c>
      <c r="F1116" s="3626">
        <v>7454</v>
      </c>
    </row>
    <row r="1117" spans="1:6" ht="15.75">
      <c r="A1117" s="3021">
        <v>52650</v>
      </c>
      <c r="B1117" s="3021">
        <v>52700</v>
      </c>
      <c r="C1117" s="3981">
        <v>8940</v>
      </c>
      <c r="D1117" s="3626">
        <v>6974</v>
      </c>
      <c r="E1117" s="3626">
        <v>8940</v>
      </c>
      <c r="F1117" s="3626">
        <v>7466</v>
      </c>
    </row>
    <row r="1118" spans="1:6" ht="15.75">
      <c r="A1118" s="3021">
        <v>52700</v>
      </c>
      <c r="B1118" s="3021">
        <v>52750</v>
      </c>
      <c r="C1118" s="3981">
        <v>8953</v>
      </c>
      <c r="D1118" s="3626">
        <v>6981</v>
      </c>
      <c r="E1118" s="3626">
        <v>8953</v>
      </c>
      <c r="F1118" s="3626">
        <v>7479</v>
      </c>
    </row>
    <row r="1119" spans="1:6" ht="15.75">
      <c r="A1119" s="3021">
        <v>52750</v>
      </c>
      <c r="B1119" s="3021">
        <v>52800</v>
      </c>
      <c r="C1119" s="3981">
        <v>8965</v>
      </c>
      <c r="D1119" s="3626">
        <v>6989</v>
      </c>
      <c r="E1119" s="3626">
        <v>8965</v>
      </c>
      <c r="F1119" s="3626">
        <v>7491</v>
      </c>
    </row>
    <row r="1120" spans="1:6" ht="15.75">
      <c r="A1120" s="3021">
        <v>52800</v>
      </c>
      <c r="B1120" s="3021">
        <v>52850</v>
      </c>
      <c r="C1120" s="3981">
        <v>8978</v>
      </c>
      <c r="D1120" s="3626">
        <v>6996</v>
      </c>
      <c r="E1120" s="3626">
        <v>8978</v>
      </c>
      <c r="F1120" s="3626">
        <v>7504</v>
      </c>
    </row>
    <row r="1121" spans="1:6" ht="15.75">
      <c r="A1121" s="3021">
        <v>52850</v>
      </c>
      <c r="B1121" s="3021">
        <v>52900</v>
      </c>
      <c r="C1121" s="3981">
        <v>8990</v>
      </c>
      <c r="D1121" s="3626">
        <v>7004</v>
      </c>
      <c r="E1121" s="3626">
        <v>8990</v>
      </c>
      <c r="F1121" s="3626">
        <v>7516</v>
      </c>
    </row>
    <row r="1122" spans="1:6" ht="15.75">
      <c r="A1122" s="3021">
        <v>52900</v>
      </c>
      <c r="B1122" s="3021">
        <v>52950</v>
      </c>
      <c r="C1122" s="3981">
        <v>9003</v>
      </c>
      <c r="D1122" s="3626">
        <v>7011</v>
      </c>
      <c r="E1122" s="3626">
        <v>9003</v>
      </c>
      <c r="F1122" s="3626">
        <v>7529</v>
      </c>
    </row>
    <row r="1123" spans="1:6" ht="15.75">
      <c r="A1123" s="3021">
        <v>52950</v>
      </c>
      <c r="B1123" s="3021">
        <v>53000</v>
      </c>
      <c r="C1123" s="3981">
        <v>9015</v>
      </c>
      <c r="D1123" s="3626">
        <v>7019</v>
      </c>
      <c r="E1123" s="3626">
        <v>9015</v>
      </c>
      <c r="F1123" s="3626">
        <v>7541</v>
      </c>
    </row>
    <row r="1124" spans="1:6" ht="15.75">
      <c r="A1124" s="3021">
        <v>53000</v>
      </c>
      <c r="B1124" s="3021">
        <v>53050</v>
      </c>
      <c r="C1124" s="3981">
        <v>9028</v>
      </c>
      <c r="D1124" s="3626">
        <v>7026</v>
      </c>
      <c r="E1124" s="3626">
        <v>9028</v>
      </c>
      <c r="F1124" s="3626">
        <v>7554</v>
      </c>
    </row>
    <row r="1125" spans="1:6" ht="15.75">
      <c r="A1125" s="3021">
        <v>53050</v>
      </c>
      <c r="B1125" s="3021">
        <v>53100</v>
      </c>
      <c r="C1125" s="3981">
        <v>9040</v>
      </c>
      <c r="D1125" s="3626">
        <v>7034</v>
      </c>
      <c r="E1125" s="3626">
        <v>9040</v>
      </c>
      <c r="F1125" s="3626">
        <v>7566</v>
      </c>
    </row>
    <row r="1126" spans="1:6" ht="15.75">
      <c r="A1126" s="3021">
        <v>53100</v>
      </c>
      <c r="B1126" s="3021">
        <v>53150</v>
      </c>
      <c r="C1126" s="3981">
        <v>9053</v>
      </c>
      <c r="D1126" s="3626">
        <v>7041</v>
      </c>
      <c r="E1126" s="3626">
        <v>9053</v>
      </c>
      <c r="F1126" s="3626">
        <v>7579</v>
      </c>
    </row>
    <row r="1127" spans="1:6" ht="15.75">
      <c r="A1127" s="3021">
        <v>53150</v>
      </c>
      <c r="B1127" s="3021">
        <v>53200</v>
      </c>
      <c r="C1127" s="3981">
        <v>9065</v>
      </c>
      <c r="D1127" s="3626">
        <v>7049</v>
      </c>
      <c r="E1127" s="3626">
        <v>9065</v>
      </c>
      <c r="F1127" s="3626">
        <v>7591</v>
      </c>
    </row>
    <row r="1128" spans="1:6" ht="15.75">
      <c r="A1128" s="3021">
        <v>53200</v>
      </c>
      <c r="B1128" s="3021">
        <v>53250</v>
      </c>
      <c r="C1128" s="3981">
        <v>9078</v>
      </c>
      <c r="D1128" s="3626">
        <v>7056</v>
      </c>
      <c r="E1128" s="3626">
        <v>9078</v>
      </c>
      <c r="F1128" s="3626">
        <v>7604</v>
      </c>
    </row>
    <row r="1129" spans="1:6" ht="15.75">
      <c r="A1129" s="3021">
        <v>53250</v>
      </c>
      <c r="B1129" s="3021">
        <v>53300</v>
      </c>
      <c r="C1129" s="3981">
        <v>9090</v>
      </c>
      <c r="D1129" s="3626">
        <v>7064</v>
      </c>
      <c r="E1129" s="3626">
        <v>9090</v>
      </c>
      <c r="F1129" s="3626">
        <v>7616</v>
      </c>
    </row>
    <row r="1130" spans="1:6" ht="15.75">
      <c r="A1130" s="3021">
        <v>53300</v>
      </c>
      <c r="B1130" s="3021">
        <v>53350</v>
      </c>
      <c r="C1130" s="3981">
        <v>9103</v>
      </c>
      <c r="D1130" s="3626">
        <v>7071</v>
      </c>
      <c r="E1130" s="3626">
        <v>9103</v>
      </c>
      <c r="F1130" s="3626">
        <v>7629</v>
      </c>
    </row>
    <row r="1131" spans="1:6" ht="15.75">
      <c r="A1131" s="3021">
        <v>53350</v>
      </c>
      <c r="B1131" s="3021">
        <v>53400</v>
      </c>
      <c r="C1131" s="3981">
        <v>9115</v>
      </c>
      <c r="D1131" s="3626">
        <v>7079</v>
      </c>
      <c r="E1131" s="3626">
        <v>9115</v>
      </c>
      <c r="F1131" s="3626">
        <v>7641</v>
      </c>
    </row>
    <row r="1132" spans="1:6" ht="15.75">
      <c r="A1132" s="3021">
        <v>53400</v>
      </c>
      <c r="B1132" s="3021">
        <v>53450</v>
      </c>
      <c r="C1132" s="3981">
        <v>9128</v>
      </c>
      <c r="D1132" s="3626">
        <v>7086</v>
      </c>
      <c r="E1132" s="3626">
        <v>9128</v>
      </c>
      <c r="F1132" s="3626">
        <v>7654</v>
      </c>
    </row>
    <row r="1133" spans="1:6" ht="15.75">
      <c r="A1133" s="3021">
        <v>53450</v>
      </c>
      <c r="B1133" s="3021">
        <v>53500</v>
      </c>
      <c r="C1133" s="3981">
        <v>9140</v>
      </c>
      <c r="D1133" s="3626">
        <v>7094</v>
      </c>
      <c r="E1133" s="3626">
        <v>9140</v>
      </c>
      <c r="F1133" s="3626">
        <v>7666</v>
      </c>
    </row>
    <row r="1134" spans="1:6" ht="15.75">
      <c r="A1134" s="3021">
        <v>53500</v>
      </c>
      <c r="B1134" s="3021">
        <v>53550</v>
      </c>
      <c r="C1134" s="3981">
        <v>9153</v>
      </c>
      <c r="D1134" s="3626">
        <v>7101</v>
      </c>
      <c r="E1134" s="3626">
        <v>9153</v>
      </c>
      <c r="F1134" s="3626">
        <v>7679</v>
      </c>
    </row>
    <row r="1135" spans="1:6" ht="15.75">
      <c r="A1135" s="3021">
        <v>53550</v>
      </c>
      <c r="B1135" s="3021">
        <v>53600</v>
      </c>
      <c r="C1135" s="3981">
        <v>9165</v>
      </c>
      <c r="D1135" s="3626">
        <v>7109</v>
      </c>
      <c r="E1135" s="3626">
        <v>9165</v>
      </c>
      <c r="F1135" s="3626">
        <v>7691</v>
      </c>
    </row>
    <row r="1136" spans="1:6" ht="15.75">
      <c r="A1136" s="3021">
        <v>53600</v>
      </c>
      <c r="B1136" s="3021">
        <v>53650</v>
      </c>
      <c r="C1136" s="3981">
        <v>9178</v>
      </c>
      <c r="D1136" s="3626">
        <v>7116</v>
      </c>
      <c r="E1136" s="3626">
        <v>9178</v>
      </c>
      <c r="F1136" s="3626">
        <v>7704</v>
      </c>
    </row>
    <row r="1137" spans="1:6" ht="15.75">
      <c r="A1137" s="3021">
        <v>53650</v>
      </c>
      <c r="B1137" s="3021">
        <v>53700</v>
      </c>
      <c r="C1137" s="3981">
        <v>9190</v>
      </c>
      <c r="D1137" s="3626">
        <v>7124</v>
      </c>
      <c r="E1137" s="3626">
        <v>9190</v>
      </c>
      <c r="F1137" s="3626">
        <v>7716</v>
      </c>
    </row>
    <row r="1138" spans="1:6" ht="15.75">
      <c r="A1138" s="3021">
        <v>53700</v>
      </c>
      <c r="B1138" s="3021">
        <v>53750</v>
      </c>
      <c r="C1138" s="3981">
        <v>9203</v>
      </c>
      <c r="D1138" s="3626">
        <v>7131</v>
      </c>
      <c r="E1138" s="3626">
        <v>9203</v>
      </c>
      <c r="F1138" s="3626">
        <v>7729</v>
      </c>
    </row>
    <row r="1139" spans="1:6" ht="15.75">
      <c r="A1139" s="3021">
        <v>53750</v>
      </c>
      <c r="B1139" s="3021">
        <v>53800</v>
      </c>
      <c r="C1139" s="3981">
        <v>9215</v>
      </c>
      <c r="D1139" s="3626">
        <v>7139</v>
      </c>
      <c r="E1139" s="3626">
        <v>9215</v>
      </c>
      <c r="F1139" s="3626">
        <v>7741</v>
      </c>
    </row>
    <row r="1140" spans="1:6" ht="15.75">
      <c r="A1140" s="3021">
        <v>53800</v>
      </c>
      <c r="B1140" s="3021">
        <v>53850</v>
      </c>
      <c r="C1140" s="3981">
        <v>9228</v>
      </c>
      <c r="D1140" s="3626">
        <v>7146</v>
      </c>
      <c r="E1140" s="3626">
        <v>9228</v>
      </c>
      <c r="F1140" s="3626">
        <v>7754</v>
      </c>
    </row>
    <row r="1141" spans="1:6" ht="15.75">
      <c r="A1141" s="3021">
        <v>53850</v>
      </c>
      <c r="B1141" s="3021">
        <v>53900</v>
      </c>
      <c r="C1141" s="3981">
        <v>9240</v>
      </c>
      <c r="D1141" s="3626">
        <v>7154</v>
      </c>
      <c r="E1141" s="3626">
        <v>9240</v>
      </c>
      <c r="F1141" s="3626">
        <v>7766</v>
      </c>
    </row>
    <row r="1142" spans="1:6" ht="15.75">
      <c r="A1142" s="3021">
        <v>53900</v>
      </c>
      <c r="B1142" s="3021">
        <v>53950</v>
      </c>
      <c r="C1142" s="3981">
        <v>9253</v>
      </c>
      <c r="D1142" s="3626">
        <v>7161</v>
      </c>
      <c r="E1142" s="3626">
        <v>9253</v>
      </c>
      <c r="F1142" s="3626">
        <v>7779</v>
      </c>
    </row>
    <row r="1143" spans="1:6" ht="15.75">
      <c r="A1143" s="3021">
        <v>53950</v>
      </c>
      <c r="B1143" s="3021">
        <v>54000</v>
      </c>
      <c r="C1143" s="3981">
        <v>9265</v>
      </c>
      <c r="D1143" s="3626">
        <v>7169</v>
      </c>
      <c r="E1143" s="3626">
        <v>9265</v>
      </c>
      <c r="F1143" s="3626">
        <v>7791</v>
      </c>
    </row>
    <row r="1144" spans="1:6" ht="15.75">
      <c r="A1144" s="3021">
        <v>54000</v>
      </c>
      <c r="B1144" s="3021">
        <v>54050</v>
      </c>
      <c r="C1144" s="3981">
        <v>9278</v>
      </c>
      <c r="D1144" s="3626">
        <v>7176</v>
      </c>
      <c r="E1144" s="3626">
        <v>9278</v>
      </c>
      <c r="F1144" s="3626">
        <v>7804</v>
      </c>
    </row>
    <row r="1145" spans="1:6" ht="15.75">
      <c r="A1145" s="3021">
        <v>54050</v>
      </c>
      <c r="B1145" s="3021">
        <v>54100</v>
      </c>
      <c r="C1145" s="3981">
        <v>9290</v>
      </c>
      <c r="D1145" s="3626">
        <v>7184</v>
      </c>
      <c r="E1145" s="3626">
        <v>9290</v>
      </c>
      <c r="F1145" s="3626">
        <v>7816</v>
      </c>
    </row>
    <row r="1146" spans="1:6" ht="15.75">
      <c r="A1146" s="3021">
        <v>54100</v>
      </c>
      <c r="B1146" s="3021">
        <v>54150</v>
      </c>
      <c r="C1146" s="3981">
        <v>9303</v>
      </c>
      <c r="D1146" s="3626">
        <v>7191</v>
      </c>
      <c r="E1146" s="3626">
        <v>9303</v>
      </c>
      <c r="F1146" s="3626">
        <v>7829</v>
      </c>
    </row>
    <row r="1147" spans="1:6" ht="15.75">
      <c r="A1147" s="3021">
        <v>54150</v>
      </c>
      <c r="B1147" s="3021">
        <v>54200</v>
      </c>
      <c r="C1147" s="3981">
        <v>9315</v>
      </c>
      <c r="D1147" s="3626">
        <v>7199</v>
      </c>
      <c r="E1147" s="3626">
        <v>9315</v>
      </c>
      <c r="F1147" s="3626">
        <v>7841</v>
      </c>
    </row>
    <row r="1148" spans="1:6" ht="15.75">
      <c r="A1148" s="3021">
        <v>54200</v>
      </c>
      <c r="B1148" s="3021">
        <v>54250</v>
      </c>
      <c r="C1148" s="3981">
        <v>9328</v>
      </c>
      <c r="D1148" s="3626">
        <v>7206</v>
      </c>
      <c r="E1148" s="3626">
        <v>9328</v>
      </c>
      <c r="F1148" s="3626">
        <v>7854</v>
      </c>
    </row>
    <row r="1149" spans="1:6" ht="15.75">
      <c r="A1149" s="3021">
        <v>54250</v>
      </c>
      <c r="B1149" s="3021">
        <v>54300</v>
      </c>
      <c r="C1149" s="3981">
        <v>9340</v>
      </c>
      <c r="D1149" s="3626">
        <v>7214</v>
      </c>
      <c r="E1149" s="3626">
        <v>9340</v>
      </c>
      <c r="F1149" s="3626">
        <v>7866</v>
      </c>
    </row>
    <row r="1150" spans="1:6" ht="15.75">
      <c r="A1150" s="3021">
        <v>54300</v>
      </c>
      <c r="B1150" s="3021">
        <v>54350</v>
      </c>
      <c r="C1150" s="3981">
        <v>9353</v>
      </c>
      <c r="D1150" s="3626">
        <v>7221</v>
      </c>
      <c r="E1150" s="3626">
        <v>9353</v>
      </c>
      <c r="F1150" s="3626">
        <v>7879</v>
      </c>
    </row>
    <row r="1151" spans="1:6" ht="15.75">
      <c r="A1151" s="3021">
        <v>54350</v>
      </c>
      <c r="B1151" s="3021">
        <v>54400</v>
      </c>
      <c r="C1151" s="3981">
        <v>9365</v>
      </c>
      <c r="D1151" s="3626">
        <v>7229</v>
      </c>
      <c r="E1151" s="3626">
        <v>9365</v>
      </c>
      <c r="F1151" s="3626">
        <v>7891</v>
      </c>
    </row>
    <row r="1152" spans="1:6" ht="15.75">
      <c r="A1152" s="3021">
        <v>54400</v>
      </c>
      <c r="B1152" s="3021">
        <v>54450</v>
      </c>
      <c r="C1152" s="3981">
        <v>9378</v>
      </c>
      <c r="D1152" s="3626">
        <v>7236</v>
      </c>
      <c r="E1152" s="3626">
        <v>9378</v>
      </c>
      <c r="F1152" s="3626">
        <v>7904</v>
      </c>
    </row>
    <row r="1153" spans="1:6" ht="15.75">
      <c r="A1153" s="3021">
        <v>54450</v>
      </c>
      <c r="B1153" s="3021">
        <v>54500</v>
      </c>
      <c r="C1153" s="3981">
        <v>9390</v>
      </c>
      <c r="D1153" s="3626">
        <v>7244</v>
      </c>
      <c r="E1153" s="3626">
        <v>9390</v>
      </c>
      <c r="F1153" s="3626">
        <v>7916</v>
      </c>
    </row>
    <row r="1154" spans="1:6" ht="15.75">
      <c r="A1154" s="3021">
        <v>54500</v>
      </c>
      <c r="B1154" s="3021">
        <v>54550</v>
      </c>
      <c r="C1154" s="3981">
        <v>9403</v>
      </c>
      <c r="D1154" s="3626">
        <v>7251</v>
      </c>
      <c r="E1154" s="3626">
        <v>9403</v>
      </c>
      <c r="F1154" s="3626">
        <v>7929</v>
      </c>
    </row>
    <row r="1155" spans="1:6" ht="15.75">
      <c r="A1155" s="3021">
        <v>54550</v>
      </c>
      <c r="B1155" s="3021">
        <v>54600</v>
      </c>
      <c r="C1155" s="3981">
        <v>9415</v>
      </c>
      <c r="D1155" s="3626">
        <v>7259</v>
      </c>
      <c r="E1155" s="3626">
        <v>9415</v>
      </c>
      <c r="F1155" s="3626">
        <v>7941</v>
      </c>
    </row>
    <row r="1156" spans="1:6" ht="15.75">
      <c r="A1156" s="3021">
        <v>54600</v>
      </c>
      <c r="B1156" s="3021">
        <v>54650</v>
      </c>
      <c r="C1156" s="3981">
        <v>9428</v>
      </c>
      <c r="D1156" s="3626">
        <v>7266</v>
      </c>
      <c r="E1156" s="3626">
        <v>9428</v>
      </c>
      <c r="F1156" s="3626">
        <v>7954</v>
      </c>
    </row>
    <row r="1157" spans="1:6" ht="15.75">
      <c r="A1157" s="3021">
        <v>54650</v>
      </c>
      <c r="B1157" s="3021">
        <v>54700</v>
      </c>
      <c r="C1157" s="3981">
        <v>9440</v>
      </c>
      <c r="D1157" s="3626">
        <v>7274</v>
      </c>
      <c r="E1157" s="3626">
        <v>9440</v>
      </c>
      <c r="F1157" s="3626">
        <v>7966</v>
      </c>
    </row>
    <row r="1158" spans="1:6" ht="15.75">
      <c r="A1158" s="3021">
        <v>54700</v>
      </c>
      <c r="B1158" s="3021">
        <v>54750</v>
      </c>
      <c r="C1158" s="3981">
        <v>9453</v>
      </c>
      <c r="D1158" s="3626">
        <v>7281</v>
      </c>
      <c r="E1158" s="3626">
        <v>9453</v>
      </c>
      <c r="F1158" s="3626">
        <v>7979</v>
      </c>
    </row>
    <row r="1159" spans="1:6" ht="15.75">
      <c r="A1159" s="3021">
        <v>54750</v>
      </c>
      <c r="B1159" s="3021">
        <v>54800</v>
      </c>
      <c r="C1159" s="3981">
        <v>9465</v>
      </c>
      <c r="D1159" s="3626">
        <v>7289</v>
      </c>
      <c r="E1159" s="3626">
        <v>9465</v>
      </c>
      <c r="F1159" s="3626">
        <v>7991</v>
      </c>
    </row>
    <row r="1160" spans="1:6" ht="15.75">
      <c r="A1160" s="3021">
        <v>54800</v>
      </c>
      <c r="B1160" s="3021">
        <v>54850</v>
      </c>
      <c r="C1160" s="3981">
        <v>9478</v>
      </c>
      <c r="D1160" s="3626">
        <v>7296</v>
      </c>
      <c r="E1160" s="3626">
        <v>9478</v>
      </c>
      <c r="F1160" s="3626">
        <v>8004</v>
      </c>
    </row>
    <row r="1161" spans="1:6" ht="15.75">
      <c r="A1161" s="3021">
        <v>54850</v>
      </c>
      <c r="B1161" s="3021">
        <v>54900</v>
      </c>
      <c r="C1161" s="3981">
        <v>9490</v>
      </c>
      <c r="D1161" s="3626">
        <v>7304</v>
      </c>
      <c r="E1161" s="3626">
        <v>9490</v>
      </c>
      <c r="F1161" s="3626">
        <v>8016</v>
      </c>
    </row>
    <row r="1162" spans="1:6" ht="15.75">
      <c r="A1162" s="3021">
        <v>54900</v>
      </c>
      <c r="B1162" s="3021">
        <v>54950</v>
      </c>
      <c r="C1162" s="3981">
        <v>9503</v>
      </c>
      <c r="D1162" s="3626">
        <v>7311</v>
      </c>
      <c r="E1162" s="3626">
        <v>9503</v>
      </c>
      <c r="F1162" s="3626">
        <v>8029</v>
      </c>
    </row>
    <row r="1163" spans="1:6" ht="15.75">
      <c r="A1163" s="3021">
        <v>54950</v>
      </c>
      <c r="B1163" s="3021">
        <v>55000</v>
      </c>
      <c r="C1163" s="3981">
        <v>9515</v>
      </c>
      <c r="D1163" s="3626">
        <v>7319</v>
      </c>
      <c r="E1163" s="3626">
        <v>9515</v>
      </c>
      <c r="F1163" s="3626">
        <v>8041</v>
      </c>
    </row>
    <row r="1164" spans="1:6" ht="15.75">
      <c r="A1164" s="3021">
        <v>55000</v>
      </c>
      <c r="B1164" s="3021">
        <v>55050</v>
      </c>
      <c r="C1164" s="3981">
        <v>9528</v>
      </c>
      <c r="D1164" s="3626">
        <v>7326</v>
      </c>
      <c r="E1164" s="3626">
        <v>9528</v>
      </c>
      <c r="F1164" s="3626">
        <v>8054</v>
      </c>
    </row>
    <row r="1165" spans="1:6" ht="15.75">
      <c r="A1165" s="3021">
        <v>55050</v>
      </c>
      <c r="B1165" s="3021">
        <v>55100</v>
      </c>
      <c r="C1165" s="3981">
        <v>9540</v>
      </c>
      <c r="D1165" s="3626">
        <v>7334</v>
      </c>
      <c r="E1165" s="3626">
        <v>9540</v>
      </c>
      <c r="F1165" s="3626">
        <v>8066</v>
      </c>
    </row>
    <row r="1166" spans="1:6" ht="15.75">
      <c r="A1166" s="3021">
        <v>55100</v>
      </c>
      <c r="B1166" s="3021">
        <v>55150</v>
      </c>
      <c r="C1166" s="3981">
        <v>9553</v>
      </c>
      <c r="D1166" s="3626">
        <v>7341</v>
      </c>
      <c r="E1166" s="3626">
        <v>9553</v>
      </c>
      <c r="F1166" s="3626">
        <v>8079</v>
      </c>
    </row>
    <row r="1167" spans="1:6" ht="15.75">
      <c r="A1167" s="3021">
        <v>55150</v>
      </c>
      <c r="B1167" s="3021">
        <v>55200</v>
      </c>
      <c r="C1167" s="3981">
        <v>9565</v>
      </c>
      <c r="D1167" s="3626">
        <v>7349</v>
      </c>
      <c r="E1167" s="3626">
        <v>9565</v>
      </c>
      <c r="F1167" s="3626">
        <v>8091</v>
      </c>
    </row>
    <row r="1168" spans="1:6" ht="15.75">
      <c r="A1168" s="3021">
        <v>55200</v>
      </c>
      <c r="B1168" s="3021">
        <v>55250</v>
      </c>
      <c r="C1168" s="3981">
        <v>9578</v>
      </c>
      <c r="D1168" s="3626">
        <v>7356</v>
      </c>
      <c r="E1168" s="3626">
        <v>9578</v>
      </c>
      <c r="F1168" s="3626">
        <v>8104</v>
      </c>
    </row>
    <row r="1169" spans="1:6" ht="15.75">
      <c r="A1169" s="3021">
        <v>55250</v>
      </c>
      <c r="B1169" s="3021">
        <v>55300</v>
      </c>
      <c r="C1169" s="3981">
        <v>9590</v>
      </c>
      <c r="D1169" s="3626">
        <v>7364</v>
      </c>
      <c r="E1169" s="3626">
        <v>9590</v>
      </c>
      <c r="F1169" s="3626">
        <v>8116</v>
      </c>
    </row>
    <row r="1170" spans="1:6" ht="15.75">
      <c r="A1170" s="3021">
        <v>55300</v>
      </c>
      <c r="B1170" s="3021">
        <v>55350</v>
      </c>
      <c r="C1170" s="3981">
        <v>9603</v>
      </c>
      <c r="D1170" s="3626">
        <v>7371</v>
      </c>
      <c r="E1170" s="3626">
        <v>9603</v>
      </c>
      <c r="F1170" s="3626">
        <v>8129</v>
      </c>
    </row>
    <row r="1171" spans="1:6" ht="15.75">
      <c r="A1171" s="3021">
        <v>55350</v>
      </c>
      <c r="B1171" s="3021">
        <v>55400</v>
      </c>
      <c r="C1171" s="3981">
        <v>9615</v>
      </c>
      <c r="D1171" s="3626">
        <v>7379</v>
      </c>
      <c r="E1171" s="3626">
        <v>9615</v>
      </c>
      <c r="F1171" s="3626">
        <v>8141</v>
      </c>
    </row>
    <row r="1172" spans="1:6" ht="15.75">
      <c r="A1172" s="3021">
        <v>55400</v>
      </c>
      <c r="B1172" s="3021">
        <v>55450</v>
      </c>
      <c r="C1172" s="3981">
        <v>9628</v>
      </c>
      <c r="D1172" s="3626">
        <v>7386</v>
      </c>
      <c r="E1172" s="3626">
        <v>9628</v>
      </c>
      <c r="F1172" s="3626">
        <v>8154</v>
      </c>
    </row>
    <row r="1173" spans="1:6" ht="15.75">
      <c r="A1173" s="3021">
        <v>55450</v>
      </c>
      <c r="B1173" s="3021">
        <v>55500</v>
      </c>
      <c r="C1173" s="3981">
        <v>9640</v>
      </c>
      <c r="D1173" s="3626">
        <v>7394</v>
      </c>
      <c r="E1173" s="3626">
        <v>9640</v>
      </c>
      <c r="F1173" s="3626">
        <v>8166</v>
      </c>
    </row>
    <row r="1174" spans="1:6" ht="15.75">
      <c r="A1174" s="3021">
        <v>55500</v>
      </c>
      <c r="B1174" s="3021">
        <v>55550</v>
      </c>
      <c r="C1174" s="3981">
        <v>9653</v>
      </c>
      <c r="D1174" s="3626">
        <v>7401</v>
      </c>
      <c r="E1174" s="3626">
        <v>9653</v>
      </c>
      <c r="F1174" s="3626">
        <v>8179</v>
      </c>
    </row>
    <row r="1175" spans="1:6" ht="15.75">
      <c r="A1175" s="3021">
        <v>55550</v>
      </c>
      <c r="B1175" s="3021">
        <v>55600</v>
      </c>
      <c r="C1175" s="3981">
        <v>9665</v>
      </c>
      <c r="D1175" s="3626">
        <v>7409</v>
      </c>
      <c r="E1175" s="3626">
        <v>9665</v>
      </c>
      <c r="F1175" s="3626">
        <v>8191</v>
      </c>
    </row>
    <row r="1176" spans="1:6" ht="15.75">
      <c r="A1176" s="3021">
        <v>55600</v>
      </c>
      <c r="B1176" s="3021">
        <v>55650</v>
      </c>
      <c r="C1176" s="3981">
        <v>9678</v>
      </c>
      <c r="D1176" s="3626">
        <v>7416</v>
      </c>
      <c r="E1176" s="3626">
        <v>9678</v>
      </c>
      <c r="F1176" s="3626">
        <v>8204</v>
      </c>
    </row>
    <row r="1177" spans="1:6" ht="15.75">
      <c r="A1177" s="3021">
        <v>55650</v>
      </c>
      <c r="B1177" s="3021">
        <v>55700</v>
      </c>
      <c r="C1177" s="3981">
        <v>9690</v>
      </c>
      <c r="D1177" s="3626">
        <v>7424</v>
      </c>
      <c r="E1177" s="3626">
        <v>9690</v>
      </c>
      <c r="F1177" s="3626">
        <v>8216</v>
      </c>
    </row>
    <row r="1178" spans="1:6" ht="15.75">
      <c r="A1178" s="3021">
        <v>55700</v>
      </c>
      <c r="B1178" s="3021">
        <v>55750</v>
      </c>
      <c r="C1178" s="3981">
        <v>9703</v>
      </c>
      <c r="D1178" s="3626">
        <v>7431</v>
      </c>
      <c r="E1178" s="3626">
        <v>9703</v>
      </c>
      <c r="F1178" s="3626">
        <v>8229</v>
      </c>
    </row>
    <row r="1179" spans="1:6" ht="15.75">
      <c r="A1179" s="3021">
        <v>55750</v>
      </c>
      <c r="B1179" s="3021">
        <v>55800</v>
      </c>
      <c r="C1179" s="3981">
        <v>9715</v>
      </c>
      <c r="D1179" s="3626">
        <v>7439</v>
      </c>
      <c r="E1179" s="3626">
        <v>9715</v>
      </c>
      <c r="F1179" s="3626">
        <v>8241</v>
      </c>
    </row>
    <row r="1180" spans="1:6" ht="15.75">
      <c r="A1180" s="3021">
        <v>55800</v>
      </c>
      <c r="B1180" s="3021">
        <v>55850</v>
      </c>
      <c r="C1180" s="3981">
        <v>9728</v>
      </c>
      <c r="D1180" s="3626">
        <v>7446</v>
      </c>
      <c r="E1180" s="3626">
        <v>9728</v>
      </c>
      <c r="F1180" s="3626">
        <v>8254</v>
      </c>
    </row>
    <row r="1181" spans="1:6" ht="15.75">
      <c r="A1181" s="3021">
        <v>55850</v>
      </c>
      <c r="B1181" s="3021">
        <v>55900</v>
      </c>
      <c r="C1181" s="3981">
        <v>9740</v>
      </c>
      <c r="D1181" s="3626">
        <v>7454</v>
      </c>
      <c r="E1181" s="3626">
        <v>9740</v>
      </c>
      <c r="F1181" s="3626">
        <v>8266</v>
      </c>
    </row>
    <row r="1182" spans="1:6" ht="15.75">
      <c r="A1182" s="3021">
        <v>55900</v>
      </c>
      <c r="B1182" s="3021">
        <v>55950</v>
      </c>
      <c r="C1182" s="3981">
        <v>9753</v>
      </c>
      <c r="D1182" s="3626">
        <v>7461</v>
      </c>
      <c r="E1182" s="3626">
        <v>9753</v>
      </c>
      <c r="F1182" s="3626">
        <v>8279</v>
      </c>
    </row>
    <row r="1183" spans="1:6" ht="15.75">
      <c r="A1183" s="3021">
        <v>55950</v>
      </c>
      <c r="B1183" s="3021">
        <v>56000</v>
      </c>
      <c r="C1183" s="3981">
        <v>9765</v>
      </c>
      <c r="D1183" s="3626">
        <v>7469</v>
      </c>
      <c r="E1183" s="3626">
        <v>9765</v>
      </c>
      <c r="F1183" s="3626">
        <v>8291</v>
      </c>
    </row>
    <row r="1184" spans="1:6" ht="15.75">
      <c r="A1184" s="3021">
        <v>56000</v>
      </c>
      <c r="B1184" s="3021">
        <v>56050</v>
      </c>
      <c r="C1184" s="3981">
        <v>9778</v>
      </c>
      <c r="D1184" s="3626">
        <v>7476</v>
      </c>
      <c r="E1184" s="3626">
        <v>9778</v>
      </c>
      <c r="F1184" s="3626">
        <v>8304</v>
      </c>
    </row>
    <row r="1185" spans="1:6" ht="15.75">
      <c r="A1185" s="3021">
        <v>56050</v>
      </c>
      <c r="B1185" s="3021">
        <v>56100</v>
      </c>
      <c r="C1185" s="3981">
        <v>9790</v>
      </c>
      <c r="D1185" s="3626">
        <v>7484</v>
      </c>
      <c r="E1185" s="3626">
        <v>9790</v>
      </c>
      <c r="F1185" s="3626">
        <v>8316</v>
      </c>
    </row>
    <row r="1186" spans="1:6" ht="15.75">
      <c r="A1186" s="3021">
        <v>56100</v>
      </c>
      <c r="B1186" s="3021">
        <v>56150</v>
      </c>
      <c r="C1186" s="3981">
        <v>9803</v>
      </c>
      <c r="D1186" s="3626">
        <v>7491</v>
      </c>
      <c r="E1186" s="3626">
        <v>9803</v>
      </c>
      <c r="F1186" s="3626">
        <v>8329</v>
      </c>
    </row>
    <row r="1187" spans="1:6" ht="15.75">
      <c r="A1187" s="3021">
        <v>56150</v>
      </c>
      <c r="B1187" s="3021">
        <v>56200</v>
      </c>
      <c r="C1187" s="3981">
        <v>9815</v>
      </c>
      <c r="D1187" s="3626">
        <v>7499</v>
      </c>
      <c r="E1187" s="3626">
        <v>9815</v>
      </c>
      <c r="F1187" s="3626">
        <v>8341</v>
      </c>
    </row>
    <row r="1188" spans="1:6" ht="15.75">
      <c r="A1188" s="3021">
        <v>56200</v>
      </c>
      <c r="B1188" s="3021">
        <v>56250</v>
      </c>
      <c r="C1188" s="3981">
        <v>9828</v>
      </c>
      <c r="D1188" s="3626">
        <v>7506</v>
      </c>
      <c r="E1188" s="3626">
        <v>9828</v>
      </c>
      <c r="F1188" s="3626">
        <v>8354</v>
      </c>
    </row>
    <row r="1189" spans="1:6" ht="15.75">
      <c r="A1189" s="3021">
        <v>56250</v>
      </c>
      <c r="B1189" s="3021">
        <v>56300</v>
      </c>
      <c r="C1189" s="3981">
        <v>9840</v>
      </c>
      <c r="D1189" s="3626">
        <v>7514</v>
      </c>
      <c r="E1189" s="3626">
        <v>9840</v>
      </c>
      <c r="F1189" s="3626">
        <v>8366</v>
      </c>
    </row>
    <row r="1190" spans="1:6" ht="15.75">
      <c r="A1190" s="3021">
        <v>56300</v>
      </c>
      <c r="B1190" s="3021">
        <v>56350</v>
      </c>
      <c r="C1190" s="3981">
        <v>9853</v>
      </c>
      <c r="D1190" s="3626">
        <v>7521</v>
      </c>
      <c r="E1190" s="3626">
        <v>9853</v>
      </c>
      <c r="F1190" s="3626">
        <v>8379</v>
      </c>
    </row>
    <row r="1191" spans="1:6" ht="15.75">
      <c r="A1191" s="3021">
        <v>56350</v>
      </c>
      <c r="B1191" s="3021">
        <v>56400</v>
      </c>
      <c r="C1191" s="3981">
        <v>9865</v>
      </c>
      <c r="D1191" s="3626">
        <v>7529</v>
      </c>
      <c r="E1191" s="3626">
        <v>9865</v>
      </c>
      <c r="F1191" s="3626">
        <v>8391</v>
      </c>
    </row>
    <row r="1192" spans="1:6" ht="15.75">
      <c r="A1192" s="3021">
        <v>56400</v>
      </c>
      <c r="B1192" s="3021">
        <v>56450</v>
      </c>
      <c r="C1192" s="3981">
        <v>9878</v>
      </c>
      <c r="D1192" s="3626">
        <v>7536</v>
      </c>
      <c r="E1192" s="3626">
        <v>9878</v>
      </c>
      <c r="F1192" s="3626">
        <v>8404</v>
      </c>
    </row>
    <row r="1193" spans="1:6" ht="15.75">
      <c r="A1193" s="3021">
        <v>56450</v>
      </c>
      <c r="B1193" s="3021">
        <v>56500</v>
      </c>
      <c r="C1193" s="3981">
        <v>9890</v>
      </c>
      <c r="D1193" s="3626">
        <v>7544</v>
      </c>
      <c r="E1193" s="3626">
        <v>9890</v>
      </c>
      <c r="F1193" s="3626">
        <v>8416</v>
      </c>
    </row>
    <row r="1194" spans="1:6" ht="15.75">
      <c r="A1194" s="3021">
        <v>56500</v>
      </c>
      <c r="B1194" s="3021">
        <v>56550</v>
      </c>
      <c r="C1194" s="3981">
        <v>9903</v>
      </c>
      <c r="D1194" s="3626">
        <v>7551</v>
      </c>
      <c r="E1194" s="3626">
        <v>9903</v>
      </c>
      <c r="F1194" s="3626">
        <v>8429</v>
      </c>
    </row>
    <row r="1195" spans="1:6" ht="15.75">
      <c r="A1195" s="3021">
        <v>56550</v>
      </c>
      <c r="B1195" s="3021">
        <v>56600</v>
      </c>
      <c r="C1195" s="3981">
        <v>9915</v>
      </c>
      <c r="D1195" s="3626">
        <v>7559</v>
      </c>
      <c r="E1195" s="3626">
        <v>9915</v>
      </c>
      <c r="F1195" s="3626">
        <v>8441</v>
      </c>
    </row>
    <row r="1196" spans="1:6" ht="15.75">
      <c r="A1196" s="3021">
        <v>56600</v>
      </c>
      <c r="B1196" s="3021">
        <v>56650</v>
      </c>
      <c r="C1196" s="3981">
        <v>9928</v>
      </c>
      <c r="D1196" s="3626">
        <v>7566</v>
      </c>
      <c r="E1196" s="3626">
        <v>9928</v>
      </c>
      <c r="F1196" s="3626">
        <v>8454</v>
      </c>
    </row>
    <row r="1197" spans="1:6" ht="15.75">
      <c r="A1197" s="3021">
        <v>56650</v>
      </c>
      <c r="B1197" s="3021">
        <v>56700</v>
      </c>
      <c r="C1197" s="3981">
        <v>9940</v>
      </c>
      <c r="D1197" s="3626">
        <v>7574</v>
      </c>
      <c r="E1197" s="3626">
        <v>9940</v>
      </c>
      <c r="F1197" s="3626">
        <v>8466</v>
      </c>
    </row>
    <row r="1198" spans="1:6" ht="15.75">
      <c r="A1198" s="3021">
        <v>56700</v>
      </c>
      <c r="B1198" s="3021">
        <v>56750</v>
      </c>
      <c r="C1198" s="3981">
        <v>9953</v>
      </c>
      <c r="D1198" s="3626">
        <v>7581</v>
      </c>
      <c r="E1198" s="3626">
        <v>9953</v>
      </c>
      <c r="F1198" s="3626">
        <v>8479</v>
      </c>
    </row>
    <row r="1199" spans="1:6" ht="15.75">
      <c r="A1199" s="3021">
        <v>56750</v>
      </c>
      <c r="B1199" s="3021">
        <v>56800</v>
      </c>
      <c r="C1199" s="3981">
        <v>9965</v>
      </c>
      <c r="D1199" s="3626">
        <v>7589</v>
      </c>
      <c r="E1199" s="3626">
        <v>9965</v>
      </c>
      <c r="F1199" s="3626">
        <v>8491</v>
      </c>
    </row>
    <row r="1200" spans="1:6" ht="15.75">
      <c r="A1200" s="3021">
        <v>56800</v>
      </c>
      <c r="B1200" s="3021">
        <v>56850</v>
      </c>
      <c r="C1200" s="3981">
        <v>9978</v>
      </c>
      <c r="D1200" s="3626">
        <v>7596</v>
      </c>
      <c r="E1200" s="3626">
        <v>9978</v>
      </c>
      <c r="F1200" s="3626">
        <v>8504</v>
      </c>
    </row>
    <row r="1201" spans="1:6" ht="15.75">
      <c r="A1201" s="3021">
        <v>56850</v>
      </c>
      <c r="B1201" s="3021">
        <v>56900</v>
      </c>
      <c r="C1201" s="3981">
        <v>9990</v>
      </c>
      <c r="D1201" s="3626">
        <v>7604</v>
      </c>
      <c r="E1201" s="3626">
        <v>9990</v>
      </c>
      <c r="F1201" s="3626">
        <v>8516</v>
      </c>
    </row>
    <row r="1202" spans="1:6" ht="15.75">
      <c r="A1202" s="3021">
        <v>56900</v>
      </c>
      <c r="B1202" s="3021">
        <v>56950</v>
      </c>
      <c r="C1202" s="3981">
        <v>10003</v>
      </c>
      <c r="D1202" s="3626">
        <v>7611</v>
      </c>
      <c r="E1202" s="3626">
        <v>10003</v>
      </c>
      <c r="F1202" s="3626">
        <v>8529</v>
      </c>
    </row>
    <row r="1203" spans="1:6" ht="15.75">
      <c r="A1203" s="3021">
        <v>56950</v>
      </c>
      <c r="B1203" s="3021">
        <v>57000</v>
      </c>
      <c r="C1203" s="3981">
        <v>10015</v>
      </c>
      <c r="D1203" s="3626">
        <v>7619</v>
      </c>
      <c r="E1203" s="3626">
        <v>10015</v>
      </c>
      <c r="F1203" s="3626">
        <v>8541</v>
      </c>
    </row>
    <row r="1204" spans="1:6" ht="15.75">
      <c r="A1204" s="3021">
        <v>57000</v>
      </c>
      <c r="B1204" s="3021">
        <v>57050</v>
      </c>
      <c r="C1204" s="3981">
        <v>10028</v>
      </c>
      <c r="D1204" s="3626">
        <v>7626</v>
      </c>
      <c r="E1204" s="3626">
        <v>10028</v>
      </c>
      <c r="F1204" s="3626">
        <v>8554</v>
      </c>
    </row>
    <row r="1205" spans="1:6" ht="15.75">
      <c r="A1205" s="3021">
        <v>57050</v>
      </c>
      <c r="B1205" s="3021">
        <v>57100</v>
      </c>
      <c r="C1205" s="3981">
        <v>10040</v>
      </c>
      <c r="D1205" s="3626">
        <v>7634</v>
      </c>
      <c r="E1205" s="3626">
        <v>10040</v>
      </c>
      <c r="F1205" s="3626">
        <v>8566</v>
      </c>
    </row>
    <row r="1206" spans="1:6" ht="15.75">
      <c r="A1206" s="3021">
        <v>57100</v>
      </c>
      <c r="B1206" s="3021">
        <v>57150</v>
      </c>
      <c r="C1206" s="3981">
        <v>10053</v>
      </c>
      <c r="D1206" s="3626">
        <v>7641</v>
      </c>
      <c r="E1206" s="3626">
        <v>10053</v>
      </c>
      <c r="F1206" s="3626">
        <v>8579</v>
      </c>
    </row>
    <row r="1207" spans="1:6" ht="15.75">
      <c r="A1207" s="3021">
        <v>57150</v>
      </c>
      <c r="B1207" s="3021">
        <v>57200</v>
      </c>
      <c r="C1207" s="3981">
        <v>10065</v>
      </c>
      <c r="D1207" s="3626">
        <v>7649</v>
      </c>
      <c r="E1207" s="3626">
        <v>10065</v>
      </c>
      <c r="F1207" s="3626">
        <v>8591</v>
      </c>
    </row>
    <row r="1208" spans="1:6" ht="15.75">
      <c r="A1208" s="3021">
        <v>57200</v>
      </c>
      <c r="B1208" s="3021">
        <v>57250</v>
      </c>
      <c r="C1208" s="3981">
        <v>10078</v>
      </c>
      <c r="D1208" s="3626">
        <v>7656</v>
      </c>
      <c r="E1208" s="3626">
        <v>10078</v>
      </c>
      <c r="F1208" s="3626">
        <v>8604</v>
      </c>
    </row>
    <row r="1209" spans="1:6" ht="15.75">
      <c r="A1209" s="3021">
        <v>57250</v>
      </c>
      <c r="B1209" s="3021">
        <v>57300</v>
      </c>
      <c r="C1209" s="3981">
        <v>10090</v>
      </c>
      <c r="D1209" s="3626">
        <v>7664</v>
      </c>
      <c r="E1209" s="3626">
        <v>10090</v>
      </c>
      <c r="F1209" s="3626">
        <v>8616</v>
      </c>
    </row>
    <row r="1210" spans="1:6" ht="15.75">
      <c r="A1210" s="3021">
        <v>57300</v>
      </c>
      <c r="B1210" s="3021">
        <v>57350</v>
      </c>
      <c r="C1210" s="3981">
        <v>10103</v>
      </c>
      <c r="D1210" s="3626">
        <v>7671</v>
      </c>
      <c r="E1210" s="3626">
        <v>10103</v>
      </c>
      <c r="F1210" s="3626">
        <v>8629</v>
      </c>
    </row>
    <row r="1211" spans="1:6" ht="15.75">
      <c r="A1211" s="3021">
        <v>57350</v>
      </c>
      <c r="B1211" s="3021">
        <v>57400</v>
      </c>
      <c r="C1211" s="3981">
        <v>10115</v>
      </c>
      <c r="D1211" s="3626">
        <v>7679</v>
      </c>
      <c r="E1211" s="3626">
        <v>10115</v>
      </c>
      <c r="F1211" s="3626">
        <v>8641</v>
      </c>
    </row>
    <row r="1212" spans="1:6" ht="15.75">
      <c r="A1212" s="3021">
        <v>57400</v>
      </c>
      <c r="B1212" s="3021">
        <v>57450</v>
      </c>
      <c r="C1212" s="3981">
        <v>10128</v>
      </c>
      <c r="D1212" s="3626">
        <v>7686</v>
      </c>
      <c r="E1212" s="3626">
        <v>10128</v>
      </c>
      <c r="F1212" s="3626">
        <v>8654</v>
      </c>
    </row>
    <row r="1213" spans="1:6" ht="15.75">
      <c r="A1213" s="3021">
        <v>57450</v>
      </c>
      <c r="B1213" s="3021">
        <v>57500</v>
      </c>
      <c r="C1213" s="3981">
        <v>10140</v>
      </c>
      <c r="D1213" s="3626">
        <v>7694</v>
      </c>
      <c r="E1213" s="3626">
        <v>10140</v>
      </c>
      <c r="F1213" s="3626">
        <v>8666</v>
      </c>
    </row>
    <row r="1214" spans="1:6" ht="15.75">
      <c r="A1214" s="3021">
        <v>57500</v>
      </c>
      <c r="B1214" s="3021">
        <v>57550</v>
      </c>
      <c r="C1214" s="3981">
        <v>10153</v>
      </c>
      <c r="D1214" s="3626">
        <v>7701</v>
      </c>
      <c r="E1214" s="3626">
        <v>10153</v>
      </c>
      <c r="F1214" s="3626">
        <v>8679</v>
      </c>
    </row>
    <row r="1215" spans="1:6" ht="15.75">
      <c r="A1215" s="3021">
        <v>57550</v>
      </c>
      <c r="B1215" s="3021">
        <v>57600</v>
      </c>
      <c r="C1215" s="3981">
        <v>10165</v>
      </c>
      <c r="D1215" s="3626">
        <v>7709</v>
      </c>
      <c r="E1215" s="3626">
        <v>10165</v>
      </c>
      <c r="F1215" s="3626">
        <v>8691</v>
      </c>
    </row>
    <row r="1216" spans="1:6" ht="15.75">
      <c r="A1216" s="3021">
        <v>57600</v>
      </c>
      <c r="B1216" s="3021">
        <v>57650</v>
      </c>
      <c r="C1216" s="3981">
        <v>10178</v>
      </c>
      <c r="D1216" s="3626">
        <v>7716</v>
      </c>
      <c r="E1216" s="3626">
        <v>10178</v>
      </c>
      <c r="F1216" s="3626">
        <v>8704</v>
      </c>
    </row>
    <row r="1217" spans="1:6" ht="15.75">
      <c r="A1217" s="3021">
        <v>57650</v>
      </c>
      <c r="B1217" s="3021">
        <v>57700</v>
      </c>
      <c r="C1217" s="3981">
        <v>10190</v>
      </c>
      <c r="D1217" s="3626">
        <v>7724</v>
      </c>
      <c r="E1217" s="3626">
        <v>10190</v>
      </c>
      <c r="F1217" s="3626">
        <v>8716</v>
      </c>
    </row>
    <row r="1218" spans="1:6" ht="15.75">
      <c r="A1218" s="3021">
        <v>57700</v>
      </c>
      <c r="B1218" s="3021">
        <v>57750</v>
      </c>
      <c r="C1218" s="3981">
        <v>10203</v>
      </c>
      <c r="D1218" s="3626">
        <v>7731</v>
      </c>
      <c r="E1218" s="3626">
        <v>10203</v>
      </c>
      <c r="F1218" s="3626">
        <v>8729</v>
      </c>
    </row>
    <row r="1219" spans="1:6" ht="15.75">
      <c r="A1219" s="3021">
        <v>57750</v>
      </c>
      <c r="B1219" s="3021">
        <v>57800</v>
      </c>
      <c r="C1219" s="3981">
        <v>10215</v>
      </c>
      <c r="D1219" s="3626">
        <v>7739</v>
      </c>
      <c r="E1219" s="3626">
        <v>10215</v>
      </c>
      <c r="F1219" s="3626">
        <v>8741</v>
      </c>
    </row>
    <row r="1220" spans="1:6" ht="15.75">
      <c r="A1220" s="3021">
        <v>57800</v>
      </c>
      <c r="B1220" s="3021">
        <v>57850</v>
      </c>
      <c r="C1220" s="3981">
        <v>10228</v>
      </c>
      <c r="D1220" s="3626">
        <v>7746</v>
      </c>
      <c r="E1220" s="3626">
        <v>10228</v>
      </c>
      <c r="F1220" s="3626">
        <v>8754</v>
      </c>
    </row>
    <row r="1221" spans="1:6" ht="15.75">
      <c r="A1221" s="3021">
        <v>57850</v>
      </c>
      <c r="B1221" s="3021">
        <v>57900</v>
      </c>
      <c r="C1221" s="3981">
        <v>10240</v>
      </c>
      <c r="D1221" s="3626">
        <v>7754</v>
      </c>
      <c r="E1221" s="3626">
        <v>10240</v>
      </c>
      <c r="F1221" s="3626">
        <v>8766</v>
      </c>
    </row>
    <row r="1222" spans="1:6" ht="15.75">
      <c r="A1222" s="3021">
        <v>57900</v>
      </c>
      <c r="B1222" s="3021">
        <v>57950</v>
      </c>
      <c r="C1222" s="3981">
        <v>10253</v>
      </c>
      <c r="D1222" s="3626">
        <v>7761</v>
      </c>
      <c r="E1222" s="3626">
        <v>10253</v>
      </c>
      <c r="F1222" s="3626">
        <v>8779</v>
      </c>
    </row>
    <row r="1223" spans="1:6" ht="15.75">
      <c r="A1223" s="3021">
        <v>57950</v>
      </c>
      <c r="B1223" s="3021">
        <v>58000</v>
      </c>
      <c r="C1223" s="3981">
        <v>10265</v>
      </c>
      <c r="D1223" s="3626">
        <v>7769</v>
      </c>
      <c r="E1223" s="3626">
        <v>10265</v>
      </c>
      <c r="F1223" s="3626">
        <v>8791</v>
      </c>
    </row>
    <row r="1224" spans="1:6" ht="15.75">
      <c r="A1224" s="3021">
        <v>58000</v>
      </c>
      <c r="B1224" s="3021">
        <v>58050</v>
      </c>
      <c r="C1224" s="3981">
        <v>10278</v>
      </c>
      <c r="D1224" s="3626">
        <v>7776</v>
      </c>
      <c r="E1224" s="3626">
        <v>10278</v>
      </c>
      <c r="F1224" s="3626">
        <v>8804</v>
      </c>
    </row>
    <row r="1225" spans="1:6" ht="15.75">
      <c r="A1225" s="3021">
        <v>58050</v>
      </c>
      <c r="B1225" s="3021">
        <v>58100</v>
      </c>
      <c r="C1225" s="3981">
        <v>10290</v>
      </c>
      <c r="D1225" s="3626">
        <v>7784</v>
      </c>
      <c r="E1225" s="3626">
        <v>10290</v>
      </c>
      <c r="F1225" s="3626">
        <v>8816</v>
      </c>
    </row>
    <row r="1226" spans="1:6" ht="15.75">
      <c r="A1226" s="3021">
        <v>58100</v>
      </c>
      <c r="B1226" s="3021">
        <v>58150</v>
      </c>
      <c r="C1226" s="3981">
        <v>10303</v>
      </c>
      <c r="D1226" s="3626">
        <v>7791</v>
      </c>
      <c r="E1226" s="3626">
        <v>10303</v>
      </c>
      <c r="F1226" s="3626">
        <v>8829</v>
      </c>
    </row>
    <row r="1227" spans="1:6" ht="15.75">
      <c r="A1227" s="3021">
        <v>58150</v>
      </c>
      <c r="B1227" s="3021">
        <v>58200</v>
      </c>
      <c r="C1227" s="3981">
        <v>10315</v>
      </c>
      <c r="D1227" s="3626">
        <v>7799</v>
      </c>
      <c r="E1227" s="3626">
        <v>10315</v>
      </c>
      <c r="F1227" s="3626">
        <v>8841</v>
      </c>
    </row>
    <row r="1228" spans="1:6" ht="15.75">
      <c r="A1228" s="3021">
        <v>58200</v>
      </c>
      <c r="B1228" s="3021">
        <v>58250</v>
      </c>
      <c r="C1228" s="3981">
        <v>10328</v>
      </c>
      <c r="D1228" s="3626">
        <v>7806</v>
      </c>
      <c r="E1228" s="3626">
        <v>10328</v>
      </c>
      <c r="F1228" s="3626">
        <v>8854</v>
      </c>
    </row>
    <row r="1229" spans="1:6" ht="15.75">
      <c r="A1229" s="3021">
        <v>58250</v>
      </c>
      <c r="B1229" s="3021">
        <v>58300</v>
      </c>
      <c r="C1229" s="3981">
        <v>10340</v>
      </c>
      <c r="D1229" s="3626">
        <v>7814</v>
      </c>
      <c r="E1229" s="3626">
        <v>10340</v>
      </c>
      <c r="F1229" s="3626">
        <v>8866</v>
      </c>
    </row>
    <row r="1230" spans="1:6" ht="15.75">
      <c r="A1230" s="3021">
        <v>58300</v>
      </c>
      <c r="B1230" s="3021">
        <v>58350</v>
      </c>
      <c r="C1230" s="3981">
        <v>10353</v>
      </c>
      <c r="D1230" s="3626">
        <v>7821</v>
      </c>
      <c r="E1230" s="3626">
        <v>10353</v>
      </c>
      <c r="F1230" s="3626">
        <v>8879</v>
      </c>
    </row>
    <row r="1231" spans="1:6" ht="15.75">
      <c r="A1231" s="3021">
        <v>58350</v>
      </c>
      <c r="B1231" s="3021">
        <v>58400</v>
      </c>
      <c r="C1231" s="3981">
        <v>10365</v>
      </c>
      <c r="D1231" s="3626">
        <v>7829</v>
      </c>
      <c r="E1231" s="3626">
        <v>10365</v>
      </c>
      <c r="F1231" s="3626">
        <v>8891</v>
      </c>
    </row>
    <row r="1232" spans="1:6" ht="15.75">
      <c r="A1232" s="3021">
        <v>58400</v>
      </c>
      <c r="B1232" s="3021">
        <v>58450</v>
      </c>
      <c r="C1232" s="3981">
        <v>10378</v>
      </c>
      <c r="D1232" s="3626">
        <v>7836</v>
      </c>
      <c r="E1232" s="3626">
        <v>10378</v>
      </c>
      <c r="F1232" s="3626">
        <v>8904</v>
      </c>
    </row>
    <row r="1233" spans="1:6" ht="15.75">
      <c r="A1233" s="3021">
        <v>58450</v>
      </c>
      <c r="B1233" s="3021">
        <v>58500</v>
      </c>
      <c r="C1233" s="3981">
        <v>10390</v>
      </c>
      <c r="D1233" s="3626">
        <v>7844</v>
      </c>
      <c r="E1233" s="3626">
        <v>10390</v>
      </c>
      <c r="F1233" s="3626">
        <v>8916</v>
      </c>
    </row>
    <row r="1234" spans="1:6" ht="15.75">
      <c r="A1234" s="3021">
        <v>58500</v>
      </c>
      <c r="B1234" s="3021">
        <v>58550</v>
      </c>
      <c r="C1234" s="3981">
        <v>10403</v>
      </c>
      <c r="D1234" s="3626">
        <v>7851</v>
      </c>
      <c r="E1234" s="3626">
        <v>10403</v>
      </c>
      <c r="F1234" s="3626">
        <v>8929</v>
      </c>
    </row>
    <row r="1235" spans="1:6" ht="15.75">
      <c r="A1235" s="3021">
        <v>58550</v>
      </c>
      <c r="B1235" s="3021">
        <v>58600</v>
      </c>
      <c r="C1235" s="3981">
        <v>10415</v>
      </c>
      <c r="D1235" s="3626">
        <v>7859</v>
      </c>
      <c r="E1235" s="3626">
        <v>10415</v>
      </c>
      <c r="F1235" s="3626">
        <v>8941</v>
      </c>
    </row>
    <row r="1236" spans="1:6" ht="15.75">
      <c r="A1236" s="3021">
        <v>58600</v>
      </c>
      <c r="B1236" s="3021">
        <v>58650</v>
      </c>
      <c r="C1236" s="3981">
        <v>10428</v>
      </c>
      <c r="D1236" s="3626">
        <v>7866</v>
      </c>
      <c r="E1236" s="3626">
        <v>10428</v>
      </c>
      <c r="F1236" s="3626">
        <v>8954</v>
      </c>
    </row>
    <row r="1237" spans="1:6" ht="15.75">
      <c r="A1237" s="3021">
        <v>58650</v>
      </c>
      <c r="B1237" s="3021">
        <v>58700</v>
      </c>
      <c r="C1237" s="3981">
        <v>10440</v>
      </c>
      <c r="D1237" s="3626">
        <v>7874</v>
      </c>
      <c r="E1237" s="3626">
        <v>10440</v>
      </c>
      <c r="F1237" s="3626">
        <v>8966</v>
      </c>
    </row>
    <row r="1238" spans="1:6" ht="15.75">
      <c r="A1238" s="3021">
        <v>58700</v>
      </c>
      <c r="B1238" s="3021">
        <v>58750</v>
      </c>
      <c r="C1238" s="3981">
        <v>10453</v>
      </c>
      <c r="D1238" s="3626">
        <v>7881</v>
      </c>
      <c r="E1238" s="3626">
        <v>10453</v>
      </c>
      <c r="F1238" s="3626">
        <v>8979</v>
      </c>
    </row>
    <row r="1239" spans="1:6" ht="15.75">
      <c r="A1239" s="3021">
        <v>58750</v>
      </c>
      <c r="B1239" s="3021">
        <v>58800</v>
      </c>
      <c r="C1239" s="3981">
        <v>10465</v>
      </c>
      <c r="D1239" s="3626">
        <v>7889</v>
      </c>
      <c r="E1239" s="3626">
        <v>10465</v>
      </c>
      <c r="F1239" s="3626">
        <v>8991</v>
      </c>
    </row>
    <row r="1240" spans="1:6" ht="15.75">
      <c r="A1240" s="3021">
        <v>58800</v>
      </c>
      <c r="B1240" s="3021">
        <v>58850</v>
      </c>
      <c r="C1240" s="3981">
        <v>10478</v>
      </c>
      <c r="D1240" s="3626">
        <v>7896</v>
      </c>
      <c r="E1240" s="3626">
        <v>10478</v>
      </c>
      <c r="F1240" s="3626">
        <v>9004</v>
      </c>
    </row>
    <row r="1241" spans="1:6" ht="15.75">
      <c r="A1241" s="3021">
        <v>58850</v>
      </c>
      <c r="B1241" s="3021">
        <v>58900</v>
      </c>
      <c r="C1241" s="3981">
        <v>10490</v>
      </c>
      <c r="D1241" s="3626">
        <v>7904</v>
      </c>
      <c r="E1241" s="3626">
        <v>10490</v>
      </c>
      <c r="F1241" s="3626">
        <v>9016</v>
      </c>
    </row>
    <row r="1242" spans="1:6" ht="15.75">
      <c r="A1242" s="3021">
        <v>58900</v>
      </c>
      <c r="B1242" s="3021">
        <v>58950</v>
      </c>
      <c r="C1242" s="3981">
        <v>10503</v>
      </c>
      <c r="D1242" s="3626">
        <v>7911</v>
      </c>
      <c r="E1242" s="3626">
        <v>10503</v>
      </c>
      <c r="F1242" s="3626">
        <v>9029</v>
      </c>
    </row>
    <row r="1243" spans="1:6" ht="15.75">
      <c r="A1243" s="3021">
        <v>58950</v>
      </c>
      <c r="B1243" s="3021">
        <v>59000</v>
      </c>
      <c r="C1243" s="3981">
        <v>10515</v>
      </c>
      <c r="D1243" s="3626">
        <v>7919</v>
      </c>
      <c r="E1243" s="3626">
        <v>10515</v>
      </c>
      <c r="F1243" s="3626">
        <v>9041</v>
      </c>
    </row>
    <row r="1244" spans="1:6" ht="15.75">
      <c r="A1244" s="3021">
        <v>59000</v>
      </c>
      <c r="B1244" s="3021">
        <v>59050</v>
      </c>
      <c r="C1244" s="3981">
        <v>10528</v>
      </c>
      <c r="D1244" s="3626">
        <v>7926</v>
      </c>
      <c r="E1244" s="3626">
        <v>10528</v>
      </c>
      <c r="F1244" s="3626">
        <v>9054</v>
      </c>
    </row>
    <row r="1245" spans="1:6" ht="15.75">
      <c r="A1245" s="3021">
        <v>59050</v>
      </c>
      <c r="B1245" s="3021">
        <v>59100</v>
      </c>
      <c r="C1245" s="3981">
        <v>10540</v>
      </c>
      <c r="D1245" s="3626">
        <v>7934</v>
      </c>
      <c r="E1245" s="3626">
        <v>10540</v>
      </c>
      <c r="F1245" s="3626">
        <v>9066</v>
      </c>
    </row>
    <row r="1246" spans="1:6" ht="15.75">
      <c r="A1246" s="3021">
        <v>59100</v>
      </c>
      <c r="B1246" s="3021">
        <v>59150</v>
      </c>
      <c r="C1246" s="3981">
        <v>10553</v>
      </c>
      <c r="D1246" s="3626">
        <v>7941</v>
      </c>
      <c r="E1246" s="3626">
        <v>10553</v>
      </c>
      <c r="F1246" s="3626">
        <v>9079</v>
      </c>
    </row>
    <row r="1247" spans="1:6" ht="15.75">
      <c r="A1247" s="3021">
        <v>59150</v>
      </c>
      <c r="B1247" s="3021">
        <v>59200</v>
      </c>
      <c r="C1247" s="3981">
        <v>10565</v>
      </c>
      <c r="D1247" s="3626">
        <v>7949</v>
      </c>
      <c r="E1247" s="3626">
        <v>10565</v>
      </c>
      <c r="F1247" s="3626">
        <v>9091</v>
      </c>
    </row>
    <row r="1248" spans="1:6" ht="15.75">
      <c r="A1248" s="3021">
        <v>59200</v>
      </c>
      <c r="B1248" s="3021">
        <v>59250</v>
      </c>
      <c r="C1248" s="3981">
        <v>10578</v>
      </c>
      <c r="D1248" s="3626">
        <v>7956</v>
      </c>
      <c r="E1248" s="3626">
        <v>10578</v>
      </c>
      <c r="F1248" s="3626">
        <v>9104</v>
      </c>
    </row>
    <row r="1249" spans="1:6" ht="15.75">
      <c r="A1249" s="3021">
        <v>59250</v>
      </c>
      <c r="B1249" s="3021">
        <v>59300</v>
      </c>
      <c r="C1249" s="3981">
        <v>10590</v>
      </c>
      <c r="D1249" s="3626">
        <v>7964</v>
      </c>
      <c r="E1249" s="3626">
        <v>10590</v>
      </c>
      <c r="F1249" s="3626">
        <v>9116</v>
      </c>
    </row>
    <row r="1250" spans="1:6" ht="15.75">
      <c r="A1250" s="3021">
        <v>59300</v>
      </c>
      <c r="B1250" s="3021">
        <v>59350</v>
      </c>
      <c r="C1250" s="3981">
        <v>10603</v>
      </c>
      <c r="D1250" s="3626">
        <v>7971</v>
      </c>
      <c r="E1250" s="3626">
        <v>10603</v>
      </c>
      <c r="F1250" s="3626">
        <v>9129</v>
      </c>
    </row>
    <row r="1251" spans="1:6" ht="15.75">
      <c r="A1251" s="3021">
        <v>59350</v>
      </c>
      <c r="B1251" s="3021">
        <v>59400</v>
      </c>
      <c r="C1251" s="3981">
        <v>10615</v>
      </c>
      <c r="D1251" s="3626">
        <v>7979</v>
      </c>
      <c r="E1251" s="3626">
        <v>10615</v>
      </c>
      <c r="F1251" s="3626">
        <v>9141</v>
      </c>
    </row>
    <row r="1252" spans="1:6" ht="15.75">
      <c r="A1252" s="3021">
        <v>59400</v>
      </c>
      <c r="B1252" s="3021">
        <v>59450</v>
      </c>
      <c r="C1252" s="3981">
        <v>10628</v>
      </c>
      <c r="D1252" s="3626">
        <v>7986</v>
      </c>
      <c r="E1252" s="3626">
        <v>10628</v>
      </c>
      <c r="F1252" s="3626">
        <v>9154</v>
      </c>
    </row>
    <row r="1253" spans="1:6" ht="15.75">
      <c r="A1253" s="3021">
        <v>59450</v>
      </c>
      <c r="B1253" s="3021">
        <v>59500</v>
      </c>
      <c r="C1253" s="3981">
        <v>10640</v>
      </c>
      <c r="D1253" s="3626">
        <v>7994</v>
      </c>
      <c r="E1253" s="3626">
        <v>10640</v>
      </c>
      <c r="F1253" s="3626">
        <v>9166</v>
      </c>
    </row>
    <row r="1254" spans="1:6" ht="15.75">
      <c r="A1254" s="3021">
        <v>59500</v>
      </c>
      <c r="B1254" s="3021">
        <v>59550</v>
      </c>
      <c r="C1254" s="3981">
        <v>10653</v>
      </c>
      <c r="D1254" s="3626">
        <v>8001</v>
      </c>
      <c r="E1254" s="3626">
        <v>10653</v>
      </c>
      <c r="F1254" s="3626">
        <v>9179</v>
      </c>
    </row>
    <row r="1255" spans="1:6" ht="15.75">
      <c r="A1255" s="3021">
        <v>59550</v>
      </c>
      <c r="B1255" s="3021">
        <v>59600</v>
      </c>
      <c r="C1255" s="3981">
        <v>10665</v>
      </c>
      <c r="D1255" s="3626">
        <v>8009</v>
      </c>
      <c r="E1255" s="3626">
        <v>10665</v>
      </c>
      <c r="F1255" s="3626">
        <v>9191</v>
      </c>
    </row>
    <row r="1256" spans="1:6" ht="15.75">
      <c r="A1256" s="3021">
        <v>59600</v>
      </c>
      <c r="B1256" s="3021">
        <v>59650</v>
      </c>
      <c r="C1256" s="3981">
        <v>10678</v>
      </c>
      <c r="D1256" s="3626">
        <v>8016</v>
      </c>
      <c r="E1256" s="3626">
        <v>10678</v>
      </c>
      <c r="F1256" s="3626">
        <v>9204</v>
      </c>
    </row>
    <row r="1257" spans="1:6" ht="15.75">
      <c r="A1257" s="3021">
        <v>59650</v>
      </c>
      <c r="B1257" s="3021">
        <v>59700</v>
      </c>
      <c r="C1257" s="3981">
        <v>10690</v>
      </c>
      <c r="D1257" s="3626">
        <v>8024</v>
      </c>
      <c r="E1257" s="3626">
        <v>10690</v>
      </c>
      <c r="F1257" s="3626">
        <v>9216</v>
      </c>
    </row>
    <row r="1258" spans="1:6" ht="15.75">
      <c r="A1258" s="3021">
        <v>59700</v>
      </c>
      <c r="B1258" s="3021">
        <v>59750</v>
      </c>
      <c r="C1258" s="3981">
        <v>10703</v>
      </c>
      <c r="D1258" s="3626">
        <v>8031</v>
      </c>
      <c r="E1258" s="3626">
        <v>10703</v>
      </c>
      <c r="F1258" s="3626">
        <v>9229</v>
      </c>
    </row>
    <row r="1259" spans="1:6" ht="15.75">
      <c r="A1259" s="3021">
        <v>59750</v>
      </c>
      <c r="B1259" s="3021">
        <v>59800</v>
      </c>
      <c r="C1259" s="3981">
        <v>10715</v>
      </c>
      <c r="D1259" s="3626">
        <v>8039</v>
      </c>
      <c r="E1259" s="3626">
        <v>10715</v>
      </c>
      <c r="F1259" s="3626">
        <v>9241</v>
      </c>
    </row>
    <row r="1260" spans="1:6" ht="15.75">
      <c r="A1260" s="3021">
        <v>59800</v>
      </c>
      <c r="B1260" s="3021">
        <v>59850</v>
      </c>
      <c r="C1260" s="3981">
        <v>10728</v>
      </c>
      <c r="D1260" s="3626">
        <v>8046</v>
      </c>
      <c r="E1260" s="3626">
        <v>10728</v>
      </c>
      <c r="F1260" s="3626">
        <v>9254</v>
      </c>
    </row>
    <row r="1261" spans="1:6" ht="15.75">
      <c r="A1261" s="3021">
        <v>59850</v>
      </c>
      <c r="B1261" s="3021">
        <v>59900</v>
      </c>
      <c r="C1261" s="3981">
        <v>10740</v>
      </c>
      <c r="D1261" s="3626">
        <v>8054</v>
      </c>
      <c r="E1261" s="3626">
        <v>10740</v>
      </c>
      <c r="F1261" s="3626">
        <v>9266</v>
      </c>
    </row>
    <row r="1262" spans="1:6" ht="15.75">
      <c r="A1262" s="3021">
        <v>59900</v>
      </c>
      <c r="B1262" s="3021">
        <v>59950</v>
      </c>
      <c r="C1262" s="3981">
        <v>10753</v>
      </c>
      <c r="D1262" s="3626">
        <v>8061</v>
      </c>
      <c r="E1262" s="3626">
        <v>10753</v>
      </c>
      <c r="F1262" s="3626">
        <v>9279</v>
      </c>
    </row>
    <row r="1263" spans="1:6" ht="15.75">
      <c r="A1263" s="3021">
        <v>59950</v>
      </c>
      <c r="B1263" s="3021">
        <v>60000</v>
      </c>
      <c r="C1263" s="3981">
        <v>10765</v>
      </c>
      <c r="D1263" s="3626">
        <v>8069</v>
      </c>
      <c r="E1263" s="3626">
        <v>10765</v>
      </c>
      <c r="F1263" s="3626">
        <v>9291</v>
      </c>
    </row>
    <row r="1264" spans="1:6" ht="15.75">
      <c r="A1264" s="3021">
        <v>60000</v>
      </c>
      <c r="B1264" s="3021">
        <v>60050</v>
      </c>
      <c r="C1264" s="3981">
        <v>10778</v>
      </c>
      <c r="D1264" s="3626">
        <v>8076</v>
      </c>
      <c r="E1264" s="3626">
        <v>10778</v>
      </c>
      <c r="F1264" s="3626">
        <v>9304</v>
      </c>
    </row>
    <row r="1265" spans="1:6" ht="15.75">
      <c r="A1265" s="3021">
        <v>60050</v>
      </c>
      <c r="B1265" s="3021">
        <v>60100</v>
      </c>
      <c r="C1265" s="3981">
        <v>10790</v>
      </c>
      <c r="D1265" s="3626">
        <v>8084</v>
      </c>
      <c r="E1265" s="3626">
        <v>10790</v>
      </c>
      <c r="F1265" s="3626">
        <v>9316</v>
      </c>
    </row>
    <row r="1266" spans="1:6" ht="15.75">
      <c r="A1266" s="3021">
        <v>60100</v>
      </c>
      <c r="B1266" s="3021">
        <v>60150</v>
      </c>
      <c r="C1266" s="3981">
        <v>10803</v>
      </c>
      <c r="D1266" s="3626">
        <v>8091</v>
      </c>
      <c r="E1266" s="3626">
        <v>10803</v>
      </c>
      <c r="F1266" s="3626">
        <v>9329</v>
      </c>
    </row>
    <row r="1267" spans="1:6" ht="15.75">
      <c r="A1267" s="3021">
        <v>60150</v>
      </c>
      <c r="B1267" s="3021">
        <v>60200</v>
      </c>
      <c r="C1267" s="3981">
        <v>10815</v>
      </c>
      <c r="D1267" s="3626">
        <v>8099</v>
      </c>
      <c r="E1267" s="3626">
        <v>10815</v>
      </c>
      <c r="F1267" s="3626">
        <v>9341</v>
      </c>
    </row>
    <row r="1268" spans="1:6" ht="15.75">
      <c r="A1268" s="3021">
        <v>60200</v>
      </c>
      <c r="B1268" s="3021">
        <v>60250</v>
      </c>
      <c r="C1268" s="3981">
        <v>10828</v>
      </c>
      <c r="D1268" s="3626">
        <v>8106</v>
      </c>
      <c r="E1268" s="3626">
        <v>10828</v>
      </c>
      <c r="F1268" s="3626">
        <v>9354</v>
      </c>
    </row>
    <row r="1269" spans="1:6" ht="15.75">
      <c r="A1269" s="3021">
        <v>60250</v>
      </c>
      <c r="B1269" s="3021">
        <v>60300</v>
      </c>
      <c r="C1269" s="3981">
        <v>10840</v>
      </c>
      <c r="D1269" s="3626">
        <v>8114</v>
      </c>
      <c r="E1269" s="3626">
        <v>10840</v>
      </c>
      <c r="F1269" s="3626">
        <v>9366</v>
      </c>
    </row>
    <row r="1270" spans="1:6" ht="15.75">
      <c r="A1270" s="3021">
        <v>60300</v>
      </c>
      <c r="B1270" s="3021">
        <v>60350</v>
      </c>
      <c r="C1270" s="3981">
        <v>10853</v>
      </c>
      <c r="D1270" s="3626">
        <v>8121</v>
      </c>
      <c r="E1270" s="3626">
        <v>10853</v>
      </c>
      <c r="F1270" s="3626">
        <v>9379</v>
      </c>
    </row>
    <row r="1271" spans="1:6" ht="15.75">
      <c r="A1271" s="3021">
        <v>60350</v>
      </c>
      <c r="B1271" s="3021">
        <v>60400</v>
      </c>
      <c r="C1271" s="3981">
        <v>10865</v>
      </c>
      <c r="D1271" s="3626">
        <v>8129</v>
      </c>
      <c r="E1271" s="3626">
        <v>10865</v>
      </c>
      <c r="F1271" s="3626">
        <v>9391</v>
      </c>
    </row>
    <row r="1272" spans="1:6" ht="15.75">
      <c r="A1272" s="3021">
        <v>60400</v>
      </c>
      <c r="B1272" s="3021">
        <v>60450</v>
      </c>
      <c r="C1272" s="3981">
        <v>10878</v>
      </c>
      <c r="D1272" s="3626">
        <v>8136</v>
      </c>
      <c r="E1272" s="3626">
        <v>10878</v>
      </c>
      <c r="F1272" s="3626">
        <v>9404</v>
      </c>
    </row>
    <row r="1273" spans="1:6" ht="15.75">
      <c r="A1273" s="3021">
        <v>60450</v>
      </c>
      <c r="B1273" s="3021">
        <v>60500</v>
      </c>
      <c r="C1273" s="3981">
        <v>10890</v>
      </c>
      <c r="D1273" s="3626">
        <v>8144</v>
      </c>
      <c r="E1273" s="3626">
        <v>10890</v>
      </c>
      <c r="F1273" s="3626">
        <v>9416</v>
      </c>
    </row>
    <row r="1274" spans="1:6" ht="15.75">
      <c r="A1274" s="3021">
        <v>60500</v>
      </c>
      <c r="B1274" s="3021">
        <v>60550</v>
      </c>
      <c r="C1274" s="3981">
        <v>10903</v>
      </c>
      <c r="D1274" s="3626">
        <v>8151</v>
      </c>
      <c r="E1274" s="3626">
        <v>10903</v>
      </c>
      <c r="F1274" s="3626">
        <v>9429</v>
      </c>
    </row>
    <row r="1275" spans="1:6" ht="15.75">
      <c r="A1275" s="3021">
        <v>60550</v>
      </c>
      <c r="B1275" s="3021">
        <v>60600</v>
      </c>
      <c r="C1275" s="3981">
        <v>10915</v>
      </c>
      <c r="D1275" s="3626">
        <v>8159</v>
      </c>
      <c r="E1275" s="3626">
        <v>10915</v>
      </c>
      <c r="F1275" s="3626">
        <v>9441</v>
      </c>
    </row>
    <row r="1276" spans="1:6" ht="15.75">
      <c r="A1276" s="3021">
        <v>60600</v>
      </c>
      <c r="B1276" s="3021">
        <v>60650</v>
      </c>
      <c r="C1276" s="3981">
        <v>10928</v>
      </c>
      <c r="D1276" s="3626">
        <v>8166</v>
      </c>
      <c r="E1276" s="3626">
        <v>10928</v>
      </c>
      <c r="F1276" s="3626">
        <v>9454</v>
      </c>
    </row>
    <row r="1277" spans="1:6" ht="15.75">
      <c r="A1277" s="3021">
        <v>60650</v>
      </c>
      <c r="B1277" s="3021">
        <v>60700</v>
      </c>
      <c r="C1277" s="3981">
        <v>10940</v>
      </c>
      <c r="D1277" s="3626">
        <v>8174</v>
      </c>
      <c r="E1277" s="3626">
        <v>10940</v>
      </c>
      <c r="F1277" s="3626">
        <v>9466</v>
      </c>
    </row>
    <row r="1278" spans="1:6" ht="15.75">
      <c r="A1278" s="3021">
        <v>60700</v>
      </c>
      <c r="B1278" s="3021">
        <v>60750</v>
      </c>
      <c r="C1278" s="3981">
        <v>10953</v>
      </c>
      <c r="D1278" s="3626">
        <v>8181</v>
      </c>
      <c r="E1278" s="3626">
        <v>10953</v>
      </c>
      <c r="F1278" s="3626">
        <v>9479</v>
      </c>
    </row>
    <row r="1279" spans="1:6" ht="15.75">
      <c r="A1279" s="3021">
        <v>60750</v>
      </c>
      <c r="B1279" s="3021">
        <v>60800</v>
      </c>
      <c r="C1279" s="3981">
        <v>10965</v>
      </c>
      <c r="D1279" s="3626">
        <v>8189</v>
      </c>
      <c r="E1279" s="3626">
        <v>10965</v>
      </c>
      <c r="F1279" s="3626">
        <v>9491</v>
      </c>
    </row>
    <row r="1280" spans="1:6" ht="15.75">
      <c r="A1280" s="3021">
        <v>60800</v>
      </c>
      <c r="B1280" s="3021">
        <v>60850</v>
      </c>
      <c r="C1280" s="3981">
        <v>10978</v>
      </c>
      <c r="D1280" s="3626">
        <v>8196</v>
      </c>
      <c r="E1280" s="3626">
        <v>10978</v>
      </c>
      <c r="F1280" s="3626">
        <v>9504</v>
      </c>
    </row>
    <row r="1281" spans="1:6" ht="15.75">
      <c r="A1281" s="3021">
        <v>60850</v>
      </c>
      <c r="B1281" s="3021">
        <v>60900</v>
      </c>
      <c r="C1281" s="3981">
        <v>10990</v>
      </c>
      <c r="D1281" s="3626">
        <v>8204</v>
      </c>
      <c r="E1281" s="3626">
        <v>10990</v>
      </c>
      <c r="F1281" s="3626">
        <v>9516</v>
      </c>
    </row>
    <row r="1282" spans="1:6" ht="15.75">
      <c r="A1282" s="3021">
        <v>60900</v>
      </c>
      <c r="B1282" s="3021">
        <v>60950</v>
      </c>
      <c r="C1282" s="3981">
        <v>11003</v>
      </c>
      <c r="D1282" s="3626">
        <v>8211</v>
      </c>
      <c r="E1282" s="3626">
        <v>11003</v>
      </c>
      <c r="F1282" s="3626">
        <v>9529</v>
      </c>
    </row>
    <row r="1283" spans="1:6" ht="15.75">
      <c r="A1283" s="3021">
        <v>60950</v>
      </c>
      <c r="B1283" s="3021">
        <v>61000</v>
      </c>
      <c r="C1283" s="3981">
        <v>11015</v>
      </c>
      <c r="D1283" s="3626">
        <v>8219</v>
      </c>
      <c r="E1283" s="3626">
        <v>11015</v>
      </c>
      <c r="F1283" s="3626">
        <v>9541</v>
      </c>
    </row>
    <row r="1284" spans="1:6" ht="15.75">
      <c r="A1284" s="3021">
        <v>61000</v>
      </c>
      <c r="B1284" s="3021">
        <v>61050</v>
      </c>
      <c r="C1284" s="3981">
        <v>11028</v>
      </c>
      <c r="D1284" s="3626">
        <v>8226</v>
      </c>
      <c r="E1284" s="3626">
        <v>11028</v>
      </c>
      <c r="F1284" s="3626">
        <v>9554</v>
      </c>
    </row>
    <row r="1285" spans="1:6" ht="15.75">
      <c r="A1285" s="3021">
        <v>61050</v>
      </c>
      <c r="B1285" s="3021">
        <v>61100</v>
      </c>
      <c r="C1285" s="3981">
        <v>11040</v>
      </c>
      <c r="D1285" s="3626">
        <v>8234</v>
      </c>
      <c r="E1285" s="3626">
        <v>11040</v>
      </c>
      <c r="F1285" s="3626">
        <v>9566</v>
      </c>
    </row>
    <row r="1286" spans="1:6" ht="15.75">
      <c r="A1286" s="3021">
        <v>61100</v>
      </c>
      <c r="B1286" s="3021">
        <v>61150</v>
      </c>
      <c r="C1286" s="3981">
        <v>11053</v>
      </c>
      <c r="D1286" s="3626">
        <v>8241</v>
      </c>
      <c r="E1286" s="3626">
        <v>11053</v>
      </c>
      <c r="F1286" s="3626">
        <v>9579</v>
      </c>
    </row>
    <row r="1287" spans="1:6" ht="15.75">
      <c r="A1287" s="3021">
        <v>61150</v>
      </c>
      <c r="B1287" s="3021">
        <v>61200</v>
      </c>
      <c r="C1287" s="3981">
        <v>11065</v>
      </c>
      <c r="D1287" s="3626">
        <v>8249</v>
      </c>
      <c r="E1287" s="3626">
        <v>11065</v>
      </c>
      <c r="F1287" s="3626">
        <v>9591</v>
      </c>
    </row>
    <row r="1288" spans="1:6" ht="15.75">
      <c r="A1288" s="3021">
        <v>61200</v>
      </c>
      <c r="B1288" s="3021">
        <v>61250</v>
      </c>
      <c r="C1288" s="3981">
        <v>11078</v>
      </c>
      <c r="D1288" s="3626">
        <v>8256</v>
      </c>
      <c r="E1288" s="3626">
        <v>11078</v>
      </c>
      <c r="F1288" s="3626">
        <v>9604</v>
      </c>
    </row>
    <row r="1289" spans="1:6" ht="15.75">
      <c r="A1289" s="3021">
        <v>61250</v>
      </c>
      <c r="B1289" s="3021">
        <v>61300</v>
      </c>
      <c r="C1289" s="3981">
        <v>11090</v>
      </c>
      <c r="D1289" s="3626">
        <v>8264</v>
      </c>
      <c r="E1289" s="3626">
        <v>11090</v>
      </c>
      <c r="F1289" s="3626">
        <v>9616</v>
      </c>
    </row>
    <row r="1290" spans="1:6" ht="15.75">
      <c r="A1290" s="3021">
        <v>61300</v>
      </c>
      <c r="B1290" s="3021">
        <v>61350</v>
      </c>
      <c r="C1290" s="3981">
        <v>11103</v>
      </c>
      <c r="D1290" s="3626">
        <v>8271</v>
      </c>
      <c r="E1290" s="3626">
        <v>11103</v>
      </c>
      <c r="F1290" s="3626">
        <v>9629</v>
      </c>
    </row>
    <row r="1291" spans="1:6" ht="15.75">
      <c r="A1291" s="3021">
        <v>61350</v>
      </c>
      <c r="B1291" s="3021">
        <v>61400</v>
      </c>
      <c r="C1291" s="3981">
        <v>11115</v>
      </c>
      <c r="D1291" s="3626">
        <v>8279</v>
      </c>
      <c r="E1291" s="3626">
        <v>11115</v>
      </c>
      <c r="F1291" s="3626">
        <v>9641</v>
      </c>
    </row>
    <row r="1292" spans="1:6" ht="15.75">
      <c r="A1292" s="3021">
        <v>61400</v>
      </c>
      <c r="B1292" s="3021">
        <v>61450</v>
      </c>
      <c r="C1292" s="3981">
        <v>11128</v>
      </c>
      <c r="D1292" s="3626">
        <v>8286</v>
      </c>
      <c r="E1292" s="3626">
        <v>11128</v>
      </c>
      <c r="F1292" s="3626">
        <v>9654</v>
      </c>
    </row>
    <row r="1293" spans="1:6" ht="15.75">
      <c r="A1293" s="3021">
        <v>61450</v>
      </c>
      <c r="B1293" s="3021">
        <v>61500</v>
      </c>
      <c r="C1293" s="3981">
        <v>11140</v>
      </c>
      <c r="D1293" s="3626">
        <v>8294</v>
      </c>
      <c r="E1293" s="3626">
        <v>11140</v>
      </c>
      <c r="F1293" s="3626">
        <v>9666</v>
      </c>
    </row>
    <row r="1294" spans="1:6" ht="15.75">
      <c r="A1294" s="3021">
        <v>61500</v>
      </c>
      <c r="B1294" s="3021">
        <v>61550</v>
      </c>
      <c r="C1294" s="3981">
        <v>11153</v>
      </c>
      <c r="D1294" s="3626">
        <v>8301</v>
      </c>
      <c r="E1294" s="3626">
        <v>11153</v>
      </c>
      <c r="F1294" s="3626">
        <v>9679</v>
      </c>
    </row>
    <row r="1295" spans="1:6" ht="15.75">
      <c r="A1295" s="3021">
        <v>61550</v>
      </c>
      <c r="B1295" s="3021">
        <v>61600</v>
      </c>
      <c r="C1295" s="3981">
        <v>11165</v>
      </c>
      <c r="D1295" s="3626">
        <v>8309</v>
      </c>
      <c r="E1295" s="3626">
        <v>11165</v>
      </c>
      <c r="F1295" s="3626">
        <v>9691</v>
      </c>
    </row>
    <row r="1296" spans="1:6" ht="15.75">
      <c r="A1296" s="3021">
        <v>61600</v>
      </c>
      <c r="B1296" s="3021">
        <v>61650</v>
      </c>
      <c r="C1296" s="3981">
        <v>11178</v>
      </c>
      <c r="D1296" s="3626">
        <v>8316</v>
      </c>
      <c r="E1296" s="3626">
        <v>11178</v>
      </c>
      <c r="F1296" s="3626">
        <v>9704</v>
      </c>
    </row>
    <row r="1297" spans="1:6" ht="15.75">
      <c r="A1297" s="3021">
        <v>61650</v>
      </c>
      <c r="B1297" s="3021">
        <v>61700</v>
      </c>
      <c r="C1297" s="3981">
        <v>11190</v>
      </c>
      <c r="D1297" s="3626">
        <v>8324</v>
      </c>
      <c r="E1297" s="3626">
        <v>11190</v>
      </c>
      <c r="F1297" s="3626">
        <v>9716</v>
      </c>
    </row>
    <row r="1298" spans="1:6" ht="15.75">
      <c r="A1298" s="3021">
        <v>61700</v>
      </c>
      <c r="B1298" s="3021">
        <v>61750</v>
      </c>
      <c r="C1298" s="3981">
        <v>11203</v>
      </c>
      <c r="D1298" s="3626">
        <v>8331</v>
      </c>
      <c r="E1298" s="3626">
        <v>11203</v>
      </c>
      <c r="F1298" s="3626">
        <v>9729</v>
      </c>
    </row>
    <row r="1299" spans="1:6" ht="15.75">
      <c r="A1299" s="3021">
        <v>61750</v>
      </c>
      <c r="B1299" s="3021">
        <v>61800</v>
      </c>
      <c r="C1299" s="3981">
        <v>11215</v>
      </c>
      <c r="D1299" s="3626">
        <v>8339</v>
      </c>
      <c r="E1299" s="3626">
        <v>11215</v>
      </c>
      <c r="F1299" s="3626">
        <v>9741</v>
      </c>
    </row>
    <row r="1300" spans="1:6" ht="15.75">
      <c r="A1300" s="3021">
        <v>61800</v>
      </c>
      <c r="B1300" s="3021">
        <v>61850</v>
      </c>
      <c r="C1300" s="3981">
        <v>11228</v>
      </c>
      <c r="D1300" s="3626">
        <v>8346</v>
      </c>
      <c r="E1300" s="3626">
        <v>11228</v>
      </c>
      <c r="F1300" s="3626">
        <v>9754</v>
      </c>
    </row>
    <row r="1301" spans="1:6" ht="15.75">
      <c r="A1301" s="3021">
        <v>61850</v>
      </c>
      <c r="B1301" s="3021">
        <v>61900</v>
      </c>
      <c r="C1301" s="3981">
        <v>11240</v>
      </c>
      <c r="D1301" s="3626">
        <v>8354</v>
      </c>
      <c r="E1301" s="3626">
        <v>11240</v>
      </c>
      <c r="F1301" s="3626">
        <v>9766</v>
      </c>
    </row>
    <row r="1302" spans="1:6" ht="15.75">
      <c r="A1302" s="3021">
        <v>61900</v>
      </c>
      <c r="B1302" s="3021">
        <v>61950</v>
      </c>
      <c r="C1302" s="3981">
        <v>11253</v>
      </c>
      <c r="D1302" s="3626">
        <v>8361</v>
      </c>
      <c r="E1302" s="3626">
        <v>11253</v>
      </c>
      <c r="F1302" s="3626">
        <v>9779</v>
      </c>
    </row>
    <row r="1303" spans="1:6" ht="15.75">
      <c r="A1303" s="3021">
        <v>61950</v>
      </c>
      <c r="B1303" s="3021">
        <v>62000</v>
      </c>
      <c r="C1303" s="3981">
        <v>11265</v>
      </c>
      <c r="D1303" s="3626">
        <v>8369</v>
      </c>
      <c r="E1303" s="3626">
        <v>11265</v>
      </c>
      <c r="F1303" s="3626">
        <v>9791</v>
      </c>
    </row>
    <row r="1304" spans="1:6" ht="15.75">
      <c r="A1304" s="3021">
        <v>62000</v>
      </c>
      <c r="B1304" s="3021">
        <v>62050</v>
      </c>
      <c r="C1304" s="3981">
        <v>11278</v>
      </c>
      <c r="D1304" s="3626">
        <v>8376</v>
      </c>
      <c r="E1304" s="3626">
        <v>11278</v>
      </c>
      <c r="F1304" s="3626">
        <v>9804</v>
      </c>
    </row>
    <row r="1305" spans="1:6" ht="15.75">
      <c r="A1305" s="3021">
        <v>62050</v>
      </c>
      <c r="B1305" s="3021">
        <v>62100</v>
      </c>
      <c r="C1305" s="3981">
        <v>11290</v>
      </c>
      <c r="D1305" s="3626">
        <v>8384</v>
      </c>
      <c r="E1305" s="3626">
        <v>11290</v>
      </c>
      <c r="F1305" s="3626">
        <v>9816</v>
      </c>
    </row>
    <row r="1306" spans="1:6" ht="15.75">
      <c r="A1306" s="3021">
        <v>62100</v>
      </c>
      <c r="B1306" s="3021">
        <v>62150</v>
      </c>
      <c r="C1306" s="3981">
        <v>11303</v>
      </c>
      <c r="D1306" s="3626">
        <v>8391</v>
      </c>
      <c r="E1306" s="3626">
        <v>11303</v>
      </c>
      <c r="F1306" s="3626">
        <v>9829</v>
      </c>
    </row>
    <row r="1307" spans="1:6" ht="15.75">
      <c r="A1307" s="3021">
        <v>62150</v>
      </c>
      <c r="B1307" s="3021">
        <v>62200</v>
      </c>
      <c r="C1307" s="3981">
        <v>11315</v>
      </c>
      <c r="D1307" s="3626">
        <v>8399</v>
      </c>
      <c r="E1307" s="3626">
        <v>11315</v>
      </c>
      <c r="F1307" s="3626">
        <v>9841</v>
      </c>
    </row>
    <row r="1308" spans="1:6" ht="15.75">
      <c r="A1308" s="3021">
        <v>62200</v>
      </c>
      <c r="B1308" s="3021">
        <v>62250</v>
      </c>
      <c r="C1308" s="3981">
        <v>11328</v>
      </c>
      <c r="D1308" s="3626">
        <v>8406</v>
      </c>
      <c r="E1308" s="3626">
        <v>11328</v>
      </c>
      <c r="F1308" s="3626">
        <v>9854</v>
      </c>
    </row>
    <row r="1309" spans="1:6" ht="15.75">
      <c r="A1309" s="3021">
        <v>62250</v>
      </c>
      <c r="B1309" s="3021">
        <v>62300</v>
      </c>
      <c r="C1309" s="3981">
        <v>11340</v>
      </c>
      <c r="D1309" s="3626">
        <v>8414</v>
      </c>
      <c r="E1309" s="3626">
        <v>11340</v>
      </c>
      <c r="F1309" s="3626">
        <v>9866</v>
      </c>
    </row>
    <row r="1310" spans="1:6" ht="15.75">
      <c r="A1310" s="3021">
        <v>62300</v>
      </c>
      <c r="B1310" s="3021">
        <v>62350</v>
      </c>
      <c r="C1310" s="3981">
        <v>11353</v>
      </c>
      <c r="D1310" s="3626">
        <v>8421</v>
      </c>
      <c r="E1310" s="3626">
        <v>11353</v>
      </c>
      <c r="F1310" s="3626">
        <v>9879</v>
      </c>
    </row>
    <row r="1311" spans="1:6" ht="15.75">
      <c r="A1311" s="3021">
        <v>62350</v>
      </c>
      <c r="B1311" s="3021">
        <v>62400</v>
      </c>
      <c r="C1311" s="3981">
        <v>11365</v>
      </c>
      <c r="D1311" s="3626">
        <v>8429</v>
      </c>
      <c r="E1311" s="3626">
        <v>11365</v>
      </c>
      <c r="F1311" s="3626">
        <v>9891</v>
      </c>
    </row>
    <row r="1312" spans="1:6" ht="15.75">
      <c r="A1312" s="3021">
        <v>62400</v>
      </c>
      <c r="B1312" s="3021">
        <v>62450</v>
      </c>
      <c r="C1312" s="3981">
        <v>11378</v>
      </c>
      <c r="D1312" s="3626">
        <v>8436</v>
      </c>
      <c r="E1312" s="3626">
        <v>11378</v>
      </c>
      <c r="F1312" s="3626">
        <v>9904</v>
      </c>
    </row>
    <row r="1313" spans="1:6" ht="15.75">
      <c r="A1313" s="3021">
        <v>62450</v>
      </c>
      <c r="B1313" s="3021">
        <v>62500</v>
      </c>
      <c r="C1313" s="3981">
        <v>11390</v>
      </c>
      <c r="D1313" s="3626">
        <v>8444</v>
      </c>
      <c r="E1313" s="3626">
        <v>11390</v>
      </c>
      <c r="F1313" s="3626">
        <v>9916</v>
      </c>
    </row>
    <row r="1314" spans="1:6" ht="15.75">
      <c r="A1314" s="3021">
        <v>62500</v>
      </c>
      <c r="B1314" s="3021">
        <v>62550</v>
      </c>
      <c r="C1314" s="3981">
        <v>11403</v>
      </c>
      <c r="D1314" s="3626">
        <v>8451</v>
      </c>
      <c r="E1314" s="3626">
        <v>11403</v>
      </c>
      <c r="F1314" s="3626">
        <v>9929</v>
      </c>
    </row>
    <row r="1315" spans="1:6" ht="15.75">
      <c r="A1315" s="3021">
        <v>62550</v>
      </c>
      <c r="B1315" s="3021">
        <v>62600</v>
      </c>
      <c r="C1315" s="3981">
        <v>11415</v>
      </c>
      <c r="D1315" s="3626">
        <v>8459</v>
      </c>
      <c r="E1315" s="3626">
        <v>11415</v>
      </c>
      <c r="F1315" s="3626">
        <v>9941</v>
      </c>
    </row>
    <row r="1316" spans="1:6" ht="15.75">
      <c r="A1316" s="3021">
        <v>62600</v>
      </c>
      <c r="B1316" s="3021">
        <v>62650</v>
      </c>
      <c r="C1316" s="3981">
        <v>11428</v>
      </c>
      <c r="D1316" s="3626">
        <v>8466</v>
      </c>
      <c r="E1316" s="3626">
        <v>11428</v>
      </c>
      <c r="F1316" s="3626">
        <v>9954</v>
      </c>
    </row>
    <row r="1317" spans="1:6" ht="15.75">
      <c r="A1317" s="3021">
        <v>62650</v>
      </c>
      <c r="B1317" s="3021">
        <v>62700</v>
      </c>
      <c r="C1317" s="3981">
        <v>11440</v>
      </c>
      <c r="D1317" s="3626">
        <v>8474</v>
      </c>
      <c r="E1317" s="3626">
        <v>11440</v>
      </c>
      <c r="F1317" s="3626">
        <v>9966</v>
      </c>
    </row>
    <row r="1318" spans="1:6" ht="15.75">
      <c r="A1318" s="3021">
        <v>62700</v>
      </c>
      <c r="B1318" s="3021">
        <v>62750</v>
      </c>
      <c r="C1318" s="3981">
        <v>11453</v>
      </c>
      <c r="D1318" s="3626">
        <v>8481</v>
      </c>
      <c r="E1318" s="3626">
        <v>11453</v>
      </c>
      <c r="F1318" s="3626">
        <v>9979</v>
      </c>
    </row>
    <row r="1319" spans="1:6" ht="15.75">
      <c r="A1319" s="3021">
        <v>62750</v>
      </c>
      <c r="B1319" s="3021">
        <v>62800</v>
      </c>
      <c r="C1319" s="3981">
        <v>11465</v>
      </c>
      <c r="D1319" s="3626">
        <v>8489</v>
      </c>
      <c r="E1319" s="3626">
        <v>11465</v>
      </c>
      <c r="F1319" s="3626">
        <v>9991</v>
      </c>
    </row>
    <row r="1320" spans="1:6" ht="15.75">
      <c r="A1320" s="3021">
        <v>62800</v>
      </c>
      <c r="B1320" s="3021">
        <v>62850</v>
      </c>
      <c r="C1320" s="3981">
        <v>11478</v>
      </c>
      <c r="D1320" s="3626">
        <v>8496</v>
      </c>
      <c r="E1320" s="3626">
        <v>11478</v>
      </c>
      <c r="F1320" s="3626">
        <v>10004</v>
      </c>
    </row>
    <row r="1321" spans="1:6" ht="15.75">
      <c r="A1321" s="3021">
        <v>62850</v>
      </c>
      <c r="B1321" s="3021">
        <v>62900</v>
      </c>
      <c r="C1321" s="3981">
        <v>11490</v>
      </c>
      <c r="D1321" s="3626">
        <v>8504</v>
      </c>
      <c r="E1321" s="3626">
        <v>11490</v>
      </c>
      <c r="F1321" s="3626">
        <v>10016</v>
      </c>
    </row>
    <row r="1322" spans="1:6" ht="15.75">
      <c r="A1322" s="3021">
        <v>62900</v>
      </c>
      <c r="B1322" s="3021">
        <v>62950</v>
      </c>
      <c r="C1322" s="3981">
        <v>11503</v>
      </c>
      <c r="D1322" s="3626">
        <v>8511</v>
      </c>
      <c r="E1322" s="3626">
        <v>11503</v>
      </c>
      <c r="F1322" s="3626">
        <v>10029</v>
      </c>
    </row>
    <row r="1323" spans="1:6" ht="15.75">
      <c r="A1323" s="3021">
        <v>62950</v>
      </c>
      <c r="B1323" s="3021">
        <v>63000</v>
      </c>
      <c r="C1323" s="3981">
        <v>11515</v>
      </c>
      <c r="D1323" s="3626">
        <v>8519</v>
      </c>
      <c r="E1323" s="3626">
        <v>11515</v>
      </c>
      <c r="F1323" s="3626">
        <v>10041</v>
      </c>
    </row>
    <row r="1324" spans="1:6" ht="15.75">
      <c r="A1324" s="3021">
        <v>63000</v>
      </c>
      <c r="B1324" s="3021">
        <v>63050</v>
      </c>
      <c r="C1324" s="3981">
        <v>11528</v>
      </c>
      <c r="D1324" s="3626">
        <v>8526</v>
      </c>
      <c r="E1324" s="3626">
        <v>11528</v>
      </c>
      <c r="F1324" s="3626">
        <v>10054</v>
      </c>
    </row>
    <row r="1325" spans="1:6" ht="15.75">
      <c r="A1325" s="3021">
        <v>63050</v>
      </c>
      <c r="B1325" s="3021">
        <v>63100</v>
      </c>
      <c r="C1325" s="3981">
        <v>11540</v>
      </c>
      <c r="D1325" s="3626">
        <v>8534</v>
      </c>
      <c r="E1325" s="3626">
        <v>11540</v>
      </c>
      <c r="F1325" s="3626">
        <v>10066</v>
      </c>
    </row>
    <row r="1326" spans="1:6" ht="15.75">
      <c r="A1326" s="3021">
        <v>63100</v>
      </c>
      <c r="B1326" s="3021">
        <v>63150</v>
      </c>
      <c r="C1326" s="3981">
        <v>11553</v>
      </c>
      <c r="D1326" s="3626">
        <v>8541</v>
      </c>
      <c r="E1326" s="3626">
        <v>11553</v>
      </c>
      <c r="F1326" s="3626">
        <v>10079</v>
      </c>
    </row>
    <row r="1327" spans="1:6" ht="15.75">
      <c r="A1327" s="3021">
        <v>63150</v>
      </c>
      <c r="B1327" s="3021">
        <v>63200</v>
      </c>
      <c r="C1327" s="3981">
        <v>11565</v>
      </c>
      <c r="D1327" s="3626">
        <v>8549</v>
      </c>
      <c r="E1327" s="3626">
        <v>11565</v>
      </c>
      <c r="F1327" s="3626">
        <v>10091</v>
      </c>
    </row>
    <row r="1328" spans="1:6" ht="15.75">
      <c r="A1328" s="3021">
        <v>63200</v>
      </c>
      <c r="B1328" s="3021">
        <v>63250</v>
      </c>
      <c r="C1328" s="3981">
        <v>11578</v>
      </c>
      <c r="D1328" s="3626">
        <v>8556</v>
      </c>
      <c r="E1328" s="3626">
        <v>11578</v>
      </c>
      <c r="F1328" s="3626">
        <v>10104</v>
      </c>
    </row>
    <row r="1329" spans="1:6" ht="15.75">
      <c r="A1329" s="3021">
        <v>63250</v>
      </c>
      <c r="B1329" s="3021">
        <v>63300</v>
      </c>
      <c r="C1329" s="3981">
        <v>11590</v>
      </c>
      <c r="D1329" s="3626">
        <v>8564</v>
      </c>
      <c r="E1329" s="3626">
        <v>11590</v>
      </c>
      <c r="F1329" s="3626">
        <v>10116</v>
      </c>
    </row>
    <row r="1330" spans="1:6" ht="15.75">
      <c r="A1330" s="3021">
        <v>63300</v>
      </c>
      <c r="B1330" s="3021">
        <v>63350</v>
      </c>
      <c r="C1330" s="3981">
        <v>11603</v>
      </c>
      <c r="D1330" s="3626">
        <v>8571</v>
      </c>
      <c r="E1330" s="3626">
        <v>11603</v>
      </c>
      <c r="F1330" s="3626">
        <v>10129</v>
      </c>
    </row>
    <row r="1331" spans="1:6" ht="15.75">
      <c r="A1331" s="3021">
        <v>63350</v>
      </c>
      <c r="B1331" s="3021">
        <v>63400</v>
      </c>
      <c r="C1331" s="3981">
        <v>11615</v>
      </c>
      <c r="D1331" s="3626">
        <v>8579</v>
      </c>
      <c r="E1331" s="3626">
        <v>11615</v>
      </c>
      <c r="F1331" s="3626">
        <v>10141</v>
      </c>
    </row>
    <row r="1332" spans="1:6" ht="15.75">
      <c r="A1332" s="3021">
        <v>63400</v>
      </c>
      <c r="B1332" s="3021">
        <v>63450</v>
      </c>
      <c r="C1332" s="3981">
        <v>11628</v>
      </c>
      <c r="D1332" s="3626">
        <v>8586</v>
      </c>
      <c r="E1332" s="3626">
        <v>11628</v>
      </c>
      <c r="F1332" s="3626">
        <v>10154</v>
      </c>
    </row>
    <row r="1333" spans="1:6" ht="15.75">
      <c r="A1333" s="3021">
        <v>63450</v>
      </c>
      <c r="B1333" s="3021">
        <v>63500</v>
      </c>
      <c r="C1333" s="3981">
        <v>11640</v>
      </c>
      <c r="D1333" s="3626">
        <v>8594</v>
      </c>
      <c r="E1333" s="3626">
        <v>11640</v>
      </c>
      <c r="F1333" s="3626">
        <v>10166</v>
      </c>
    </row>
    <row r="1334" spans="1:6" ht="15.75">
      <c r="A1334" s="3021">
        <v>63500</v>
      </c>
      <c r="B1334" s="3021">
        <v>63550</v>
      </c>
      <c r="C1334" s="3981">
        <v>11653</v>
      </c>
      <c r="D1334" s="3626">
        <v>8601</v>
      </c>
      <c r="E1334" s="3626">
        <v>11653</v>
      </c>
      <c r="F1334" s="3626">
        <v>10179</v>
      </c>
    </row>
    <row r="1335" spans="1:6" ht="15.75">
      <c r="A1335" s="3021">
        <v>63550</v>
      </c>
      <c r="B1335" s="3021">
        <v>63600</v>
      </c>
      <c r="C1335" s="3981">
        <v>11665</v>
      </c>
      <c r="D1335" s="3626">
        <v>8609</v>
      </c>
      <c r="E1335" s="3626">
        <v>11665</v>
      </c>
      <c r="F1335" s="3626">
        <v>10191</v>
      </c>
    </row>
    <row r="1336" spans="1:6" ht="15.75">
      <c r="A1336" s="3021">
        <v>63600</v>
      </c>
      <c r="B1336" s="3021">
        <v>63650</v>
      </c>
      <c r="C1336" s="3981">
        <v>11678</v>
      </c>
      <c r="D1336" s="3626">
        <v>8616</v>
      </c>
      <c r="E1336" s="3626">
        <v>11678</v>
      </c>
      <c r="F1336" s="3626">
        <v>10204</v>
      </c>
    </row>
    <row r="1337" spans="1:6" ht="15.75">
      <c r="A1337" s="3021">
        <v>63650</v>
      </c>
      <c r="B1337" s="3021">
        <v>63700</v>
      </c>
      <c r="C1337" s="3981">
        <v>11690</v>
      </c>
      <c r="D1337" s="3626">
        <v>8624</v>
      </c>
      <c r="E1337" s="3626">
        <v>11690</v>
      </c>
      <c r="F1337" s="3626">
        <v>10216</v>
      </c>
    </row>
    <row r="1338" spans="1:6" ht="15.75">
      <c r="A1338" s="3021">
        <v>63700</v>
      </c>
      <c r="B1338" s="3021">
        <v>63750</v>
      </c>
      <c r="C1338" s="3981">
        <v>11703</v>
      </c>
      <c r="D1338" s="3626">
        <v>8631</v>
      </c>
      <c r="E1338" s="3626">
        <v>11703</v>
      </c>
      <c r="F1338" s="3626">
        <v>10229</v>
      </c>
    </row>
    <row r="1339" spans="1:6" ht="15.75">
      <c r="A1339" s="3021">
        <v>63750</v>
      </c>
      <c r="B1339" s="3021">
        <v>63800</v>
      </c>
      <c r="C1339" s="3981">
        <v>11715</v>
      </c>
      <c r="D1339" s="3626">
        <v>8639</v>
      </c>
      <c r="E1339" s="3626">
        <v>11715</v>
      </c>
      <c r="F1339" s="3626">
        <v>10241</v>
      </c>
    </row>
    <row r="1340" spans="1:6" ht="15.75">
      <c r="A1340" s="3021">
        <v>63800</v>
      </c>
      <c r="B1340" s="3021">
        <v>63850</v>
      </c>
      <c r="C1340" s="3981">
        <v>11728</v>
      </c>
      <c r="D1340" s="3626">
        <v>8646</v>
      </c>
      <c r="E1340" s="3626">
        <v>11728</v>
      </c>
      <c r="F1340" s="3626">
        <v>10254</v>
      </c>
    </row>
    <row r="1341" spans="1:6" ht="15.75">
      <c r="A1341" s="3021">
        <v>63850</v>
      </c>
      <c r="B1341" s="3021">
        <v>63900</v>
      </c>
      <c r="C1341" s="3981">
        <v>11740</v>
      </c>
      <c r="D1341" s="3626">
        <v>8654</v>
      </c>
      <c r="E1341" s="3626">
        <v>11740</v>
      </c>
      <c r="F1341" s="3626">
        <v>10266</v>
      </c>
    </row>
    <row r="1342" spans="1:6" ht="15.75">
      <c r="A1342" s="3021">
        <v>63900</v>
      </c>
      <c r="B1342" s="3021">
        <v>63950</v>
      </c>
      <c r="C1342" s="3981">
        <v>11753</v>
      </c>
      <c r="D1342" s="3626">
        <v>8661</v>
      </c>
      <c r="E1342" s="3626">
        <v>11753</v>
      </c>
      <c r="F1342" s="3626">
        <v>10279</v>
      </c>
    </row>
    <row r="1343" spans="1:6" ht="15.75">
      <c r="A1343" s="3021">
        <v>63950</v>
      </c>
      <c r="B1343" s="3021">
        <v>64000</v>
      </c>
      <c r="C1343" s="3981">
        <v>11765</v>
      </c>
      <c r="D1343" s="3626">
        <v>8669</v>
      </c>
      <c r="E1343" s="3626">
        <v>11765</v>
      </c>
      <c r="F1343" s="3626">
        <v>10291</v>
      </c>
    </row>
    <row r="1344" spans="1:6" ht="15.75">
      <c r="A1344" s="3021">
        <v>64000</v>
      </c>
      <c r="B1344" s="3021">
        <v>64050</v>
      </c>
      <c r="C1344" s="3981">
        <v>11778</v>
      </c>
      <c r="D1344" s="3626">
        <v>8676</v>
      </c>
      <c r="E1344" s="3626">
        <v>11778</v>
      </c>
      <c r="F1344" s="3626">
        <v>10304</v>
      </c>
    </row>
    <row r="1345" spans="1:6" ht="15.75">
      <c r="A1345" s="3021">
        <v>64050</v>
      </c>
      <c r="B1345" s="3021">
        <v>64100</v>
      </c>
      <c r="C1345" s="3981">
        <v>11790</v>
      </c>
      <c r="D1345" s="3626">
        <v>8684</v>
      </c>
      <c r="E1345" s="3626">
        <v>11790</v>
      </c>
      <c r="F1345" s="3626">
        <v>10316</v>
      </c>
    </row>
    <row r="1346" spans="1:6" ht="15.75">
      <c r="A1346" s="3021">
        <v>64100</v>
      </c>
      <c r="B1346" s="3021">
        <v>64150</v>
      </c>
      <c r="C1346" s="3981">
        <v>11803</v>
      </c>
      <c r="D1346" s="3626">
        <v>8691</v>
      </c>
      <c r="E1346" s="3626">
        <v>11803</v>
      </c>
      <c r="F1346" s="3626">
        <v>10329</v>
      </c>
    </row>
    <row r="1347" spans="1:6" ht="15.75">
      <c r="A1347" s="3021">
        <v>64150</v>
      </c>
      <c r="B1347" s="3021">
        <v>64200</v>
      </c>
      <c r="C1347" s="3981">
        <v>11815</v>
      </c>
      <c r="D1347" s="3626">
        <v>8699</v>
      </c>
      <c r="E1347" s="3626">
        <v>11815</v>
      </c>
      <c r="F1347" s="3626">
        <v>10341</v>
      </c>
    </row>
    <row r="1348" spans="1:6" ht="15.75">
      <c r="A1348" s="3021">
        <v>64200</v>
      </c>
      <c r="B1348" s="3021">
        <v>64250</v>
      </c>
      <c r="C1348" s="3981">
        <v>11828</v>
      </c>
      <c r="D1348" s="3626">
        <v>8706</v>
      </c>
      <c r="E1348" s="3626">
        <v>11828</v>
      </c>
      <c r="F1348" s="3626">
        <v>10354</v>
      </c>
    </row>
    <row r="1349" spans="1:6" ht="15.75">
      <c r="A1349" s="3021">
        <v>64250</v>
      </c>
      <c r="B1349" s="3021">
        <v>64300</v>
      </c>
      <c r="C1349" s="3981">
        <v>11840</v>
      </c>
      <c r="D1349" s="3626">
        <v>8714</v>
      </c>
      <c r="E1349" s="3626">
        <v>11840</v>
      </c>
      <c r="F1349" s="3626">
        <v>10366</v>
      </c>
    </row>
    <row r="1350" spans="1:6" ht="15.75">
      <c r="A1350" s="3021">
        <v>64300</v>
      </c>
      <c r="B1350" s="3021">
        <v>64350</v>
      </c>
      <c r="C1350" s="3981">
        <v>11853</v>
      </c>
      <c r="D1350" s="3626">
        <v>8721</v>
      </c>
      <c r="E1350" s="3626">
        <v>11853</v>
      </c>
      <c r="F1350" s="3626">
        <v>10379</v>
      </c>
    </row>
    <row r="1351" spans="1:6" ht="15.75">
      <c r="A1351" s="3021">
        <v>64350</v>
      </c>
      <c r="B1351" s="3021">
        <v>64400</v>
      </c>
      <c r="C1351" s="3981">
        <v>11865</v>
      </c>
      <c r="D1351" s="3626">
        <v>8729</v>
      </c>
      <c r="E1351" s="3626">
        <v>11865</v>
      </c>
      <c r="F1351" s="3626">
        <v>10391</v>
      </c>
    </row>
    <row r="1352" spans="1:6" ht="15.75">
      <c r="A1352" s="3021">
        <v>64400</v>
      </c>
      <c r="B1352" s="3021">
        <v>64450</v>
      </c>
      <c r="C1352" s="3981">
        <v>11878</v>
      </c>
      <c r="D1352" s="3626">
        <v>8736</v>
      </c>
      <c r="E1352" s="3626">
        <v>11878</v>
      </c>
      <c r="F1352" s="3626">
        <v>10404</v>
      </c>
    </row>
    <row r="1353" spans="1:6" ht="15.75">
      <c r="A1353" s="3021">
        <v>64450</v>
      </c>
      <c r="B1353" s="3021">
        <v>64500</v>
      </c>
      <c r="C1353" s="3981">
        <v>11890</v>
      </c>
      <c r="D1353" s="3626">
        <v>8744</v>
      </c>
      <c r="E1353" s="3626">
        <v>11890</v>
      </c>
      <c r="F1353" s="3626">
        <v>10416</v>
      </c>
    </row>
    <row r="1354" spans="1:6" ht="15.75">
      <c r="A1354" s="3021">
        <v>64500</v>
      </c>
      <c r="B1354" s="3021">
        <v>64550</v>
      </c>
      <c r="C1354" s="3981">
        <v>11903</v>
      </c>
      <c r="D1354" s="3626">
        <v>8751</v>
      </c>
      <c r="E1354" s="3626">
        <v>11903</v>
      </c>
      <c r="F1354" s="3626">
        <v>10429</v>
      </c>
    </row>
    <row r="1355" spans="1:6" ht="15.75">
      <c r="A1355" s="3021">
        <v>64550</v>
      </c>
      <c r="B1355" s="3021">
        <v>64600</v>
      </c>
      <c r="C1355" s="3981">
        <v>11915</v>
      </c>
      <c r="D1355" s="3626">
        <v>8759</v>
      </c>
      <c r="E1355" s="3626">
        <v>11915</v>
      </c>
      <c r="F1355" s="3626">
        <v>10441</v>
      </c>
    </row>
    <row r="1356" spans="1:6" ht="15.75">
      <c r="A1356" s="3021">
        <v>64600</v>
      </c>
      <c r="B1356" s="3021">
        <v>64650</v>
      </c>
      <c r="C1356" s="3981">
        <v>11928</v>
      </c>
      <c r="D1356" s="3626">
        <v>8766</v>
      </c>
      <c r="E1356" s="3626">
        <v>11928</v>
      </c>
      <c r="F1356" s="3626">
        <v>10454</v>
      </c>
    </row>
    <row r="1357" spans="1:6" ht="15.75">
      <c r="A1357" s="3021">
        <v>64650</v>
      </c>
      <c r="B1357" s="3021">
        <v>64700</v>
      </c>
      <c r="C1357" s="3981">
        <v>11940</v>
      </c>
      <c r="D1357" s="3626">
        <v>8774</v>
      </c>
      <c r="E1357" s="3626">
        <v>11940</v>
      </c>
      <c r="F1357" s="3626">
        <v>10466</v>
      </c>
    </row>
    <row r="1358" spans="1:6" ht="15.75">
      <c r="A1358" s="3021">
        <v>64700</v>
      </c>
      <c r="B1358" s="3021">
        <v>64750</v>
      </c>
      <c r="C1358" s="3981">
        <v>11953</v>
      </c>
      <c r="D1358" s="3626">
        <v>8781</v>
      </c>
      <c r="E1358" s="3626">
        <v>11953</v>
      </c>
      <c r="F1358" s="3626">
        <v>10479</v>
      </c>
    </row>
    <row r="1359" spans="1:6" ht="15.75">
      <c r="A1359" s="3021">
        <v>64750</v>
      </c>
      <c r="B1359" s="3021">
        <v>64800</v>
      </c>
      <c r="C1359" s="3981">
        <v>11965</v>
      </c>
      <c r="D1359" s="3626">
        <v>8789</v>
      </c>
      <c r="E1359" s="3626">
        <v>11965</v>
      </c>
      <c r="F1359" s="3626">
        <v>10491</v>
      </c>
    </row>
    <row r="1360" spans="1:6" ht="15.75">
      <c r="A1360" s="3021">
        <v>64800</v>
      </c>
      <c r="B1360" s="3021">
        <v>64850</v>
      </c>
      <c r="C1360" s="3981">
        <v>11978</v>
      </c>
      <c r="D1360" s="3626">
        <v>8796</v>
      </c>
      <c r="E1360" s="3626">
        <v>11978</v>
      </c>
      <c r="F1360" s="3626">
        <v>10504</v>
      </c>
    </row>
    <row r="1361" spans="1:6" ht="15.75">
      <c r="A1361" s="3021">
        <v>64850</v>
      </c>
      <c r="B1361" s="3021">
        <v>64900</v>
      </c>
      <c r="C1361" s="3981">
        <v>11990</v>
      </c>
      <c r="D1361" s="3626">
        <v>8804</v>
      </c>
      <c r="E1361" s="3626">
        <v>11990</v>
      </c>
      <c r="F1361" s="3626">
        <v>10516</v>
      </c>
    </row>
    <row r="1362" spans="1:6" ht="15.75">
      <c r="A1362" s="3021">
        <v>64900</v>
      </c>
      <c r="B1362" s="3021">
        <v>64950</v>
      </c>
      <c r="C1362" s="3981">
        <v>12003</v>
      </c>
      <c r="D1362" s="3626">
        <v>8811</v>
      </c>
      <c r="E1362" s="3626">
        <v>12003</v>
      </c>
      <c r="F1362" s="3626">
        <v>10529</v>
      </c>
    </row>
    <row r="1363" spans="1:6" ht="15.75">
      <c r="A1363" s="3021">
        <v>64950</v>
      </c>
      <c r="B1363" s="3021">
        <v>65000</v>
      </c>
      <c r="C1363" s="3981">
        <v>12015</v>
      </c>
      <c r="D1363" s="3626">
        <v>8819</v>
      </c>
      <c r="E1363" s="3626">
        <v>12015</v>
      </c>
      <c r="F1363" s="3626">
        <v>10541</v>
      </c>
    </row>
    <row r="1364" spans="1:6" ht="15.75">
      <c r="A1364" s="3021">
        <v>65000</v>
      </c>
      <c r="B1364" s="3021">
        <v>65050</v>
      </c>
      <c r="C1364" s="3981">
        <v>12028</v>
      </c>
      <c r="D1364" s="3626">
        <v>8826</v>
      </c>
      <c r="E1364" s="3626">
        <v>12028</v>
      </c>
      <c r="F1364" s="3626">
        <v>10554</v>
      </c>
    </row>
    <row r="1365" spans="1:6" ht="15.75">
      <c r="A1365" s="3021">
        <v>65050</v>
      </c>
      <c r="B1365" s="3021">
        <v>65100</v>
      </c>
      <c r="C1365" s="3981">
        <v>12040</v>
      </c>
      <c r="D1365" s="3626">
        <v>8834</v>
      </c>
      <c r="E1365" s="3626">
        <v>12040</v>
      </c>
      <c r="F1365" s="3626">
        <v>10566</v>
      </c>
    </row>
    <row r="1366" spans="1:6" ht="15.75">
      <c r="A1366" s="3021">
        <v>65100</v>
      </c>
      <c r="B1366" s="3021">
        <v>65150</v>
      </c>
      <c r="C1366" s="3981">
        <v>12053</v>
      </c>
      <c r="D1366" s="3626">
        <v>8841</v>
      </c>
      <c r="E1366" s="3626">
        <v>12053</v>
      </c>
      <c r="F1366" s="3626">
        <v>10579</v>
      </c>
    </row>
    <row r="1367" spans="1:6" ht="15.75">
      <c r="A1367" s="3021">
        <v>65150</v>
      </c>
      <c r="B1367" s="3021">
        <v>65200</v>
      </c>
      <c r="C1367" s="3981">
        <v>12065</v>
      </c>
      <c r="D1367" s="3626">
        <v>8849</v>
      </c>
      <c r="E1367" s="3626">
        <v>12065</v>
      </c>
      <c r="F1367" s="3626">
        <v>10591</v>
      </c>
    </row>
    <row r="1368" spans="1:6" ht="15.75">
      <c r="A1368" s="3021">
        <v>65200</v>
      </c>
      <c r="B1368" s="3021">
        <v>65250</v>
      </c>
      <c r="C1368" s="3981">
        <v>12078</v>
      </c>
      <c r="D1368" s="3626">
        <v>8856</v>
      </c>
      <c r="E1368" s="3626">
        <v>12078</v>
      </c>
      <c r="F1368" s="3626">
        <v>10604</v>
      </c>
    </row>
    <row r="1369" spans="1:6" ht="15.75">
      <c r="A1369" s="3021">
        <v>65250</v>
      </c>
      <c r="B1369" s="3021">
        <v>65300</v>
      </c>
      <c r="C1369" s="3981">
        <v>12090</v>
      </c>
      <c r="D1369" s="3626">
        <v>8864</v>
      </c>
      <c r="E1369" s="3626">
        <v>12090</v>
      </c>
      <c r="F1369" s="3626">
        <v>10616</v>
      </c>
    </row>
    <row r="1370" spans="1:6" ht="15.75">
      <c r="A1370" s="3021">
        <v>65300</v>
      </c>
      <c r="B1370" s="3021">
        <v>65350</v>
      </c>
      <c r="C1370" s="3981">
        <v>12103</v>
      </c>
      <c r="D1370" s="3626">
        <v>8871</v>
      </c>
      <c r="E1370" s="3626">
        <v>12103</v>
      </c>
      <c r="F1370" s="3626">
        <v>10629</v>
      </c>
    </row>
    <row r="1371" spans="1:6" ht="15.75">
      <c r="A1371" s="3021">
        <v>65350</v>
      </c>
      <c r="B1371" s="3021">
        <v>65400</v>
      </c>
      <c r="C1371" s="3981">
        <v>12115</v>
      </c>
      <c r="D1371" s="3626">
        <v>8879</v>
      </c>
      <c r="E1371" s="3626">
        <v>12115</v>
      </c>
      <c r="F1371" s="3626">
        <v>10641</v>
      </c>
    </row>
    <row r="1372" spans="1:6" ht="15.75">
      <c r="A1372" s="3021">
        <v>65400</v>
      </c>
      <c r="B1372" s="3021">
        <v>65450</v>
      </c>
      <c r="C1372" s="3981">
        <v>12128</v>
      </c>
      <c r="D1372" s="3626">
        <v>8886</v>
      </c>
      <c r="E1372" s="3626">
        <v>12128</v>
      </c>
      <c r="F1372" s="3626">
        <v>10654</v>
      </c>
    </row>
    <row r="1373" spans="1:6" ht="15.75">
      <c r="A1373" s="3021">
        <v>65450</v>
      </c>
      <c r="B1373" s="3021">
        <v>65500</v>
      </c>
      <c r="C1373" s="3981">
        <v>12140</v>
      </c>
      <c r="D1373" s="3626">
        <v>8894</v>
      </c>
      <c r="E1373" s="3626">
        <v>12140</v>
      </c>
      <c r="F1373" s="3626">
        <v>10666</v>
      </c>
    </row>
    <row r="1374" spans="1:6" ht="15.75">
      <c r="A1374" s="3021">
        <v>65500</v>
      </c>
      <c r="B1374" s="3021">
        <v>65550</v>
      </c>
      <c r="C1374" s="3981">
        <v>12153</v>
      </c>
      <c r="D1374" s="3626">
        <v>8901</v>
      </c>
      <c r="E1374" s="3626">
        <v>12153</v>
      </c>
      <c r="F1374" s="3626">
        <v>10679</v>
      </c>
    </row>
    <row r="1375" spans="1:6" ht="15.75">
      <c r="A1375" s="3021">
        <v>65550</v>
      </c>
      <c r="B1375" s="3021">
        <v>65600</v>
      </c>
      <c r="C1375" s="3981">
        <v>12165</v>
      </c>
      <c r="D1375" s="3626">
        <v>8909</v>
      </c>
      <c r="E1375" s="3626">
        <v>12165</v>
      </c>
      <c r="F1375" s="3626">
        <v>10691</v>
      </c>
    </row>
    <row r="1376" spans="1:6" ht="15.75">
      <c r="A1376" s="3021">
        <v>65600</v>
      </c>
      <c r="B1376" s="3021">
        <v>65650</v>
      </c>
      <c r="C1376" s="3981">
        <v>12178</v>
      </c>
      <c r="D1376" s="3626">
        <v>8916</v>
      </c>
      <c r="E1376" s="3626">
        <v>12178</v>
      </c>
      <c r="F1376" s="3626">
        <v>10704</v>
      </c>
    </row>
    <row r="1377" spans="1:6" ht="15.75">
      <c r="A1377" s="3021">
        <v>65650</v>
      </c>
      <c r="B1377" s="3021">
        <v>65700</v>
      </c>
      <c r="C1377" s="3981">
        <v>12190</v>
      </c>
      <c r="D1377" s="3626">
        <v>8924</v>
      </c>
      <c r="E1377" s="3626">
        <v>12190</v>
      </c>
      <c r="F1377" s="3626">
        <v>10716</v>
      </c>
    </row>
    <row r="1378" spans="1:6" ht="15.75">
      <c r="A1378" s="3021">
        <v>65700</v>
      </c>
      <c r="B1378" s="3021">
        <v>65750</v>
      </c>
      <c r="C1378" s="3981">
        <v>12203</v>
      </c>
      <c r="D1378" s="3626">
        <v>8931</v>
      </c>
      <c r="E1378" s="3626">
        <v>12203</v>
      </c>
      <c r="F1378" s="3626">
        <v>10729</v>
      </c>
    </row>
    <row r="1379" spans="1:6" ht="15.75">
      <c r="A1379" s="3021">
        <v>65750</v>
      </c>
      <c r="B1379" s="3021">
        <v>65800</v>
      </c>
      <c r="C1379" s="3981">
        <v>12215</v>
      </c>
      <c r="D1379" s="3626">
        <v>8939</v>
      </c>
      <c r="E1379" s="3626">
        <v>12215</v>
      </c>
      <c r="F1379" s="3626">
        <v>10741</v>
      </c>
    </row>
    <row r="1380" spans="1:6" ht="15.75">
      <c r="A1380" s="3021">
        <v>65800</v>
      </c>
      <c r="B1380" s="3021">
        <v>65850</v>
      </c>
      <c r="C1380" s="3981">
        <v>12228</v>
      </c>
      <c r="D1380" s="3626">
        <v>8946</v>
      </c>
      <c r="E1380" s="3626">
        <v>12228</v>
      </c>
      <c r="F1380" s="3626">
        <v>10754</v>
      </c>
    </row>
    <row r="1381" spans="1:6" ht="15.75">
      <c r="A1381" s="3021">
        <v>65850</v>
      </c>
      <c r="B1381" s="3021">
        <v>65900</v>
      </c>
      <c r="C1381" s="3981">
        <v>12240</v>
      </c>
      <c r="D1381" s="3626">
        <v>8954</v>
      </c>
      <c r="E1381" s="3626">
        <v>12240</v>
      </c>
      <c r="F1381" s="3626">
        <v>10766</v>
      </c>
    </row>
    <row r="1382" spans="1:6" ht="15.75">
      <c r="A1382" s="3021">
        <v>65900</v>
      </c>
      <c r="B1382" s="3021">
        <v>65950</v>
      </c>
      <c r="C1382" s="3981">
        <v>12253</v>
      </c>
      <c r="D1382" s="3626">
        <v>8961</v>
      </c>
      <c r="E1382" s="3626">
        <v>12253</v>
      </c>
      <c r="F1382" s="3626">
        <v>10779</v>
      </c>
    </row>
    <row r="1383" spans="1:6" ht="15.75">
      <c r="A1383" s="3021">
        <v>65950</v>
      </c>
      <c r="B1383" s="3021">
        <v>66000</v>
      </c>
      <c r="C1383" s="3981">
        <v>12265</v>
      </c>
      <c r="D1383" s="3626">
        <v>8969</v>
      </c>
      <c r="E1383" s="3626">
        <v>12265</v>
      </c>
      <c r="F1383" s="3626">
        <v>10791</v>
      </c>
    </row>
    <row r="1384" spans="1:6" ht="15.75">
      <c r="A1384" s="3021">
        <v>66000</v>
      </c>
      <c r="B1384" s="3021">
        <v>66050</v>
      </c>
      <c r="C1384" s="3981">
        <v>12278</v>
      </c>
      <c r="D1384" s="3626">
        <v>8976</v>
      </c>
      <c r="E1384" s="3626">
        <v>12278</v>
      </c>
      <c r="F1384" s="3626">
        <v>10804</v>
      </c>
    </row>
    <row r="1385" spans="1:6" ht="15.75">
      <c r="A1385" s="3021">
        <v>66050</v>
      </c>
      <c r="B1385" s="3021">
        <v>66100</v>
      </c>
      <c r="C1385" s="3981">
        <v>12290</v>
      </c>
      <c r="D1385" s="3626">
        <v>8984</v>
      </c>
      <c r="E1385" s="3626">
        <v>12290</v>
      </c>
      <c r="F1385" s="3626">
        <v>10816</v>
      </c>
    </row>
    <row r="1386" spans="1:6" ht="15.75">
      <c r="A1386" s="3021">
        <v>66100</v>
      </c>
      <c r="B1386" s="3021">
        <v>66150</v>
      </c>
      <c r="C1386" s="3981">
        <v>12303</v>
      </c>
      <c r="D1386" s="3626">
        <v>8991</v>
      </c>
      <c r="E1386" s="3626">
        <v>12303</v>
      </c>
      <c r="F1386" s="3626">
        <v>10829</v>
      </c>
    </row>
    <row r="1387" spans="1:6" ht="15.75">
      <c r="A1387" s="3021">
        <v>66150</v>
      </c>
      <c r="B1387" s="3021">
        <v>66200</v>
      </c>
      <c r="C1387" s="3981">
        <v>12315</v>
      </c>
      <c r="D1387" s="3626">
        <v>8999</v>
      </c>
      <c r="E1387" s="3626">
        <v>12315</v>
      </c>
      <c r="F1387" s="3626">
        <v>10841</v>
      </c>
    </row>
    <row r="1388" spans="1:6" ht="15.75">
      <c r="A1388" s="3021">
        <v>66200</v>
      </c>
      <c r="B1388" s="3021">
        <v>66250</v>
      </c>
      <c r="C1388" s="3981">
        <v>12328</v>
      </c>
      <c r="D1388" s="3626">
        <v>9006</v>
      </c>
      <c r="E1388" s="3626">
        <v>12328</v>
      </c>
      <c r="F1388" s="3626">
        <v>10854</v>
      </c>
    </row>
    <row r="1389" spans="1:6" ht="15.75">
      <c r="A1389" s="3021">
        <v>66250</v>
      </c>
      <c r="B1389" s="3021">
        <v>66300</v>
      </c>
      <c r="C1389" s="3981">
        <v>12340</v>
      </c>
      <c r="D1389" s="3626">
        <v>9014</v>
      </c>
      <c r="E1389" s="3626">
        <v>12340</v>
      </c>
      <c r="F1389" s="3626">
        <v>10866</v>
      </c>
    </row>
    <row r="1390" spans="1:6" ht="15.75">
      <c r="A1390" s="3021">
        <v>66300</v>
      </c>
      <c r="B1390" s="3021">
        <v>66350</v>
      </c>
      <c r="C1390" s="3981">
        <v>12353</v>
      </c>
      <c r="D1390" s="3626">
        <v>9021</v>
      </c>
      <c r="E1390" s="3626">
        <v>12353</v>
      </c>
      <c r="F1390" s="3626">
        <v>10879</v>
      </c>
    </row>
    <row r="1391" spans="1:6" ht="15.75">
      <c r="A1391" s="3021">
        <v>66350</v>
      </c>
      <c r="B1391" s="3021">
        <v>66400</v>
      </c>
      <c r="C1391" s="3981">
        <v>12365</v>
      </c>
      <c r="D1391" s="3626">
        <v>9029</v>
      </c>
      <c r="E1391" s="3626">
        <v>12365</v>
      </c>
      <c r="F1391" s="3626">
        <v>10891</v>
      </c>
    </row>
    <row r="1392" spans="1:6" ht="15.75">
      <c r="A1392" s="3021">
        <v>66400</v>
      </c>
      <c r="B1392" s="3021">
        <v>66450</v>
      </c>
      <c r="C1392" s="3981">
        <v>12378</v>
      </c>
      <c r="D1392" s="3626">
        <v>9036</v>
      </c>
      <c r="E1392" s="3626">
        <v>12378</v>
      </c>
      <c r="F1392" s="3626">
        <v>10904</v>
      </c>
    </row>
    <row r="1393" spans="1:6" ht="15.75">
      <c r="A1393" s="3021">
        <v>66450</v>
      </c>
      <c r="B1393" s="3021">
        <v>66500</v>
      </c>
      <c r="C1393" s="3981">
        <v>12390</v>
      </c>
      <c r="D1393" s="3626">
        <v>9044</v>
      </c>
      <c r="E1393" s="3626">
        <v>12390</v>
      </c>
      <c r="F1393" s="3626">
        <v>10916</v>
      </c>
    </row>
    <row r="1394" spans="1:6" ht="15.75">
      <c r="A1394" s="3021">
        <v>66500</v>
      </c>
      <c r="B1394" s="3021">
        <v>66550</v>
      </c>
      <c r="C1394" s="3981">
        <v>12403</v>
      </c>
      <c r="D1394" s="3626">
        <v>9051</v>
      </c>
      <c r="E1394" s="3626">
        <v>12403</v>
      </c>
      <c r="F1394" s="3626">
        <v>10929</v>
      </c>
    </row>
    <row r="1395" spans="1:6" ht="15.75">
      <c r="A1395" s="3021">
        <v>66550</v>
      </c>
      <c r="B1395" s="3021">
        <v>66600</v>
      </c>
      <c r="C1395" s="3981">
        <v>12415</v>
      </c>
      <c r="D1395" s="3626">
        <v>9059</v>
      </c>
      <c r="E1395" s="3626">
        <v>12415</v>
      </c>
      <c r="F1395" s="3626">
        <v>10941</v>
      </c>
    </row>
    <row r="1396" spans="1:6" ht="15.75">
      <c r="A1396" s="3021">
        <v>66600</v>
      </c>
      <c r="B1396" s="3021">
        <v>66650</v>
      </c>
      <c r="C1396" s="3981">
        <v>12428</v>
      </c>
      <c r="D1396" s="3626">
        <v>9066</v>
      </c>
      <c r="E1396" s="3626">
        <v>12428</v>
      </c>
      <c r="F1396" s="3626">
        <v>10954</v>
      </c>
    </row>
    <row r="1397" spans="1:6" ht="15.75">
      <c r="A1397" s="3021">
        <v>66650</v>
      </c>
      <c r="B1397" s="3021">
        <v>66700</v>
      </c>
      <c r="C1397" s="3981">
        <v>12440</v>
      </c>
      <c r="D1397" s="3626">
        <v>9074</v>
      </c>
      <c r="E1397" s="3626">
        <v>12440</v>
      </c>
      <c r="F1397" s="3626">
        <v>10966</v>
      </c>
    </row>
    <row r="1398" spans="1:6" ht="15.75">
      <c r="A1398" s="3021">
        <v>66700</v>
      </c>
      <c r="B1398" s="3021">
        <v>66750</v>
      </c>
      <c r="C1398" s="3981">
        <v>12453</v>
      </c>
      <c r="D1398" s="3626">
        <v>9081</v>
      </c>
      <c r="E1398" s="3626">
        <v>12453</v>
      </c>
      <c r="F1398" s="3626">
        <v>10979</v>
      </c>
    </row>
    <row r="1399" spans="1:6" ht="15.75">
      <c r="A1399" s="3021">
        <v>66750</v>
      </c>
      <c r="B1399" s="3021">
        <v>66800</v>
      </c>
      <c r="C1399" s="3981">
        <v>12465</v>
      </c>
      <c r="D1399" s="3626">
        <v>9089</v>
      </c>
      <c r="E1399" s="3626">
        <v>12465</v>
      </c>
      <c r="F1399" s="3626">
        <v>10991</v>
      </c>
    </row>
    <row r="1400" spans="1:6" ht="15.75">
      <c r="A1400" s="3021">
        <v>66800</v>
      </c>
      <c r="B1400" s="3021">
        <v>66850</v>
      </c>
      <c r="C1400" s="3981">
        <v>12478</v>
      </c>
      <c r="D1400" s="3626">
        <v>9096</v>
      </c>
      <c r="E1400" s="3626">
        <v>12478</v>
      </c>
      <c r="F1400" s="3626">
        <v>11004</v>
      </c>
    </row>
    <row r="1401" spans="1:6" ht="15.75">
      <c r="A1401" s="3021">
        <v>66850</v>
      </c>
      <c r="B1401" s="3021">
        <v>66900</v>
      </c>
      <c r="C1401" s="3981">
        <v>12490</v>
      </c>
      <c r="D1401" s="3626">
        <v>9104</v>
      </c>
      <c r="E1401" s="3626">
        <v>12490</v>
      </c>
      <c r="F1401" s="3626">
        <v>11016</v>
      </c>
    </row>
    <row r="1402" spans="1:6" ht="15.75">
      <c r="A1402" s="3021">
        <v>66900</v>
      </c>
      <c r="B1402" s="3021">
        <v>66950</v>
      </c>
      <c r="C1402" s="3981">
        <v>12503</v>
      </c>
      <c r="D1402" s="3626">
        <v>9111</v>
      </c>
      <c r="E1402" s="3626">
        <v>12503</v>
      </c>
      <c r="F1402" s="3626">
        <v>11029</v>
      </c>
    </row>
    <row r="1403" spans="1:6" ht="15.75">
      <c r="A1403" s="3021">
        <v>66950</v>
      </c>
      <c r="B1403" s="3021">
        <v>67000</v>
      </c>
      <c r="C1403" s="3981">
        <v>12515</v>
      </c>
      <c r="D1403" s="3626">
        <v>9119</v>
      </c>
      <c r="E1403" s="3626">
        <v>12515</v>
      </c>
      <c r="F1403" s="3626">
        <v>11041</v>
      </c>
    </row>
    <row r="1404" spans="1:6" ht="15.75">
      <c r="A1404" s="3021">
        <v>67000</v>
      </c>
      <c r="B1404" s="3021">
        <v>67050</v>
      </c>
      <c r="C1404" s="3981">
        <v>12528</v>
      </c>
      <c r="D1404" s="3626">
        <v>9126</v>
      </c>
      <c r="E1404" s="3626">
        <v>12528</v>
      </c>
      <c r="F1404" s="3626">
        <v>11054</v>
      </c>
    </row>
    <row r="1405" spans="1:6" ht="15.75">
      <c r="A1405" s="3021">
        <v>67050</v>
      </c>
      <c r="B1405" s="3021">
        <v>67100</v>
      </c>
      <c r="C1405" s="3981">
        <v>12540</v>
      </c>
      <c r="D1405" s="3626">
        <v>9134</v>
      </c>
      <c r="E1405" s="3626">
        <v>12540</v>
      </c>
      <c r="F1405" s="3626">
        <v>11066</v>
      </c>
    </row>
    <row r="1406" spans="1:6" ht="15.75">
      <c r="A1406" s="3021">
        <v>67100</v>
      </c>
      <c r="B1406" s="3021">
        <v>67150</v>
      </c>
      <c r="C1406" s="3981">
        <v>12553</v>
      </c>
      <c r="D1406" s="3626">
        <v>9141</v>
      </c>
      <c r="E1406" s="3626">
        <v>12553</v>
      </c>
      <c r="F1406" s="3626">
        <v>11079</v>
      </c>
    </row>
    <row r="1407" spans="1:6" ht="15.75">
      <c r="A1407" s="3021">
        <v>67150</v>
      </c>
      <c r="B1407" s="3021">
        <v>67200</v>
      </c>
      <c r="C1407" s="3981">
        <v>12565</v>
      </c>
      <c r="D1407" s="3626">
        <v>9149</v>
      </c>
      <c r="E1407" s="3626">
        <v>12565</v>
      </c>
      <c r="F1407" s="3626">
        <v>11091</v>
      </c>
    </row>
    <row r="1408" spans="1:6" ht="15.75">
      <c r="A1408" s="3021">
        <v>67200</v>
      </c>
      <c r="B1408" s="3021">
        <v>67250</v>
      </c>
      <c r="C1408" s="3981">
        <v>12578</v>
      </c>
      <c r="D1408" s="3626">
        <v>9156</v>
      </c>
      <c r="E1408" s="3626">
        <v>12578</v>
      </c>
      <c r="F1408" s="3626">
        <v>11104</v>
      </c>
    </row>
    <row r="1409" spans="1:6" ht="15.75">
      <c r="A1409" s="3021">
        <v>67250</v>
      </c>
      <c r="B1409" s="3021">
        <v>67300</v>
      </c>
      <c r="C1409" s="3981">
        <v>12590</v>
      </c>
      <c r="D1409" s="3626">
        <v>9164</v>
      </c>
      <c r="E1409" s="3626">
        <v>12590</v>
      </c>
      <c r="F1409" s="3626">
        <v>11116</v>
      </c>
    </row>
    <row r="1410" spans="1:6" ht="15.75">
      <c r="A1410" s="3021">
        <v>67300</v>
      </c>
      <c r="B1410" s="3021">
        <v>67350</v>
      </c>
      <c r="C1410" s="3981">
        <v>12603</v>
      </c>
      <c r="D1410" s="3626">
        <v>9171</v>
      </c>
      <c r="E1410" s="3626">
        <v>12603</v>
      </c>
      <c r="F1410" s="3626">
        <v>11129</v>
      </c>
    </row>
    <row r="1411" spans="1:6" ht="15.75">
      <c r="A1411" s="3021">
        <v>67350</v>
      </c>
      <c r="B1411" s="3021">
        <v>67400</v>
      </c>
      <c r="C1411" s="3981">
        <v>12615</v>
      </c>
      <c r="D1411" s="3626">
        <v>9179</v>
      </c>
      <c r="E1411" s="3626">
        <v>12615</v>
      </c>
      <c r="F1411" s="3626">
        <v>11141</v>
      </c>
    </row>
    <row r="1412" spans="1:6" ht="15.75">
      <c r="A1412" s="3021">
        <v>67400</v>
      </c>
      <c r="B1412" s="3021">
        <v>67450</v>
      </c>
      <c r="C1412" s="3981">
        <v>12628</v>
      </c>
      <c r="D1412" s="3626">
        <v>9186</v>
      </c>
      <c r="E1412" s="3626">
        <v>12628</v>
      </c>
      <c r="F1412" s="3626">
        <v>11154</v>
      </c>
    </row>
    <row r="1413" spans="1:6" ht="15.75">
      <c r="A1413" s="3021">
        <v>67450</v>
      </c>
      <c r="B1413" s="3021">
        <v>67500</v>
      </c>
      <c r="C1413" s="3981">
        <v>12640</v>
      </c>
      <c r="D1413" s="3626">
        <v>9194</v>
      </c>
      <c r="E1413" s="3626">
        <v>12640</v>
      </c>
      <c r="F1413" s="3626">
        <v>11166</v>
      </c>
    </row>
    <row r="1414" spans="1:6" ht="15.75">
      <c r="A1414" s="3021">
        <v>67500</v>
      </c>
      <c r="B1414" s="3021">
        <v>67550</v>
      </c>
      <c r="C1414" s="3981">
        <v>12653</v>
      </c>
      <c r="D1414" s="3626">
        <v>9201</v>
      </c>
      <c r="E1414" s="3626">
        <v>12653</v>
      </c>
      <c r="F1414" s="3626">
        <v>11179</v>
      </c>
    </row>
    <row r="1415" spans="1:6" ht="15.75">
      <c r="A1415" s="3021">
        <v>67550</v>
      </c>
      <c r="B1415" s="3021">
        <v>67600</v>
      </c>
      <c r="C1415" s="3981">
        <v>12665</v>
      </c>
      <c r="D1415" s="3626">
        <v>9209</v>
      </c>
      <c r="E1415" s="3626">
        <v>12665</v>
      </c>
      <c r="F1415" s="3626">
        <v>11191</v>
      </c>
    </row>
    <row r="1416" spans="1:6" ht="15.75">
      <c r="A1416" s="3021">
        <v>67600</v>
      </c>
      <c r="B1416" s="3021">
        <v>67650</v>
      </c>
      <c r="C1416" s="3981">
        <v>12678</v>
      </c>
      <c r="D1416" s="3626">
        <v>9216</v>
      </c>
      <c r="E1416" s="3626">
        <v>12678</v>
      </c>
      <c r="F1416" s="3626">
        <v>11204</v>
      </c>
    </row>
    <row r="1417" spans="1:6" ht="15.75">
      <c r="A1417" s="3021">
        <v>67650</v>
      </c>
      <c r="B1417" s="3021">
        <v>67700</v>
      </c>
      <c r="C1417" s="3981">
        <v>12690</v>
      </c>
      <c r="D1417" s="3626">
        <v>9224</v>
      </c>
      <c r="E1417" s="3626">
        <v>12690</v>
      </c>
      <c r="F1417" s="3626">
        <v>11216</v>
      </c>
    </row>
    <row r="1418" spans="1:6" ht="15.75">
      <c r="A1418" s="3021">
        <v>67700</v>
      </c>
      <c r="B1418" s="3021">
        <v>67750</v>
      </c>
      <c r="C1418" s="3981">
        <v>12703</v>
      </c>
      <c r="D1418" s="3626">
        <v>9231</v>
      </c>
      <c r="E1418" s="3626">
        <v>12703</v>
      </c>
      <c r="F1418" s="3626">
        <v>11229</v>
      </c>
    </row>
    <row r="1419" spans="1:6" ht="15.75">
      <c r="A1419" s="3021">
        <v>67750</v>
      </c>
      <c r="B1419" s="3021">
        <v>67800</v>
      </c>
      <c r="C1419" s="3981">
        <v>12715</v>
      </c>
      <c r="D1419" s="3626">
        <v>9239</v>
      </c>
      <c r="E1419" s="3626">
        <v>12715</v>
      </c>
      <c r="F1419" s="3626">
        <v>11241</v>
      </c>
    </row>
    <row r="1420" spans="1:6" ht="15.75">
      <c r="A1420" s="3021">
        <v>67800</v>
      </c>
      <c r="B1420" s="3021">
        <v>67850</v>
      </c>
      <c r="C1420" s="3981">
        <v>12728</v>
      </c>
      <c r="D1420" s="3626">
        <v>9246</v>
      </c>
      <c r="E1420" s="3626">
        <v>12728</v>
      </c>
      <c r="F1420" s="3626">
        <v>11254</v>
      </c>
    </row>
    <row r="1421" spans="1:6" ht="15.75">
      <c r="A1421" s="3021">
        <v>67850</v>
      </c>
      <c r="B1421" s="3021">
        <v>67900</v>
      </c>
      <c r="C1421" s="3981">
        <v>12740</v>
      </c>
      <c r="D1421" s="3626">
        <v>9254</v>
      </c>
      <c r="E1421" s="3626">
        <v>12740</v>
      </c>
      <c r="F1421" s="3626">
        <v>11266</v>
      </c>
    </row>
    <row r="1422" spans="1:6" ht="15.75">
      <c r="A1422" s="3021">
        <v>67900</v>
      </c>
      <c r="B1422" s="3021">
        <v>67950</v>
      </c>
      <c r="C1422" s="3981">
        <v>12753</v>
      </c>
      <c r="D1422" s="3626">
        <v>9261</v>
      </c>
      <c r="E1422" s="3626">
        <v>12753</v>
      </c>
      <c r="F1422" s="3626">
        <v>11279</v>
      </c>
    </row>
    <row r="1423" spans="1:6" ht="15.75">
      <c r="A1423" s="3021">
        <v>67950</v>
      </c>
      <c r="B1423" s="3021">
        <v>68000</v>
      </c>
      <c r="C1423" s="3981">
        <v>12765</v>
      </c>
      <c r="D1423" s="3626">
        <v>9269</v>
      </c>
      <c r="E1423" s="3626">
        <v>12765</v>
      </c>
      <c r="F1423" s="3626">
        <v>11291</v>
      </c>
    </row>
    <row r="1424" spans="1:6" ht="15.75">
      <c r="A1424" s="3021">
        <v>68000</v>
      </c>
      <c r="B1424" s="3021">
        <v>68050</v>
      </c>
      <c r="C1424" s="3981">
        <v>12778</v>
      </c>
      <c r="D1424" s="3626">
        <v>9276</v>
      </c>
      <c r="E1424" s="3626">
        <v>12778</v>
      </c>
      <c r="F1424" s="3626">
        <v>11304</v>
      </c>
    </row>
    <row r="1425" spans="1:6" ht="15.75">
      <c r="A1425" s="3021">
        <v>68050</v>
      </c>
      <c r="B1425" s="3021">
        <v>68100</v>
      </c>
      <c r="C1425" s="3981">
        <v>12790</v>
      </c>
      <c r="D1425" s="3626">
        <v>9284</v>
      </c>
      <c r="E1425" s="3626">
        <v>12790</v>
      </c>
      <c r="F1425" s="3626">
        <v>11316</v>
      </c>
    </row>
    <row r="1426" spans="1:6" ht="15.75">
      <c r="A1426" s="3021">
        <v>68100</v>
      </c>
      <c r="B1426" s="3021">
        <v>68150</v>
      </c>
      <c r="C1426" s="3981">
        <v>12803</v>
      </c>
      <c r="D1426" s="3626">
        <v>9291</v>
      </c>
      <c r="E1426" s="3626">
        <v>12803</v>
      </c>
      <c r="F1426" s="3626">
        <v>11329</v>
      </c>
    </row>
    <row r="1427" spans="1:6" ht="15.75">
      <c r="A1427" s="3021">
        <v>68150</v>
      </c>
      <c r="B1427" s="3021">
        <v>68200</v>
      </c>
      <c r="C1427" s="3981">
        <v>12815</v>
      </c>
      <c r="D1427" s="3626">
        <v>9299</v>
      </c>
      <c r="E1427" s="3626">
        <v>12815</v>
      </c>
      <c r="F1427" s="3626">
        <v>11341</v>
      </c>
    </row>
    <row r="1428" spans="1:6" ht="15.75">
      <c r="A1428" s="3021">
        <v>68200</v>
      </c>
      <c r="B1428" s="3021">
        <v>68250</v>
      </c>
      <c r="C1428" s="3981">
        <v>12828</v>
      </c>
      <c r="D1428" s="3626">
        <v>9306</v>
      </c>
      <c r="E1428" s="3626">
        <v>12828</v>
      </c>
      <c r="F1428" s="3626">
        <v>11354</v>
      </c>
    </row>
    <row r="1429" spans="1:6" ht="15.75">
      <c r="A1429" s="3021">
        <v>68250</v>
      </c>
      <c r="B1429" s="3021">
        <v>68300</v>
      </c>
      <c r="C1429" s="3981">
        <v>12840</v>
      </c>
      <c r="D1429" s="3626">
        <v>9314</v>
      </c>
      <c r="E1429" s="3626">
        <v>12840</v>
      </c>
      <c r="F1429" s="3626">
        <v>11366</v>
      </c>
    </row>
    <row r="1430" spans="1:6" ht="15.75">
      <c r="A1430" s="3021">
        <v>68300</v>
      </c>
      <c r="B1430" s="3021">
        <v>68350</v>
      </c>
      <c r="C1430" s="3981">
        <v>12853</v>
      </c>
      <c r="D1430" s="3626">
        <v>9321</v>
      </c>
      <c r="E1430" s="3626">
        <v>12853</v>
      </c>
      <c r="F1430" s="3626">
        <v>11379</v>
      </c>
    </row>
    <row r="1431" spans="1:6" ht="15.75">
      <c r="A1431" s="3021">
        <v>68350</v>
      </c>
      <c r="B1431" s="3021">
        <v>68400</v>
      </c>
      <c r="C1431" s="3981">
        <v>12865</v>
      </c>
      <c r="D1431" s="3626">
        <v>9329</v>
      </c>
      <c r="E1431" s="3626">
        <v>12865</v>
      </c>
      <c r="F1431" s="3626">
        <v>11391</v>
      </c>
    </row>
    <row r="1432" spans="1:6" ht="15.75">
      <c r="A1432" s="3021">
        <v>68400</v>
      </c>
      <c r="B1432" s="3021">
        <v>68450</v>
      </c>
      <c r="C1432" s="3981">
        <v>12878</v>
      </c>
      <c r="D1432" s="3626">
        <v>9336</v>
      </c>
      <c r="E1432" s="3626">
        <v>12878</v>
      </c>
      <c r="F1432" s="3626">
        <v>11404</v>
      </c>
    </row>
    <row r="1433" spans="1:6" ht="15.75">
      <c r="A1433" s="3021">
        <v>68450</v>
      </c>
      <c r="B1433" s="3021">
        <v>68500</v>
      </c>
      <c r="C1433" s="3981">
        <v>12890</v>
      </c>
      <c r="D1433" s="3626">
        <v>9344</v>
      </c>
      <c r="E1433" s="3626">
        <v>12890</v>
      </c>
      <c r="F1433" s="3626">
        <v>11416</v>
      </c>
    </row>
    <row r="1434" spans="1:6" ht="15.75">
      <c r="A1434" s="3021">
        <v>68500</v>
      </c>
      <c r="B1434" s="3021">
        <v>68550</v>
      </c>
      <c r="C1434" s="3981">
        <v>12903</v>
      </c>
      <c r="D1434" s="3626">
        <v>9351</v>
      </c>
      <c r="E1434" s="3626">
        <v>12903</v>
      </c>
      <c r="F1434" s="3626">
        <v>11429</v>
      </c>
    </row>
    <row r="1435" spans="1:6" ht="15.75">
      <c r="A1435" s="3021">
        <v>68550</v>
      </c>
      <c r="B1435" s="3021">
        <v>68600</v>
      </c>
      <c r="C1435" s="3981">
        <v>12915</v>
      </c>
      <c r="D1435" s="3626">
        <v>9359</v>
      </c>
      <c r="E1435" s="3626">
        <v>12915</v>
      </c>
      <c r="F1435" s="3626">
        <v>11441</v>
      </c>
    </row>
    <row r="1436" spans="1:6" ht="15.75">
      <c r="A1436" s="3021">
        <v>68600</v>
      </c>
      <c r="B1436" s="3021">
        <v>68650</v>
      </c>
      <c r="C1436" s="3981">
        <v>12928</v>
      </c>
      <c r="D1436" s="3626">
        <v>9366</v>
      </c>
      <c r="E1436" s="3626">
        <v>12928</v>
      </c>
      <c r="F1436" s="3626">
        <v>11454</v>
      </c>
    </row>
    <row r="1437" spans="1:6" ht="15.75">
      <c r="A1437" s="3021">
        <v>68650</v>
      </c>
      <c r="B1437" s="3021">
        <v>68700</v>
      </c>
      <c r="C1437" s="3981">
        <v>12940</v>
      </c>
      <c r="D1437" s="3626">
        <v>9374</v>
      </c>
      <c r="E1437" s="3626">
        <v>12940</v>
      </c>
      <c r="F1437" s="3626">
        <v>11466</v>
      </c>
    </row>
    <row r="1438" spans="1:6" ht="15.75">
      <c r="A1438" s="3021">
        <v>68700</v>
      </c>
      <c r="B1438" s="3021">
        <v>68750</v>
      </c>
      <c r="C1438" s="3981">
        <v>12953</v>
      </c>
      <c r="D1438" s="3626">
        <v>9381</v>
      </c>
      <c r="E1438" s="3626">
        <v>12953</v>
      </c>
      <c r="F1438" s="3626">
        <v>11479</v>
      </c>
    </row>
    <row r="1439" spans="1:6" ht="15.75">
      <c r="A1439" s="3021">
        <v>68750</v>
      </c>
      <c r="B1439" s="3021">
        <v>68800</v>
      </c>
      <c r="C1439" s="3981">
        <v>12965</v>
      </c>
      <c r="D1439" s="3626">
        <v>9389</v>
      </c>
      <c r="E1439" s="3626">
        <v>12965</v>
      </c>
      <c r="F1439" s="3626">
        <v>11491</v>
      </c>
    </row>
    <row r="1440" spans="1:6" ht="15.75">
      <c r="A1440" s="3021">
        <v>68800</v>
      </c>
      <c r="B1440" s="3021">
        <v>68850</v>
      </c>
      <c r="C1440" s="3981">
        <v>12978</v>
      </c>
      <c r="D1440" s="3626">
        <v>9396</v>
      </c>
      <c r="E1440" s="3626">
        <v>12978</v>
      </c>
      <c r="F1440" s="3626">
        <v>11504</v>
      </c>
    </row>
    <row r="1441" spans="1:6" ht="15.75">
      <c r="A1441" s="3021">
        <v>68850</v>
      </c>
      <c r="B1441" s="3021">
        <v>68900</v>
      </c>
      <c r="C1441" s="3981">
        <v>12990</v>
      </c>
      <c r="D1441" s="3626">
        <v>9404</v>
      </c>
      <c r="E1441" s="3626">
        <v>12990</v>
      </c>
      <c r="F1441" s="3626">
        <v>11516</v>
      </c>
    </row>
    <row r="1442" spans="1:6" ht="15.75">
      <c r="A1442" s="3021">
        <v>68900</v>
      </c>
      <c r="B1442" s="3021">
        <v>68950</v>
      </c>
      <c r="C1442" s="3981">
        <v>13003</v>
      </c>
      <c r="D1442" s="3626">
        <v>9411</v>
      </c>
      <c r="E1442" s="3626">
        <v>13003</v>
      </c>
      <c r="F1442" s="3626">
        <v>11529</v>
      </c>
    </row>
    <row r="1443" spans="1:6" ht="15.75">
      <c r="A1443" s="3021">
        <v>68950</v>
      </c>
      <c r="B1443" s="3021">
        <v>69000</v>
      </c>
      <c r="C1443" s="3981">
        <v>13015</v>
      </c>
      <c r="D1443" s="3626">
        <v>9419</v>
      </c>
      <c r="E1443" s="3626">
        <v>13015</v>
      </c>
      <c r="F1443" s="3626">
        <v>11541</v>
      </c>
    </row>
    <row r="1444" spans="1:6" ht="15.75">
      <c r="A1444" s="3021">
        <v>69000</v>
      </c>
      <c r="B1444" s="3021">
        <v>69050</v>
      </c>
      <c r="C1444" s="3981">
        <v>13028</v>
      </c>
      <c r="D1444" s="3626">
        <v>9426</v>
      </c>
      <c r="E1444" s="3626">
        <v>13028</v>
      </c>
      <c r="F1444" s="3626">
        <v>11554</v>
      </c>
    </row>
    <row r="1445" spans="1:6" ht="15.75">
      <c r="A1445" s="3021">
        <v>69050</v>
      </c>
      <c r="B1445" s="3021">
        <v>69100</v>
      </c>
      <c r="C1445" s="3981">
        <v>13040</v>
      </c>
      <c r="D1445" s="3626">
        <v>9434</v>
      </c>
      <c r="E1445" s="3626">
        <v>13040</v>
      </c>
      <c r="F1445" s="3626">
        <v>11566</v>
      </c>
    </row>
    <row r="1446" spans="1:6" ht="15.75">
      <c r="A1446" s="3021">
        <v>69100</v>
      </c>
      <c r="B1446" s="3021">
        <v>69150</v>
      </c>
      <c r="C1446" s="3981">
        <v>13053</v>
      </c>
      <c r="D1446" s="3626">
        <v>9441</v>
      </c>
      <c r="E1446" s="3626">
        <v>13053</v>
      </c>
      <c r="F1446" s="3626">
        <v>11579</v>
      </c>
    </row>
    <row r="1447" spans="1:6" ht="15.75">
      <c r="A1447" s="3021">
        <v>69150</v>
      </c>
      <c r="B1447" s="3021">
        <v>69200</v>
      </c>
      <c r="C1447" s="3981">
        <v>13065</v>
      </c>
      <c r="D1447" s="3626">
        <v>9449</v>
      </c>
      <c r="E1447" s="3626">
        <v>13065</v>
      </c>
      <c r="F1447" s="3626">
        <v>11591</v>
      </c>
    </row>
    <row r="1448" spans="1:6" ht="15.75">
      <c r="A1448" s="3021">
        <v>69200</v>
      </c>
      <c r="B1448" s="3021">
        <v>69250</v>
      </c>
      <c r="C1448" s="3981">
        <v>13078</v>
      </c>
      <c r="D1448" s="3626">
        <v>9456</v>
      </c>
      <c r="E1448" s="3626">
        <v>13078</v>
      </c>
      <c r="F1448" s="3626">
        <v>11604</v>
      </c>
    </row>
    <row r="1449" spans="1:6" ht="15.75">
      <c r="A1449" s="3021">
        <v>69250</v>
      </c>
      <c r="B1449" s="3021">
        <v>69300</v>
      </c>
      <c r="C1449" s="3981">
        <v>13090</v>
      </c>
      <c r="D1449" s="3626">
        <v>9464</v>
      </c>
      <c r="E1449" s="3626">
        <v>13090</v>
      </c>
      <c r="F1449" s="3626">
        <v>11616</v>
      </c>
    </row>
    <row r="1450" spans="1:6" ht="15.75">
      <c r="A1450" s="3021">
        <v>69300</v>
      </c>
      <c r="B1450" s="3021">
        <v>69350</v>
      </c>
      <c r="C1450" s="3981">
        <v>13103</v>
      </c>
      <c r="D1450" s="3626">
        <v>9471</v>
      </c>
      <c r="E1450" s="3626">
        <v>13103</v>
      </c>
      <c r="F1450" s="3626">
        <v>11629</v>
      </c>
    </row>
    <row r="1451" spans="1:6" ht="15.75">
      <c r="A1451" s="3021">
        <v>69350</v>
      </c>
      <c r="B1451" s="3021">
        <v>69400</v>
      </c>
      <c r="C1451" s="3981">
        <v>13115</v>
      </c>
      <c r="D1451" s="3626">
        <v>9479</v>
      </c>
      <c r="E1451" s="3626">
        <v>13115</v>
      </c>
      <c r="F1451" s="3626">
        <v>11641</v>
      </c>
    </row>
    <row r="1452" spans="1:6" ht="15.75">
      <c r="A1452" s="3021">
        <v>69400</v>
      </c>
      <c r="B1452" s="3021">
        <v>69450</v>
      </c>
      <c r="C1452" s="3981">
        <v>13128</v>
      </c>
      <c r="D1452" s="3626">
        <v>9486</v>
      </c>
      <c r="E1452" s="3626">
        <v>13128</v>
      </c>
      <c r="F1452" s="3626">
        <v>11654</v>
      </c>
    </row>
    <row r="1453" spans="1:6" ht="15.75">
      <c r="A1453" s="3021">
        <v>69450</v>
      </c>
      <c r="B1453" s="3021">
        <v>69500</v>
      </c>
      <c r="C1453" s="3981">
        <v>13140</v>
      </c>
      <c r="D1453" s="3626">
        <v>9494</v>
      </c>
      <c r="E1453" s="3626">
        <v>13140</v>
      </c>
      <c r="F1453" s="3626">
        <v>11666</v>
      </c>
    </row>
    <row r="1454" spans="1:6" ht="15.75">
      <c r="A1454" s="3021">
        <v>69500</v>
      </c>
      <c r="B1454" s="3021">
        <v>69550</v>
      </c>
      <c r="C1454" s="3981">
        <v>13153</v>
      </c>
      <c r="D1454" s="3626">
        <v>9501</v>
      </c>
      <c r="E1454" s="3626">
        <v>13153</v>
      </c>
      <c r="F1454" s="3626">
        <v>11679</v>
      </c>
    </row>
    <row r="1455" spans="1:6" ht="15.75">
      <c r="A1455" s="3021">
        <v>69550</v>
      </c>
      <c r="B1455" s="3021">
        <v>69600</v>
      </c>
      <c r="C1455" s="3981">
        <v>13165</v>
      </c>
      <c r="D1455" s="3626">
        <v>9509</v>
      </c>
      <c r="E1455" s="3626">
        <v>13165</v>
      </c>
      <c r="F1455" s="3626">
        <v>11691</v>
      </c>
    </row>
    <row r="1456" spans="1:6" ht="15.75">
      <c r="A1456" s="3021">
        <v>69600</v>
      </c>
      <c r="B1456" s="3021">
        <v>69650</v>
      </c>
      <c r="C1456" s="3981">
        <v>13178</v>
      </c>
      <c r="D1456" s="3626">
        <v>9516</v>
      </c>
      <c r="E1456" s="3626">
        <v>13178</v>
      </c>
      <c r="F1456" s="3626">
        <v>11704</v>
      </c>
    </row>
    <row r="1457" spans="1:6" ht="15.75">
      <c r="A1457" s="3021">
        <v>69650</v>
      </c>
      <c r="B1457" s="3021">
        <v>69700</v>
      </c>
      <c r="C1457" s="3981">
        <v>13190</v>
      </c>
      <c r="D1457" s="3626">
        <v>9524</v>
      </c>
      <c r="E1457" s="3626">
        <v>13190</v>
      </c>
      <c r="F1457" s="3626">
        <v>11716</v>
      </c>
    </row>
    <row r="1458" spans="1:6" ht="15.75">
      <c r="A1458" s="3021">
        <v>69700</v>
      </c>
      <c r="B1458" s="3021">
        <v>69750</v>
      </c>
      <c r="C1458" s="3981">
        <v>13203</v>
      </c>
      <c r="D1458" s="3626">
        <v>9531</v>
      </c>
      <c r="E1458" s="3626">
        <v>13203</v>
      </c>
      <c r="F1458" s="3626">
        <v>11729</v>
      </c>
    </row>
    <row r="1459" spans="1:6" ht="15.75">
      <c r="A1459" s="3021">
        <v>69750</v>
      </c>
      <c r="B1459" s="3021">
        <v>69800</v>
      </c>
      <c r="C1459" s="3981">
        <v>13215</v>
      </c>
      <c r="D1459" s="3626">
        <v>9539</v>
      </c>
      <c r="E1459" s="3626">
        <v>13215</v>
      </c>
      <c r="F1459" s="3626">
        <v>11741</v>
      </c>
    </row>
    <row r="1460" spans="1:6" ht="15.75">
      <c r="A1460" s="3021">
        <v>69800</v>
      </c>
      <c r="B1460" s="3021">
        <v>69850</v>
      </c>
      <c r="C1460" s="3981">
        <v>13228</v>
      </c>
      <c r="D1460" s="3626">
        <v>9546</v>
      </c>
      <c r="E1460" s="3626">
        <v>13228</v>
      </c>
      <c r="F1460" s="3626">
        <v>11754</v>
      </c>
    </row>
    <row r="1461" spans="1:6" ht="15.75">
      <c r="A1461" s="3021">
        <v>69850</v>
      </c>
      <c r="B1461" s="3021">
        <v>69900</v>
      </c>
      <c r="C1461" s="3981">
        <v>13240</v>
      </c>
      <c r="D1461" s="3626">
        <v>9554</v>
      </c>
      <c r="E1461" s="3626">
        <v>13240</v>
      </c>
      <c r="F1461" s="3626">
        <v>11766</v>
      </c>
    </row>
    <row r="1462" spans="1:6" ht="15.75">
      <c r="A1462" s="3021">
        <v>69900</v>
      </c>
      <c r="B1462" s="3021">
        <v>69950</v>
      </c>
      <c r="C1462" s="3981">
        <v>13253</v>
      </c>
      <c r="D1462" s="3626">
        <v>9561</v>
      </c>
      <c r="E1462" s="3626">
        <v>13253</v>
      </c>
      <c r="F1462" s="3626">
        <v>11779</v>
      </c>
    </row>
    <row r="1463" spans="1:6" ht="15.75">
      <c r="A1463" s="3021">
        <v>69950</v>
      </c>
      <c r="B1463" s="3021">
        <v>70000</v>
      </c>
      <c r="C1463" s="3981">
        <v>13265</v>
      </c>
      <c r="D1463" s="3626">
        <v>9569</v>
      </c>
      <c r="E1463" s="3626">
        <v>13265</v>
      </c>
      <c r="F1463" s="3626">
        <v>11791</v>
      </c>
    </row>
    <row r="1464" spans="1:6" ht="15.75">
      <c r="A1464" s="3021">
        <v>70000</v>
      </c>
      <c r="B1464" s="3021">
        <v>70050</v>
      </c>
      <c r="C1464" s="3981">
        <v>13278</v>
      </c>
      <c r="D1464" s="3626">
        <v>9576</v>
      </c>
      <c r="E1464" s="3626">
        <v>13278</v>
      </c>
      <c r="F1464" s="3626">
        <v>11804</v>
      </c>
    </row>
    <row r="1465" spans="1:6" ht="15.75">
      <c r="A1465" s="3021">
        <v>70050</v>
      </c>
      <c r="B1465" s="3021">
        <v>70100</v>
      </c>
      <c r="C1465" s="3981">
        <v>13290</v>
      </c>
      <c r="D1465" s="3626">
        <v>9584</v>
      </c>
      <c r="E1465" s="3626">
        <v>13290</v>
      </c>
      <c r="F1465" s="3626">
        <v>11816</v>
      </c>
    </row>
    <row r="1466" spans="1:6" ht="15.75">
      <c r="A1466" s="3021">
        <v>70100</v>
      </c>
      <c r="B1466" s="3021">
        <v>70150</v>
      </c>
      <c r="C1466" s="3981">
        <v>13303</v>
      </c>
      <c r="D1466" s="3626">
        <v>9591</v>
      </c>
      <c r="E1466" s="3626">
        <v>13303</v>
      </c>
      <c r="F1466" s="3626">
        <v>11829</v>
      </c>
    </row>
    <row r="1467" spans="1:6" ht="15.75">
      <c r="A1467" s="3021">
        <v>70150</v>
      </c>
      <c r="B1467" s="3021">
        <v>70200</v>
      </c>
      <c r="C1467" s="3981">
        <v>13315</v>
      </c>
      <c r="D1467" s="3626">
        <v>9599</v>
      </c>
      <c r="E1467" s="3626">
        <v>13315</v>
      </c>
      <c r="F1467" s="3626">
        <v>11841</v>
      </c>
    </row>
    <row r="1468" spans="1:6" ht="15.75">
      <c r="A1468" s="3021">
        <v>70200</v>
      </c>
      <c r="B1468" s="3021">
        <v>70250</v>
      </c>
      <c r="C1468" s="3981">
        <v>13328</v>
      </c>
      <c r="D1468" s="3626">
        <v>9606</v>
      </c>
      <c r="E1468" s="3626">
        <v>13328</v>
      </c>
      <c r="F1468" s="3626">
        <v>11854</v>
      </c>
    </row>
    <row r="1469" spans="1:6" ht="15.75">
      <c r="A1469" s="3021">
        <v>70250</v>
      </c>
      <c r="B1469" s="3021">
        <v>70300</v>
      </c>
      <c r="C1469" s="3981">
        <v>13340</v>
      </c>
      <c r="D1469" s="3626">
        <v>9614</v>
      </c>
      <c r="E1469" s="3626">
        <v>13340</v>
      </c>
      <c r="F1469" s="3626">
        <v>11866</v>
      </c>
    </row>
    <row r="1470" spans="1:6" ht="15.75">
      <c r="A1470" s="3021">
        <v>70300</v>
      </c>
      <c r="B1470" s="3021">
        <v>70350</v>
      </c>
      <c r="C1470" s="3981">
        <v>13353</v>
      </c>
      <c r="D1470" s="3626">
        <v>9621</v>
      </c>
      <c r="E1470" s="3626">
        <v>13353</v>
      </c>
      <c r="F1470" s="3626">
        <v>11879</v>
      </c>
    </row>
    <row r="1471" spans="1:6" ht="15.75">
      <c r="A1471" s="3021">
        <v>70350</v>
      </c>
      <c r="B1471" s="3021">
        <v>70400</v>
      </c>
      <c r="C1471" s="3981">
        <v>13365</v>
      </c>
      <c r="D1471" s="3626">
        <v>9629</v>
      </c>
      <c r="E1471" s="3626">
        <v>13365</v>
      </c>
      <c r="F1471" s="3626">
        <v>11891</v>
      </c>
    </row>
    <row r="1472" spans="1:6" ht="15.75">
      <c r="A1472" s="3021">
        <v>70400</v>
      </c>
      <c r="B1472" s="3021">
        <v>70450</v>
      </c>
      <c r="C1472" s="3981">
        <v>13378</v>
      </c>
      <c r="D1472" s="3626">
        <v>9636</v>
      </c>
      <c r="E1472" s="3626">
        <v>13378</v>
      </c>
      <c r="F1472" s="3626">
        <v>11904</v>
      </c>
    </row>
    <row r="1473" spans="1:6" ht="15.75">
      <c r="A1473" s="3021">
        <v>70450</v>
      </c>
      <c r="B1473" s="3021">
        <v>70500</v>
      </c>
      <c r="C1473" s="3981">
        <v>13390</v>
      </c>
      <c r="D1473" s="3626">
        <v>9644</v>
      </c>
      <c r="E1473" s="3626">
        <v>13390</v>
      </c>
      <c r="F1473" s="3626">
        <v>11916</v>
      </c>
    </row>
    <row r="1474" spans="1:6" ht="15.75">
      <c r="A1474" s="3021">
        <v>70500</v>
      </c>
      <c r="B1474" s="3021">
        <v>70550</v>
      </c>
      <c r="C1474" s="3981">
        <v>13403</v>
      </c>
      <c r="D1474" s="3626">
        <v>9651</v>
      </c>
      <c r="E1474" s="3626">
        <v>13403</v>
      </c>
      <c r="F1474" s="3626">
        <v>11929</v>
      </c>
    </row>
    <row r="1475" spans="1:6" ht="15.75">
      <c r="A1475" s="3021">
        <v>70550</v>
      </c>
      <c r="B1475" s="3021">
        <v>70600</v>
      </c>
      <c r="C1475" s="3981">
        <v>13415</v>
      </c>
      <c r="D1475" s="3626">
        <v>9659</v>
      </c>
      <c r="E1475" s="3626">
        <v>13415</v>
      </c>
      <c r="F1475" s="3626">
        <v>11941</v>
      </c>
    </row>
    <row r="1476" spans="1:6" ht="15.75">
      <c r="A1476" s="3021">
        <v>70600</v>
      </c>
      <c r="B1476" s="3021">
        <v>70650</v>
      </c>
      <c r="C1476" s="3981">
        <v>13428</v>
      </c>
      <c r="D1476" s="3626">
        <v>9666</v>
      </c>
      <c r="E1476" s="3626">
        <v>13428</v>
      </c>
      <c r="F1476" s="3626">
        <v>11954</v>
      </c>
    </row>
    <row r="1477" spans="1:6" ht="15.75">
      <c r="A1477" s="3021">
        <v>70650</v>
      </c>
      <c r="B1477" s="3021">
        <v>70700</v>
      </c>
      <c r="C1477" s="3981">
        <v>13440</v>
      </c>
      <c r="D1477" s="3626">
        <v>9674</v>
      </c>
      <c r="E1477" s="3626">
        <v>13440</v>
      </c>
      <c r="F1477" s="3626">
        <v>11966</v>
      </c>
    </row>
    <row r="1478" spans="1:6" ht="15.75">
      <c r="A1478" s="3021">
        <v>70700</v>
      </c>
      <c r="B1478" s="3021">
        <v>70750</v>
      </c>
      <c r="C1478" s="3981">
        <v>13453</v>
      </c>
      <c r="D1478" s="3626">
        <v>9681</v>
      </c>
      <c r="E1478" s="3626">
        <v>13453</v>
      </c>
      <c r="F1478" s="3626">
        <v>11979</v>
      </c>
    </row>
    <row r="1479" spans="1:6" ht="15.75">
      <c r="A1479" s="3021">
        <v>70750</v>
      </c>
      <c r="B1479" s="3021">
        <v>70800</v>
      </c>
      <c r="C1479" s="3981">
        <v>13465</v>
      </c>
      <c r="D1479" s="3626">
        <v>9689</v>
      </c>
      <c r="E1479" s="3626">
        <v>13465</v>
      </c>
      <c r="F1479" s="3626">
        <v>11991</v>
      </c>
    </row>
    <row r="1480" spans="1:6" ht="15.75">
      <c r="A1480" s="3021">
        <v>70800</v>
      </c>
      <c r="B1480" s="3021">
        <v>70850</v>
      </c>
      <c r="C1480" s="3981">
        <v>13478</v>
      </c>
      <c r="D1480" s="3626">
        <v>9696</v>
      </c>
      <c r="E1480" s="3626">
        <v>13478</v>
      </c>
      <c r="F1480" s="3626">
        <v>12004</v>
      </c>
    </row>
    <row r="1481" spans="1:6" ht="15.75">
      <c r="A1481" s="3021">
        <v>70850</v>
      </c>
      <c r="B1481" s="3021">
        <v>70900</v>
      </c>
      <c r="C1481" s="3981">
        <v>13490</v>
      </c>
      <c r="D1481" s="3626">
        <v>9704</v>
      </c>
      <c r="E1481" s="3626">
        <v>13490</v>
      </c>
      <c r="F1481" s="3626">
        <v>12016</v>
      </c>
    </row>
    <row r="1482" spans="1:6" ht="15.75">
      <c r="A1482" s="3021">
        <v>70900</v>
      </c>
      <c r="B1482" s="3021">
        <v>70950</v>
      </c>
      <c r="C1482" s="3981">
        <v>13503</v>
      </c>
      <c r="D1482" s="3626">
        <v>9711</v>
      </c>
      <c r="E1482" s="3626">
        <v>13503</v>
      </c>
      <c r="F1482" s="3626">
        <v>12029</v>
      </c>
    </row>
    <row r="1483" spans="1:6" ht="15.75">
      <c r="A1483" s="3021">
        <v>70950</v>
      </c>
      <c r="B1483" s="3021">
        <v>71000</v>
      </c>
      <c r="C1483" s="3981">
        <v>13515</v>
      </c>
      <c r="D1483" s="3626">
        <v>9719</v>
      </c>
      <c r="E1483" s="3626">
        <v>13515</v>
      </c>
      <c r="F1483" s="3626">
        <v>12041</v>
      </c>
    </row>
    <row r="1484" spans="1:6" ht="15.75">
      <c r="A1484" s="3021">
        <v>71000</v>
      </c>
      <c r="B1484" s="3021">
        <v>71050</v>
      </c>
      <c r="C1484" s="3981">
        <v>13528</v>
      </c>
      <c r="D1484" s="3626">
        <v>9726</v>
      </c>
      <c r="E1484" s="3626">
        <v>13528</v>
      </c>
      <c r="F1484" s="3626">
        <v>12054</v>
      </c>
    </row>
    <row r="1485" spans="1:6" ht="15.75">
      <c r="A1485" s="3021">
        <v>71050</v>
      </c>
      <c r="B1485" s="3021">
        <v>71100</v>
      </c>
      <c r="C1485" s="3981">
        <v>13540</v>
      </c>
      <c r="D1485" s="3626">
        <v>9734</v>
      </c>
      <c r="E1485" s="3626">
        <v>13540</v>
      </c>
      <c r="F1485" s="3626">
        <v>12066</v>
      </c>
    </row>
    <row r="1486" spans="1:6" ht="15.75">
      <c r="A1486" s="3021">
        <v>71100</v>
      </c>
      <c r="B1486" s="3021">
        <v>71150</v>
      </c>
      <c r="C1486" s="3981">
        <v>13553</v>
      </c>
      <c r="D1486" s="3626">
        <v>9741</v>
      </c>
      <c r="E1486" s="3626">
        <v>13553</v>
      </c>
      <c r="F1486" s="3626">
        <v>12079</v>
      </c>
    </row>
    <row r="1487" spans="1:6" ht="15.75">
      <c r="A1487" s="3021">
        <v>71150</v>
      </c>
      <c r="B1487" s="3021">
        <v>71200</v>
      </c>
      <c r="C1487" s="3981">
        <v>13565</v>
      </c>
      <c r="D1487" s="3626">
        <v>9749</v>
      </c>
      <c r="E1487" s="3626">
        <v>13565</v>
      </c>
      <c r="F1487" s="3626">
        <v>12091</v>
      </c>
    </row>
    <row r="1488" spans="1:6" ht="15.75">
      <c r="A1488" s="3021">
        <v>71200</v>
      </c>
      <c r="B1488" s="3021">
        <v>71250</v>
      </c>
      <c r="C1488" s="3981">
        <v>13578</v>
      </c>
      <c r="D1488" s="3626">
        <v>9756</v>
      </c>
      <c r="E1488" s="3626">
        <v>13578</v>
      </c>
      <c r="F1488" s="3626">
        <v>12104</v>
      </c>
    </row>
    <row r="1489" spans="1:6" ht="15.75">
      <c r="A1489" s="3021">
        <v>71250</v>
      </c>
      <c r="B1489" s="3021">
        <v>71300</v>
      </c>
      <c r="C1489" s="3981">
        <v>13590</v>
      </c>
      <c r="D1489" s="3626">
        <v>9764</v>
      </c>
      <c r="E1489" s="3626">
        <v>13590</v>
      </c>
      <c r="F1489" s="3626">
        <v>12116</v>
      </c>
    </row>
    <row r="1490" spans="1:6" ht="15.75">
      <c r="A1490" s="3021">
        <v>71300</v>
      </c>
      <c r="B1490" s="3021">
        <v>71350</v>
      </c>
      <c r="C1490" s="3981">
        <v>13603</v>
      </c>
      <c r="D1490" s="3626">
        <v>9771</v>
      </c>
      <c r="E1490" s="3626">
        <v>13603</v>
      </c>
      <c r="F1490" s="3626">
        <v>12129</v>
      </c>
    </row>
    <row r="1491" spans="1:6" ht="15.75">
      <c r="A1491" s="3021">
        <v>71350</v>
      </c>
      <c r="B1491" s="3021">
        <v>71400</v>
      </c>
      <c r="C1491" s="3981">
        <v>13615</v>
      </c>
      <c r="D1491" s="3626">
        <v>9779</v>
      </c>
      <c r="E1491" s="3626">
        <v>13615</v>
      </c>
      <c r="F1491" s="3626">
        <v>12141</v>
      </c>
    </row>
    <row r="1492" spans="1:6" ht="15.75">
      <c r="A1492" s="3021">
        <v>71400</v>
      </c>
      <c r="B1492" s="3021">
        <v>71450</v>
      </c>
      <c r="C1492" s="3981">
        <v>13628</v>
      </c>
      <c r="D1492" s="3626">
        <v>9786</v>
      </c>
      <c r="E1492" s="3626">
        <v>13628</v>
      </c>
      <c r="F1492" s="3626">
        <v>12154</v>
      </c>
    </row>
    <row r="1493" spans="1:6" ht="15.75">
      <c r="A1493" s="3021">
        <v>71450</v>
      </c>
      <c r="B1493" s="3021">
        <v>71500</v>
      </c>
      <c r="C1493" s="3981">
        <v>13640</v>
      </c>
      <c r="D1493" s="3626">
        <v>9794</v>
      </c>
      <c r="E1493" s="3626">
        <v>13640</v>
      </c>
      <c r="F1493" s="3626">
        <v>12166</v>
      </c>
    </row>
    <row r="1494" spans="1:6" ht="15.75">
      <c r="A1494" s="3021">
        <v>71500</v>
      </c>
      <c r="B1494" s="3021">
        <v>71550</v>
      </c>
      <c r="C1494" s="3981">
        <v>13653</v>
      </c>
      <c r="D1494" s="3626">
        <v>9801</v>
      </c>
      <c r="E1494" s="3626">
        <v>13653</v>
      </c>
      <c r="F1494" s="3626">
        <v>12179</v>
      </c>
    </row>
    <row r="1495" spans="1:6" ht="15.75">
      <c r="A1495" s="3021">
        <v>71550</v>
      </c>
      <c r="B1495" s="3021">
        <v>71600</v>
      </c>
      <c r="C1495" s="3981">
        <v>13665</v>
      </c>
      <c r="D1495" s="3626">
        <v>9809</v>
      </c>
      <c r="E1495" s="3626">
        <v>13665</v>
      </c>
      <c r="F1495" s="3626">
        <v>12191</v>
      </c>
    </row>
    <row r="1496" spans="1:6" ht="15.75">
      <c r="A1496" s="3021">
        <v>71600</v>
      </c>
      <c r="B1496" s="3021">
        <v>71650</v>
      </c>
      <c r="C1496" s="3981">
        <v>13678</v>
      </c>
      <c r="D1496" s="3626">
        <v>9816</v>
      </c>
      <c r="E1496" s="3626">
        <v>13678</v>
      </c>
      <c r="F1496" s="3626">
        <v>12204</v>
      </c>
    </row>
    <row r="1497" spans="1:6" ht="15.75">
      <c r="A1497" s="3021">
        <v>71650</v>
      </c>
      <c r="B1497" s="3021">
        <v>71700</v>
      </c>
      <c r="C1497" s="3981">
        <v>13690</v>
      </c>
      <c r="D1497" s="3626">
        <v>9824</v>
      </c>
      <c r="E1497" s="3626">
        <v>13690</v>
      </c>
      <c r="F1497" s="3626">
        <v>12216</v>
      </c>
    </row>
    <row r="1498" spans="1:6" ht="15.75">
      <c r="A1498" s="3021">
        <v>71700</v>
      </c>
      <c r="B1498" s="3021">
        <v>71750</v>
      </c>
      <c r="C1498" s="3981">
        <v>13703</v>
      </c>
      <c r="D1498" s="3626">
        <v>9831</v>
      </c>
      <c r="E1498" s="3626">
        <v>13703</v>
      </c>
      <c r="F1498" s="3626">
        <v>12229</v>
      </c>
    </row>
    <row r="1499" spans="1:6" ht="15.75">
      <c r="A1499" s="3021">
        <v>71750</v>
      </c>
      <c r="B1499" s="3021">
        <v>71800</v>
      </c>
      <c r="C1499" s="3981">
        <v>13715</v>
      </c>
      <c r="D1499" s="3626">
        <v>9839</v>
      </c>
      <c r="E1499" s="3626">
        <v>13715</v>
      </c>
      <c r="F1499" s="3626">
        <v>12241</v>
      </c>
    </row>
    <row r="1500" spans="1:6" ht="15.75">
      <c r="A1500" s="3021">
        <v>71800</v>
      </c>
      <c r="B1500" s="3021">
        <v>71850</v>
      </c>
      <c r="C1500" s="3981">
        <v>13728</v>
      </c>
      <c r="D1500" s="3626">
        <v>9846</v>
      </c>
      <c r="E1500" s="3626">
        <v>13728</v>
      </c>
      <c r="F1500" s="3626">
        <v>12254</v>
      </c>
    </row>
    <row r="1501" spans="1:6" ht="15.75">
      <c r="A1501" s="3021">
        <v>71850</v>
      </c>
      <c r="B1501" s="3021">
        <v>71900</v>
      </c>
      <c r="C1501" s="3981">
        <v>13740</v>
      </c>
      <c r="D1501" s="3626">
        <v>9854</v>
      </c>
      <c r="E1501" s="3626">
        <v>13740</v>
      </c>
      <c r="F1501" s="3626">
        <v>12266</v>
      </c>
    </row>
    <row r="1502" spans="1:6" ht="15.75">
      <c r="A1502" s="3021">
        <v>71900</v>
      </c>
      <c r="B1502" s="3021">
        <v>71950</v>
      </c>
      <c r="C1502" s="3981">
        <v>13753</v>
      </c>
      <c r="D1502" s="3626">
        <v>9861</v>
      </c>
      <c r="E1502" s="3626">
        <v>13753</v>
      </c>
      <c r="F1502" s="3626">
        <v>12279</v>
      </c>
    </row>
    <row r="1503" spans="1:6" ht="15.75">
      <c r="A1503" s="3021">
        <v>71950</v>
      </c>
      <c r="B1503" s="3021">
        <v>72000</v>
      </c>
      <c r="C1503" s="3981">
        <v>13765</v>
      </c>
      <c r="D1503" s="3626">
        <v>9869</v>
      </c>
      <c r="E1503" s="3626">
        <v>13765</v>
      </c>
      <c r="F1503" s="3626">
        <v>12291</v>
      </c>
    </row>
    <row r="1504" spans="1:6" ht="15.75">
      <c r="A1504" s="3021">
        <v>72000</v>
      </c>
      <c r="B1504" s="3021">
        <v>72050</v>
      </c>
      <c r="C1504" s="3981">
        <v>13778</v>
      </c>
      <c r="D1504" s="3626">
        <v>9876</v>
      </c>
      <c r="E1504" s="3626">
        <v>13778</v>
      </c>
      <c r="F1504" s="3626">
        <v>12304</v>
      </c>
    </row>
    <row r="1505" spans="1:6" ht="15.75">
      <c r="A1505" s="3021">
        <v>72050</v>
      </c>
      <c r="B1505" s="3021">
        <v>72100</v>
      </c>
      <c r="C1505" s="3981">
        <v>13790</v>
      </c>
      <c r="D1505" s="3626">
        <v>9884</v>
      </c>
      <c r="E1505" s="3626">
        <v>13790</v>
      </c>
      <c r="F1505" s="3626">
        <v>12316</v>
      </c>
    </row>
    <row r="1506" spans="1:6" ht="15.75">
      <c r="A1506" s="3021">
        <v>72100</v>
      </c>
      <c r="B1506" s="3021">
        <v>72150</v>
      </c>
      <c r="C1506" s="3981">
        <v>13803</v>
      </c>
      <c r="D1506" s="3626">
        <v>9891</v>
      </c>
      <c r="E1506" s="3626">
        <v>13803</v>
      </c>
      <c r="F1506" s="3626">
        <v>12329</v>
      </c>
    </row>
    <row r="1507" spans="1:6" ht="15.75">
      <c r="A1507" s="3021">
        <v>72150</v>
      </c>
      <c r="B1507" s="3021">
        <v>72200</v>
      </c>
      <c r="C1507" s="3981">
        <v>13815</v>
      </c>
      <c r="D1507" s="3626">
        <v>9899</v>
      </c>
      <c r="E1507" s="3626">
        <v>13815</v>
      </c>
      <c r="F1507" s="3626">
        <v>12341</v>
      </c>
    </row>
    <row r="1508" spans="1:6" ht="15.75">
      <c r="A1508" s="3021">
        <v>72200</v>
      </c>
      <c r="B1508" s="3021">
        <v>72250</v>
      </c>
      <c r="C1508" s="3981">
        <v>13828</v>
      </c>
      <c r="D1508" s="3626">
        <v>9906</v>
      </c>
      <c r="E1508" s="3626">
        <v>13828</v>
      </c>
      <c r="F1508" s="3626">
        <v>12354</v>
      </c>
    </row>
    <row r="1509" spans="1:6" ht="15.75">
      <c r="A1509" s="3021">
        <v>72250</v>
      </c>
      <c r="B1509" s="3021">
        <v>72300</v>
      </c>
      <c r="C1509" s="3981">
        <v>13840</v>
      </c>
      <c r="D1509" s="3626">
        <v>9914</v>
      </c>
      <c r="E1509" s="3626">
        <v>13840</v>
      </c>
      <c r="F1509" s="3626">
        <v>12366</v>
      </c>
    </row>
    <row r="1510" spans="1:6" ht="15.75">
      <c r="A1510" s="3021">
        <v>72300</v>
      </c>
      <c r="B1510" s="3021">
        <v>72350</v>
      </c>
      <c r="C1510" s="3981">
        <v>13853</v>
      </c>
      <c r="D1510" s="3626">
        <v>9921</v>
      </c>
      <c r="E1510" s="3626">
        <v>13853</v>
      </c>
      <c r="F1510" s="3626">
        <v>12379</v>
      </c>
    </row>
    <row r="1511" spans="1:6" ht="15.75">
      <c r="A1511" s="3021">
        <v>72350</v>
      </c>
      <c r="B1511" s="3021">
        <v>72400</v>
      </c>
      <c r="C1511" s="3981">
        <v>13865</v>
      </c>
      <c r="D1511" s="3626">
        <v>9929</v>
      </c>
      <c r="E1511" s="3626">
        <v>13865</v>
      </c>
      <c r="F1511" s="3626">
        <v>12391</v>
      </c>
    </row>
    <row r="1512" spans="1:6" ht="15.75">
      <c r="A1512" s="3021">
        <v>72400</v>
      </c>
      <c r="B1512" s="3021">
        <v>72450</v>
      </c>
      <c r="C1512" s="3981">
        <v>13878</v>
      </c>
      <c r="D1512" s="3626">
        <v>9936</v>
      </c>
      <c r="E1512" s="3626">
        <v>13878</v>
      </c>
      <c r="F1512" s="3626">
        <v>12404</v>
      </c>
    </row>
    <row r="1513" spans="1:6" ht="15.75">
      <c r="A1513" s="3021">
        <v>72450</v>
      </c>
      <c r="B1513" s="3021">
        <v>72500</v>
      </c>
      <c r="C1513" s="3981">
        <v>13890</v>
      </c>
      <c r="D1513" s="3626">
        <v>9944</v>
      </c>
      <c r="E1513" s="3626">
        <v>13890</v>
      </c>
      <c r="F1513" s="3626">
        <v>12416</v>
      </c>
    </row>
    <row r="1514" spans="1:6" ht="15.75">
      <c r="A1514" s="3021">
        <v>72500</v>
      </c>
      <c r="B1514" s="3021">
        <v>72550</v>
      </c>
      <c r="C1514" s="3981">
        <v>13903</v>
      </c>
      <c r="D1514" s="3626">
        <v>9951</v>
      </c>
      <c r="E1514" s="3626">
        <v>13903</v>
      </c>
      <c r="F1514" s="3626">
        <v>12429</v>
      </c>
    </row>
    <row r="1515" spans="1:6" ht="15.75">
      <c r="A1515" s="3021">
        <v>72550</v>
      </c>
      <c r="B1515" s="3021">
        <v>72600</v>
      </c>
      <c r="C1515" s="3981">
        <v>13915</v>
      </c>
      <c r="D1515" s="3626">
        <v>9959</v>
      </c>
      <c r="E1515" s="3626">
        <v>13915</v>
      </c>
      <c r="F1515" s="3626">
        <v>12441</v>
      </c>
    </row>
    <row r="1516" spans="1:6" ht="15.75">
      <c r="A1516" s="3021">
        <v>72600</v>
      </c>
      <c r="B1516" s="3021">
        <v>72650</v>
      </c>
      <c r="C1516" s="3981">
        <v>13928</v>
      </c>
      <c r="D1516" s="3626">
        <v>9966</v>
      </c>
      <c r="E1516" s="3626">
        <v>13928</v>
      </c>
      <c r="F1516" s="3626">
        <v>12454</v>
      </c>
    </row>
    <row r="1517" spans="1:6" ht="15.75">
      <c r="A1517" s="3021">
        <v>72650</v>
      </c>
      <c r="B1517" s="3021">
        <v>72700</v>
      </c>
      <c r="C1517" s="3981">
        <v>13940</v>
      </c>
      <c r="D1517" s="3626">
        <v>9974</v>
      </c>
      <c r="E1517" s="3626">
        <v>13940</v>
      </c>
      <c r="F1517" s="3626">
        <v>12466</v>
      </c>
    </row>
    <row r="1518" spans="1:6" ht="15.75">
      <c r="A1518" s="3021">
        <v>72700</v>
      </c>
      <c r="B1518" s="3021">
        <v>72750</v>
      </c>
      <c r="C1518" s="3981">
        <v>13953</v>
      </c>
      <c r="D1518" s="3626">
        <v>9981</v>
      </c>
      <c r="E1518" s="3626">
        <v>13953</v>
      </c>
      <c r="F1518" s="3626">
        <v>12479</v>
      </c>
    </row>
    <row r="1519" spans="1:6" ht="15.75">
      <c r="A1519" s="3021">
        <v>72750</v>
      </c>
      <c r="B1519" s="3021">
        <v>72800</v>
      </c>
      <c r="C1519" s="3981">
        <v>13965</v>
      </c>
      <c r="D1519" s="3626">
        <v>9989</v>
      </c>
      <c r="E1519" s="3626">
        <v>13965</v>
      </c>
      <c r="F1519" s="3626">
        <v>12491</v>
      </c>
    </row>
    <row r="1520" spans="1:6" ht="15.75">
      <c r="A1520" s="3021">
        <v>72800</v>
      </c>
      <c r="B1520" s="3021">
        <v>72850</v>
      </c>
      <c r="C1520" s="3981">
        <v>13978</v>
      </c>
      <c r="D1520" s="3626">
        <v>9996</v>
      </c>
      <c r="E1520" s="3626">
        <v>13978</v>
      </c>
      <c r="F1520" s="3626">
        <v>12504</v>
      </c>
    </row>
    <row r="1521" spans="1:6" ht="15.75">
      <c r="A1521" s="3021">
        <v>72850</v>
      </c>
      <c r="B1521" s="3021">
        <v>72900</v>
      </c>
      <c r="C1521" s="3981">
        <v>13990</v>
      </c>
      <c r="D1521" s="3626">
        <v>10004</v>
      </c>
      <c r="E1521" s="3626">
        <v>13990</v>
      </c>
      <c r="F1521" s="3626">
        <v>12516</v>
      </c>
    </row>
    <row r="1522" spans="1:6" ht="15.75">
      <c r="A1522" s="3021">
        <v>72900</v>
      </c>
      <c r="B1522" s="3021">
        <v>72950</v>
      </c>
      <c r="C1522" s="3981">
        <v>14003</v>
      </c>
      <c r="D1522" s="3626">
        <v>10011</v>
      </c>
      <c r="E1522" s="3626">
        <v>14003</v>
      </c>
      <c r="F1522" s="3626">
        <v>12529</v>
      </c>
    </row>
    <row r="1523" spans="1:6" ht="15.75">
      <c r="A1523" s="3021">
        <v>72950</v>
      </c>
      <c r="B1523" s="3021">
        <v>73000</v>
      </c>
      <c r="C1523" s="3981">
        <v>14015</v>
      </c>
      <c r="D1523" s="3626">
        <v>10019</v>
      </c>
      <c r="E1523" s="3626">
        <v>14015</v>
      </c>
      <c r="F1523" s="3626">
        <v>12541</v>
      </c>
    </row>
    <row r="1524" spans="1:6" ht="15.75">
      <c r="A1524" s="3021">
        <v>73000</v>
      </c>
      <c r="B1524" s="3021">
        <v>73050</v>
      </c>
      <c r="C1524" s="3981">
        <v>14028</v>
      </c>
      <c r="D1524" s="3626">
        <v>10026</v>
      </c>
      <c r="E1524" s="3626">
        <v>14028</v>
      </c>
      <c r="F1524" s="3626">
        <v>12554</v>
      </c>
    </row>
    <row r="1525" spans="1:6" ht="15.75">
      <c r="A1525" s="3021">
        <v>73050</v>
      </c>
      <c r="B1525" s="3021">
        <v>73100</v>
      </c>
      <c r="C1525" s="3981">
        <v>14040</v>
      </c>
      <c r="D1525" s="3626">
        <v>10034</v>
      </c>
      <c r="E1525" s="3626">
        <v>14040</v>
      </c>
      <c r="F1525" s="3626">
        <v>12566</v>
      </c>
    </row>
    <row r="1526" spans="1:6" ht="15.75">
      <c r="A1526" s="3021">
        <v>73100</v>
      </c>
      <c r="B1526" s="3021">
        <v>73150</v>
      </c>
      <c r="C1526" s="3981">
        <v>14053</v>
      </c>
      <c r="D1526" s="3626">
        <v>10041</v>
      </c>
      <c r="E1526" s="3626">
        <v>14053</v>
      </c>
      <c r="F1526" s="3626">
        <v>12579</v>
      </c>
    </row>
    <row r="1527" spans="1:6" ht="15.75">
      <c r="A1527" s="3021">
        <v>73150</v>
      </c>
      <c r="B1527" s="3021">
        <v>73200</v>
      </c>
      <c r="C1527" s="3981">
        <v>14065</v>
      </c>
      <c r="D1527" s="3626">
        <v>10049</v>
      </c>
      <c r="E1527" s="3626">
        <v>14065</v>
      </c>
      <c r="F1527" s="3626">
        <v>12591</v>
      </c>
    </row>
    <row r="1528" spans="1:6" ht="15.75">
      <c r="A1528" s="3021">
        <v>73200</v>
      </c>
      <c r="B1528" s="3021">
        <v>73250</v>
      </c>
      <c r="C1528" s="3981">
        <v>14078</v>
      </c>
      <c r="D1528" s="3626">
        <v>10056</v>
      </c>
      <c r="E1528" s="3626">
        <v>14078</v>
      </c>
      <c r="F1528" s="3626">
        <v>12604</v>
      </c>
    </row>
    <row r="1529" spans="1:6" ht="15.75">
      <c r="A1529" s="3021">
        <v>73250</v>
      </c>
      <c r="B1529" s="3021">
        <v>73300</v>
      </c>
      <c r="C1529" s="3981">
        <v>14090</v>
      </c>
      <c r="D1529" s="3626">
        <v>10064</v>
      </c>
      <c r="E1529" s="3626">
        <v>14090</v>
      </c>
      <c r="F1529" s="3626">
        <v>12616</v>
      </c>
    </row>
    <row r="1530" spans="1:6" ht="15.75">
      <c r="A1530" s="3021">
        <v>73300</v>
      </c>
      <c r="B1530" s="3021">
        <v>73350</v>
      </c>
      <c r="C1530" s="3981">
        <v>14103</v>
      </c>
      <c r="D1530" s="3626">
        <v>10071</v>
      </c>
      <c r="E1530" s="3626">
        <v>14103</v>
      </c>
      <c r="F1530" s="3626">
        <v>12629</v>
      </c>
    </row>
    <row r="1531" spans="1:6" ht="15.75">
      <c r="A1531" s="3021">
        <v>73350</v>
      </c>
      <c r="B1531" s="3021">
        <v>73400</v>
      </c>
      <c r="C1531" s="3981">
        <v>14115</v>
      </c>
      <c r="D1531" s="3626">
        <v>10079</v>
      </c>
      <c r="E1531" s="3626">
        <v>14115</v>
      </c>
      <c r="F1531" s="3626">
        <v>12641</v>
      </c>
    </row>
    <row r="1532" spans="1:6" ht="15.75">
      <c r="A1532" s="3021">
        <v>73400</v>
      </c>
      <c r="B1532" s="3021">
        <v>73450</v>
      </c>
      <c r="C1532" s="3981">
        <v>14128</v>
      </c>
      <c r="D1532" s="3626">
        <v>10086</v>
      </c>
      <c r="E1532" s="3626">
        <v>14128</v>
      </c>
      <c r="F1532" s="3626">
        <v>12654</v>
      </c>
    </row>
    <row r="1533" spans="1:6" ht="15.75">
      <c r="A1533" s="3021">
        <v>73450</v>
      </c>
      <c r="B1533" s="3021">
        <v>73500</v>
      </c>
      <c r="C1533" s="3981">
        <v>14140</v>
      </c>
      <c r="D1533" s="3626">
        <v>10094</v>
      </c>
      <c r="E1533" s="3626">
        <v>14140</v>
      </c>
      <c r="F1533" s="3626">
        <v>12666</v>
      </c>
    </row>
    <row r="1534" spans="1:6" ht="15.75">
      <c r="A1534" s="3021">
        <v>73500</v>
      </c>
      <c r="B1534" s="3021">
        <v>73550</v>
      </c>
      <c r="C1534" s="3981">
        <v>14153</v>
      </c>
      <c r="D1534" s="3626">
        <v>10101</v>
      </c>
      <c r="E1534" s="3626">
        <v>14153</v>
      </c>
      <c r="F1534" s="3626">
        <v>12679</v>
      </c>
    </row>
    <row r="1535" spans="1:6" ht="15.75">
      <c r="A1535" s="3021">
        <v>73550</v>
      </c>
      <c r="B1535" s="3021">
        <v>73600</v>
      </c>
      <c r="C1535" s="3981">
        <v>14165</v>
      </c>
      <c r="D1535" s="3626">
        <v>10109</v>
      </c>
      <c r="E1535" s="3626">
        <v>14165</v>
      </c>
      <c r="F1535" s="3626">
        <v>12691</v>
      </c>
    </row>
    <row r="1536" spans="1:6" ht="15.75">
      <c r="A1536" s="3021">
        <v>73600</v>
      </c>
      <c r="B1536" s="3021">
        <v>73650</v>
      </c>
      <c r="C1536" s="3981">
        <v>14178</v>
      </c>
      <c r="D1536" s="3626">
        <v>10116</v>
      </c>
      <c r="E1536" s="3626">
        <v>14178</v>
      </c>
      <c r="F1536" s="3626">
        <v>12704</v>
      </c>
    </row>
    <row r="1537" spans="1:6" ht="15.75">
      <c r="A1537" s="3021">
        <v>73650</v>
      </c>
      <c r="B1537" s="3021">
        <v>73700</v>
      </c>
      <c r="C1537" s="3981">
        <v>14190</v>
      </c>
      <c r="D1537" s="3626">
        <v>10124</v>
      </c>
      <c r="E1537" s="3626">
        <v>14190</v>
      </c>
      <c r="F1537" s="3626">
        <v>12716</v>
      </c>
    </row>
    <row r="1538" spans="1:6" ht="15.75">
      <c r="A1538" s="3021">
        <v>73700</v>
      </c>
      <c r="B1538" s="3021">
        <v>73750</v>
      </c>
      <c r="C1538" s="3981">
        <v>14203</v>
      </c>
      <c r="D1538" s="3626">
        <v>10131</v>
      </c>
      <c r="E1538" s="3626">
        <v>14203</v>
      </c>
      <c r="F1538" s="3626">
        <v>12729</v>
      </c>
    </row>
    <row r="1539" spans="1:6" ht="15.75">
      <c r="A1539" s="3021">
        <v>73750</v>
      </c>
      <c r="B1539" s="3021">
        <v>73800</v>
      </c>
      <c r="C1539" s="3981">
        <v>14215</v>
      </c>
      <c r="D1539" s="3626">
        <v>10139</v>
      </c>
      <c r="E1539" s="3626">
        <v>14215</v>
      </c>
      <c r="F1539" s="3626">
        <v>12741</v>
      </c>
    </row>
    <row r="1540" spans="1:6" ht="15.75">
      <c r="A1540" s="3021">
        <v>73800</v>
      </c>
      <c r="B1540" s="3021">
        <v>73850</v>
      </c>
      <c r="C1540" s="3981">
        <v>14228</v>
      </c>
      <c r="D1540" s="3626">
        <v>10146</v>
      </c>
      <c r="E1540" s="3626">
        <v>14228</v>
      </c>
      <c r="F1540" s="3626">
        <v>12754</v>
      </c>
    </row>
    <row r="1541" spans="1:6" ht="15.75">
      <c r="A1541" s="3021">
        <v>73850</v>
      </c>
      <c r="B1541" s="3021">
        <v>73900</v>
      </c>
      <c r="C1541" s="3981">
        <v>14240</v>
      </c>
      <c r="D1541" s="3626">
        <v>10154</v>
      </c>
      <c r="E1541" s="3626">
        <v>14240</v>
      </c>
      <c r="F1541" s="3626">
        <v>12766</v>
      </c>
    </row>
    <row r="1542" spans="1:6" ht="15.75">
      <c r="A1542" s="3021">
        <v>73900</v>
      </c>
      <c r="B1542" s="3021">
        <v>73950</v>
      </c>
      <c r="C1542" s="3981">
        <v>14253</v>
      </c>
      <c r="D1542" s="3626">
        <v>10161</v>
      </c>
      <c r="E1542" s="3626">
        <v>14253</v>
      </c>
      <c r="F1542" s="3626">
        <v>12779</v>
      </c>
    </row>
    <row r="1543" spans="1:6" ht="15.75">
      <c r="A1543" s="3021">
        <v>73950</v>
      </c>
      <c r="B1543" s="3021">
        <v>74000</v>
      </c>
      <c r="C1543" s="3981">
        <v>14265</v>
      </c>
      <c r="D1543" s="3626">
        <v>10169</v>
      </c>
      <c r="E1543" s="3626">
        <v>14265</v>
      </c>
      <c r="F1543" s="3626">
        <v>12791</v>
      </c>
    </row>
    <row r="1544" spans="1:6" ht="15.75">
      <c r="A1544" s="3021">
        <v>74000</v>
      </c>
      <c r="B1544" s="3021">
        <v>74050</v>
      </c>
      <c r="C1544" s="3981">
        <v>14278</v>
      </c>
      <c r="D1544" s="3626">
        <v>10176</v>
      </c>
      <c r="E1544" s="3626">
        <v>14278</v>
      </c>
      <c r="F1544" s="3626">
        <v>12804</v>
      </c>
    </row>
    <row r="1545" spans="1:6" ht="15.75">
      <c r="A1545" s="3021">
        <v>74050</v>
      </c>
      <c r="B1545" s="3021">
        <v>74100</v>
      </c>
      <c r="C1545" s="3981">
        <v>14290</v>
      </c>
      <c r="D1545" s="3626">
        <v>10184</v>
      </c>
      <c r="E1545" s="3626">
        <v>14290</v>
      </c>
      <c r="F1545" s="3626">
        <v>12816</v>
      </c>
    </row>
    <row r="1546" spans="1:6" ht="15.75">
      <c r="A1546" s="3021">
        <v>74100</v>
      </c>
      <c r="B1546" s="3021">
        <v>74150</v>
      </c>
      <c r="C1546" s="3981">
        <v>14303</v>
      </c>
      <c r="D1546" s="3626">
        <v>10191</v>
      </c>
      <c r="E1546" s="3626">
        <v>14303</v>
      </c>
      <c r="F1546" s="3626">
        <v>12829</v>
      </c>
    </row>
    <row r="1547" spans="1:6" ht="15.75">
      <c r="A1547" s="3021">
        <v>74150</v>
      </c>
      <c r="B1547" s="3021">
        <v>74200</v>
      </c>
      <c r="C1547" s="3981">
        <v>14315</v>
      </c>
      <c r="D1547" s="3626">
        <v>10199</v>
      </c>
      <c r="E1547" s="3626">
        <v>14315</v>
      </c>
      <c r="F1547" s="3626">
        <v>12841</v>
      </c>
    </row>
    <row r="1548" spans="1:6" ht="15.75">
      <c r="A1548" s="3021">
        <v>74200</v>
      </c>
      <c r="B1548" s="3021">
        <v>74250</v>
      </c>
      <c r="C1548" s="3981">
        <v>14328</v>
      </c>
      <c r="D1548" s="3626">
        <v>10206</v>
      </c>
      <c r="E1548" s="3626">
        <v>14328</v>
      </c>
      <c r="F1548" s="3626">
        <v>12854</v>
      </c>
    </row>
    <row r="1549" spans="1:6" ht="15.75">
      <c r="A1549" s="3021">
        <v>74250</v>
      </c>
      <c r="B1549" s="3021">
        <v>74300</v>
      </c>
      <c r="C1549" s="3981">
        <v>14340</v>
      </c>
      <c r="D1549" s="3626">
        <v>10214</v>
      </c>
      <c r="E1549" s="3626">
        <v>14340</v>
      </c>
      <c r="F1549" s="3626">
        <v>12866</v>
      </c>
    </row>
    <row r="1550" spans="1:6" ht="15.75">
      <c r="A1550" s="3021">
        <v>74300</v>
      </c>
      <c r="B1550" s="3021">
        <v>74350</v>
      </c>
      <c r="C1550" s="3981">
        <v>14353</v>
      </c>
      <c r="D1550" s="3626">
        <v>10221</v>
      </c>
      <c r="E1550" s="3626">
        <v>14353</v>
      </c>
      <c r="F1550" s="3626">
        <v>12879</v>
      </c>
    </row>
    <row r="1551" spans="1:6" ht="15.75">
      <c r="A1551" s="3021">
        <v>74350</v>
      </c>
      <c r="B1551" s="3021">
        <v>74400</v>
      </c>
      <c r="C1551" s="3981">
        <v>14365</v>
      </c>
      <c r="D1551" s="3626">
        <v>10229</v>
      </c>
      <c r="E1551" s="3626">
        <v>14365</v>
      </c>
      <c r="F1551" s="3626">
        <v>12891</v>
      </c>
    </row>
    <row r="1552" spans="1:6" ht="15.75">
      <c r="A1552" s="3021">
        <v>74400</v>
      </c>
      <c r="B1552" s="3021">
        <v>74450</v>
      </c>
      <c r="C1552" s="3981">
        <v>14378</v>
      </c>
      <c r="D1552" s="3626">
        <v>10236</v>
      </c>
      <c r="E1552" s="3626">
        <v>14378</v>
      </c>
      <c r="F1552" s="3626">
        <v>12904</v>
      </c>
    </row>
    <row r="1553" spans="1:6" ht="15.75">
      <c r="A1553" s="3021">
        <v>74450</v>
      </c>
      <c r="B1553" s="3021">
        <v>74500</v>
      </c>
      <c r="C1553" s="3981">
        <v>14390</v>
      </c>
      <c r="D1553" s="3626">
        <v>10244</v>
      </c>
      <c r="E1553" s="3626">
        <v>14390</v>
      </c>
      <c r="F1553" s="3626">
        <v>12916</v>
      </c>
    </row>
    <row r="1554" spans="1:6" ht="15.75">
      <c r="A1554" s="3021">
        <v>74500</v>
      </c>
      <c r="B1554" s="3021">
        <v>74550</v>
      </c>
      <c r="C1554" s="3981">
        <v>14403</v>
      </c>
      <c r="D1554" s="3626">
        <v>10251</v>
      </c>
      <c r="E1554" s="3626">
        <v>14403</v>
      </c>
      <c r="F1554" s="3626">
        <v>12929</v>
      </c>
    </row>
    <row r="1555" spans="1:6" ht="15.75">
      <c r="A1555" s="3021">
        <v>74550</v>
      </c>
      <c r="B1555" s="3021">
        <v>74600</v>
      </c>
      <c r="C1555" s="3981">
        <v>14415</v>
      </c>
      <c r="D1555" s="3626">
        <v>10259</v>
      </c>
      <c r="E1555" s="3626">
        <v>14415</v>
      </c>
      <c r="F1555" s="3626">
        <v>12941</v>
      </c>
    </row>
    <row r="1556" spans="1:6" ht="15.75">
      <c r="A1556" s="3021">
        <v>74600</v>
      </c>
      <c r="B1556" s="3021">
        <v>74650</v>
      </c>
      <c r="C1556" s="3981">
        <v>14428</v>
      </c>
      <c r="D1556" s="3626">
        <v>10266</v>
      </c>
      <c r="E1556" s="3626">
        <v>14428</v>
      </c>
      <c r="F1556" s="3626">
        <v>12954</v>
      </c>
    </row>
    <row r="1557" spans="1:6" ht="15.75">
      <c r="A1557" s="3021">
        <v>74650</v>
      </c>
      <c r="B1557" s="3021">
        <v>74700</v>
      </c>
      <c r="C1557" s="3981">
        <v>14440</v>
      </c>
      <c r="D1557" s="3626">
        <v>10274</v>
      </c>
      <c r="E1557" s="3626">
        <v>14440</v>
      </c>
      <c r="F1557" s="3626">
        <v>12966</v>
      </c>
    </row>
    <row r="1558" spans="1:6" ht="15.75">
      <c r="A1558" s="3021">
        <v>74700</v>
      </c>
      <c r="B1558" s="3021">
        <v>74750</v>
      </c>
      <c r="C1558" s="3981">
        <v>14453</v>
      </c>
      <c r="D1558" s="3626">
        <v>10281</v>
      </c>
      <c r="E1558" s="3626">
        <v>14453</v>
      </c>
      <c r="F1558" s="3626">
        <v>12979</v>
      </c>
    </row>
    <row r="1559" spans="1:6" ht="15.75">
      <c r="A1559" s="3021">
        <v>74750</v>
      </c>
      <c r="B1559" s="3021">
        <v>74800</v>
      </c>
      <c r="C1559" s="3981">
        <v>14465</v>
      </c>
      <c r="D1559" s="3626">
        <v>10289</v>
      </c>
      <c r="E1559" s="3626">
        <v>14465</v>
      </c>
      <c r="F1559" s="3626">
        <v>12991</v>
      </c>
    </row>
    <row r="1560" spans="1:6" ht="15.75">
      <c r="A1560" s="3021">
        <v>74800</v>
      </c>
      <c r="B1560" s="3021">
        <v>74850</v>
      </c>
      <c r="C1560" s="3981">
        <v>14478</v>
      </c>
      <c r="D1560" s="3626">
        <v>10296</v>
      </c>
      <c r="E1560" s="3626">
        <v>14478</v>
      </c>
      <c r="F1560" s="3626">
        <v>13004</v>
      </c>
    </row>
    <row r="1561" spans="1:6" ht="15.75">
      <c r="A1561" s="3021">
        <v>74850</v>
      </c>
      <c r="B1561" s="3021">
        <v>74900</v>
      </c>
      <c r="C1561" s="3981">
        <v>14490</v>
      </c>
      <c r="D1561" s="3626">
        <v>10304</v>
      </c>
      <c r="E1561" s="3626">
        <v>14490</v>
      </c>
      <c r="F1561" s="3626">
        <v>13016</v>
      </c>
    </row>
    <row r="1562" spans="1:6" ht="15.75">
      <c r="A1562" s="3021">
        <v>74900</v>
      </c>
      <c r="B1562" s="3021">
        <v>74950</v>
      </c>
      <c r="C1562" s="3981">
        <v>14503</v>
      </c>
      <c r="D1562" s="3626">
        <v>10311</v>
      </c>
      <c r="E1562" s="3626">
        <v>14503</v>
      </c>
      <c r="F1562" s="3626">
        <v>13029</v>
      </c>
    </row>
    <row r="1563" spans="1:6" ht="15.75">
      <c r="A1563" s="3021">
        <v>74950</v>
      </c>
      <c r="B1563" s="3021">
        <v>75000</v>
      </c>
      <c r="C1563" s="3981">
        <v>14515</v>
      </c>
      <c r="D1563" s="3626">
        <v>10319</v>
      </c>
      <c r="E1563" s="3626">
        <v>14515</v>
      </c>
      <c r="F1563" s="3626">
        <v>13041</v>
      </c>
    </row>
    <row r="1564" spans="1:6" ht="15.75">
      <c r="A1564" s="3021">
        <v>75000</v>
      </c>
      <c r="B1564" s="3021">
        <v>75050</v>
      </c>
      <c r="C1564" s="3981">
        <v>14528</v>
      </c>
      <c r="D1564" s="3626">
        <v>10326</v>
      </c>
      <c r="E1564" s="3626">
        <v>14528</v>
      </c>
      <c r="F1564" s="3626">
        <v>13054</v>
      </c>
    </row>
    <row r="1565" spans="1:6" ht="15.75">
      <c r="A1565" s="3021">
        <v>75050</v>
      </c>
      <c r="B1565" s="3021">
        <v>75100</v>
      </c>
      <c r="C1565" s="3981">
        <v>14540</v>
      </c>
      <c r="D1565" s="3626">
        <v>10334</v>
      </c>
      <c r="E1565" s="3626">
        <v>14540</v>
      </c>
      <c r="F1565" s="3626">
        <v>13066</v>
      </c>
    </row>
    <row r="1566" spans="1:6" ht="15.75">
      <c r="A1566" s="3021">
        <v>75100</v>
      </c>
      <c r="B1566" s="3021">
        <v>75150</v>
      </c>
      <c r="C1566" s="3981">
        <v>14553</v>
      </c>
      <c r="D1566" s="3626">
        <v>10341</v>
      </c>
      <c r="E1566" s="3626">
        <v>14553</v>
      </c>
      <c r="F1566" s="3626">
        <v>13079</v>
      </c>
    </row>
    <row r="1567" spans="1:6" ht="15.75">
      <c r="A1567" s="3021">
        <v>75150</v>
      </c>
      <c r="B1567" s="3021">
        <v>75200</v>
      </c>
      <c r="C1567" s="3981">
        <v>14565</v>
      </c>
      <c r="D1567" s="3626">
        <v>10349</v>
      </c>
      <c r="E1567" s="3626">
        <v>14565</v>
      </c>
      <c r="F1567" s="3626">
        <v>13091</v>
      </c>
    </row>
    <row r="1568" spans="1:6" ht="15.75">
      <c r="A1568" s="3021">
        <v>75200</v>
      </c>
      <c r="B1568" s="3021">
        <v>75250</v>
      </c>
      <c r="C1568" s="3981">
        <v>14578</v>
      </c>
      <c r="D1568" s="3626">
        <v>10356</v>
      </c>
      <c r="E1568" s="3626">
        <v>14578</v>
      </c>
      <c r="F1568" s="3626">
        <v>13104</v>
      </c>
    </row>
    <row r="1569" spans="1:6" ht="15.75">
      <c r="A1569" s="3021">
        <v>75250</v>
      </c>
      <c r="B1569" s="3021">
        <v>75300</v>
      </c>
      <c r="C1569" s="3981">
        <v>14590</v>
      </c>
      <c r="D1569" s="3626">
        <v>10364</v>
      </c>
      <c r="E1569" s="3626">
        <v>14590</v>
      </c>
      <c r="F1569" s="3626">
        <v>13116</v>
      </c>
    </row>
    <row r="1570" spans="1:6" ht="15.75">
      <c r="A1570" s="3021">
        <v>75300</v>
      </c>
      <c r="B1570" s="3021">
        <v>75350</v>
      </c>
      <c r="C1570" s="3981">
        <v>14603</v>
      </c>
      <c r="D1570" s="3626">
        <v>10374</v>
      </c>
      <c r="E1570" s="3626">
        <v>14603</v>
      </c>
      <c r="F1570" s="3626">
        <v>13129</v>
      </c>
    </row>
    <row r="1571" spans="1:6" ht="15.75">
      <c r="A1571" s="3021">
        <v>75350</v>
      </c>
      <c r="B1571" s="3021">
        <v>75400</v>
      </c>
      <c r="C1571" s="3981">
        <v>14615</v>
      </c>
      <c r="D1571" s="3626">
        <v>10386</v>
      </c>
      <c r="E1571" s="3626">
        <v>14615</v>
      </c>
      <c r="F1571" s="3626">
        <v>13141</v>
      </c>
    </row>
    <row r="1572" spans="1:6" ht="15.75">
      <c r="A1572" s="3021">
        <v>75400</v>
      </c>
      <c r="B1572" s="3021">
        <v>75450</v>
      </c>
      <c r="C1572" s="3981">
        <v>14628</v>
      </c>
      <c r="D1572" s="3626">
        <v>10399</v>
      </c>
      <c r="E1572" s="3626">
        <v>14628</v>
      </c>
      <c r="F1572" s="3626">
        <v>13154</v>
      </c>
    </row>
    <row r="1573" spans="1:6" ht="15.75">
      <c r="A1573" s="3021">
        <v>75450</v>
      </c>
      <c r="B1573" s="3021">
        <v>75500</v>
      </c>
      <c r="C1573" s="3981">
        <v>14640</v>
      </c>
      <c r="D1573" s="3626">
        <v>10411</v>
      </c>
      <c r="E1573" s="3626">
        <v>14640</v>
      </c>
      <c r="F1573" s="3626">
        <v>13166</v>
      </c>
    </row>
    <row r="1574" spans="1:6" ht="15.75">
      <c r="A1574" s="3021">
        <v>75500</v>
      </c>
      <c r="B1574" s="3021">
        <v>75550</v>
      </c>
      <c r="C1574" s="3981">
        <v>14653</v>
      </c>
      <c r="D1574" s="3626">
        <v>10424</v>
      </c>
      <c r="E1574" s="3626">
        <v>14653</v>
      </c>
      <c r="F1574" s="3626">
        <v>13179</v>
      </c>
    </row>
    <row r="1575" spans="1:6" ht="15.75">
      <c r="A1575" s="3021">
        <v>75550</v>
      </c>
      <c r="B1575" s="3021">
        <v>75600</v>
      </c>
      <c r="C1575" s="3981">
        <v>14665</v>
      </c>
      <c r="D1575" s="3626">
        <v>10436</v>
      </c>
      <c r="E1575" s="3626">
        <v>14665</v>
      </c>
      <c r="F1575" s="3626">
        <v>13191</v>
      </c>
    </row>
    <row r="1576" spans="1:6" ht="15.75">
      <c r="A1576" s="3021">
        <v>75600</v>
      </c>
      <c r="B1576" s="3021">
        <v>75650</v>
      </c>
      <c r="C1576" s="3981">
        <v>14678</v>
      </c>
      <c r="D1576" s="3626">
        <v>10449</v>
      </c>
      <c r="E1576" s="3626">
        <v>14678</v>
      </c>
      <c r="F1576" s="3626">
        <v>13204</v>
      </c>
    </row>
    <row r="1577" spans="1:6" ht="15.75">
      <c r="A1577" s="3021">
        <v>75650</v>
      </c>
      <c r="B1577" s="3021">
        <v>75700</v>
      </c>
      <c r="C1577" s="3981">
        <v>14690</v>
      </c>
      <c r="D1577" s="3626">
        <v>10461</v>
      </c>
      <c r="E1577" s="3626">
        <v>14690</v>
      </c>
      <c r="F1577" s="3626">
        <v>13216</v>
      </c>
    </row>
    <row r="1578" spans="1:6" ht="15.75">
      <c r="A1578" s="3021">
        <v>75700</v>
      </c>
      <c r="B1578" s="3021">
        <v>75750</v>
      </c>
      <c r="C1578" s="3981">
        <v>14703</v>
      </c>
      <c r="D1578" s="3626">
        <v>10474</v>
      </c>
      <c r="E1578" s="3626">
        <v>14703</v>
      </c>
      <c r="F1578" s="3626">
        <v>13229</v>
      </c>
    </row>
    <row r="1579" spans="1:6" ht="15.75">
      <c r="A1579" s="3021">
        <v>75750</v>
      </c>
      <c r="B1579" s="3021">
        <v>75800</v>
      </c>
      <c r="C1579" s="3981">
        <v>14715</v>
      </c>
      <c r="D1579" s="3626">
        <v>10486</v>
      </c>
      <c r="E1579" s="3626">
        <v>14715</v>
      </c>
      <c r="F1579" s="3626">
        <v>13241</v>
      </c>
    </row>
    <row r="1580" spans="1:6" ht="15.75">
      <c r="A1580" s="3021">
        <v>75800</v>
      </c>
      <c r="B1580" s="3021">
        <v>75850</v>
      </c>
      <c r="C1580" s="3981">
        <v>14728</v>
      </c>
      <c r="D1580" s="3626">
        <v>10499</v>
      </c>
      <c r="E1580" s="3626">
        <v>14728</v>
      </c>
      <c r="F1580" s="3626">
        <v>13254</v>
      </c>
    </row>
    <row r="1581" spans="1:6" ht="15.75">
      <c r="A1581" s="3021">
        <v>75850</v>
      </c>
      <c r="B1581" s="3021">
        <v>75900</v>
      </c>
      <c r="C1581" s="3981">
        <v>14740</v>
      </c>
      <c r="D1581" s="3626">
        <v>10511</v>
      </c>
      <c r="E1581" s="3626">
        <v>14740</v>
      </c>
      <c r="F1581" s="3626">
        <v>13266</v>
      </c>
    </row>
    <row r="1582" spans="1:6" ht="15.75">
      <c r="A1582" s="3021">
        <v>75900</v>
      </c>
      <c r="B1582" s="3021">
        <v>75950</v>
      </c>
      <c r="C1582" s="3981">
        <v>14753</v>
      </c>
      <c r="D1582" s="3626">
        <v>10524</v>
      </c>
      <c r="E1582" s="3626">
        <v>14753</v>
      </c>
      <c r="F1582" s="3626">
        <v>13279</v>
      </c>
    </row>
    <row r="1583" spans="1:6" ht="15.75">
      <c r="A1583" s="3021">
        <v>75950</v>
      </c>
      <c r="B1583" s="3021">
        <v>76000</v>
      </c>
      <c r="C1583" s="3981">
        <v>14765</v>
      </c>
      <c r="D1583" s="3626">
        <v>10536</v>
      </c>
      <c r="E1583" s="3626">
        <v>14766</v>
      </c>
      <c r="F1583" s="3626">
        <v>13291</v>
      </c>
    </row>
    <row r="1584" spans="1:6" ht="15.75">
      <c r="A1584" s="3021">
        <v>76000</v>
      </c>
      <c r="B1584" s="3021">
        <v>76050</v>
      </c>
      <c r="C1584" s="3981">
        <v>14778</v>
      </c>
      <c r="D1584" s="3626">
        <v>10549</v>
      </c>
      <c r="E1584" s="3626">
        <v>14780</v>
      </c>
      <c r="F1584" s="3626">
        <v>13304</v>
      </c>
    </row>
    <row r="1585" spans="1:6" ht="15.75">
      <c r="A1585" s="3021">
        <v>76050</v>
      </c>
      <c r="B1585" s="3021">
        <v>76100</v>
      </c>
      <c r="C1585" s="3981">
        <v>14790</v>
      </c>
      <c r="D1585" s="3626">
        <v>10561</v>
      </c>
      <c r="E1585" s="3626">
        <v>14794</v>
      </c>
      <c r="F1585" s="3626">
        <v>13316</v>
      </c>
    </row>
    <row r="1586" spans="1:6" ht="15.75">
      <c r="A1586" s="3021">
        <v>76100</v>
      </c>
      <c r="B1586" s="3021">
        <v>76150</v>
      </c>
      <c r="C1586" s="3981">
        <v>14803</v>
      </c>
      <c r="D1586" s="3626">
        <v>10574</v>
      </c>
      <c r="E1586" s="3626">
        <v>14808</v>
      </c>
      <c r="F1586" s="3626">
        <v>13329</v>
      </c>
    </row>
    <row r="1587" spans="1:6" ht="15.75">
      <c r="A1587" s="3021">
        <v>76150</v>
      </c>
      <c r="B1587" s="3021">
        <v>76200</v>
      </c>
      <c r="C1587" s="3981">
        <v>14815</v>
      </c>
      <c r="D1587" s="3626">
        <v>10586</v>
      </c>
      <c r="E1587" s="3626">
        <v>14822</v>
      </c>
      <c r="F1587" s="3626">
        <v>13341</v>
      </c>
    </row>
    <row r="1588" spans="1:6" ht="15.75">
      <c r="A1588" s="3021">
        <v>76200</v>
      </c>
      <c r="B1588" s="3021">
        <v>76250</v>
      </c>
      <c r="C1588" s="3981">
        <v>14828</v>
      </c>
      <c r="D1588" s="3626">
        <v>10599</v>
      </c>
      <c r="E1588" s="3626">
        <v>14836</v>
      </c>
      <c r="F1588" s="3626">
        <v>13354</v>
      </c>
    </row>
    <row r="1589" spans="1:6" ht="15.75">
      <c r="A1589" s="3021">
        <v>76250</v>
      </c>
      <c r="B1589" s="3021">
        <v>76300</v>
      </c>
      <c r="C1589" s="3981">
        <v>14840</v>
      </c>
      <c r="D1589" s="3626">
        <v>10611</v>
      </c>
      <c r="E1589" s="3626">
        <v>14850</v>
      </c>
      <c r="F1589" s="3626">
        <v>13366</v>
      </c>
    </row>
    <row r="1590" spans="1:6" ht="15.75">
      <c r="A1590" s="3021">
        <v>76300</v>
      </c>
      <c r="B1590" s="3021">
        <v>76350</v>
      </c>
      <c r="C1590" s="3981">
        <v>14853</v>
      </c>
      <c r="D1590" s="3626">
        <v>10624</v>
      </c>
      <c r="E1590" s="3626">
        <v>14864</v>
      </c>
      <c r="F1590" s="3626">
        <v>13379</v>
      </c>
    </row>
    <row r="1591" spans="1:6" ht="15.75">
      <c r="A1591" s="3021">
        <v>76350</v>
      </c>
      <c r="B1591" s="3021">
        <v>76400</v>
      </c>
      <c r="C1591" s="3981">
        <v>14865</v>
      </c>
      <c r="D1591" s="3626">
        <v>10636</v>
      </c>
      <c r="E1591" s="3626">
        <v>14878</v>
      </c>
      <c r="F1591" s="3626">
        <v>13391</v>
      </c>
    </row>
    <row r="1592" spans="1:6" ht="15.75">
      <c r="A1592" s="3021">
        <v>76400</v>
      </c>
      <c r="B1592" s="3021">
        <v>76450</v>
      </c>
      <c r="C1592" s="3981">
        <v>14878</v>
      </c>
      <c r="D1592" s="3626">
        <v>10649</v>
      </c>
      <c r="E1592" s="3626">
        <v>14892</v>
      </c>
      <c r="F1592" s="3626">
        <v>13404</v>
      </c>
    </row>
    <row r="1593" spans="1:6" ht="15.75">
      <c r="A1593" s="3021">
        <v>76450</v>
      </c>
      <c r="B1593" s="3021">
        <v>76500</v>
      </c>
      <c r="C1593" s="3981">
        <v>14890</v>
      </c>
      <c r="D1593" s="3626">
        <v>10661</v>
      </c>
      <c r="E1593" s="3626">
        <v>14906</v>
      </c>
      <c r="F1593" s="3626">
        <v>13416</v>
      </c>
    </row>
    <row r="1594" spans="1:6" ht="15.75">
      <c r="A1594" s="3021">
        <v>76500</v>
      </c>
      <c r="B1594" s="3021">
        <v>76550</v>
      </c>
      <c r="C1594" s="3981">
        <v>14903</v>
      </c>
      <c r="D1594" s="3626">
        <v>10674</v>
      </c>
      <c r="E1594" s="3626">
        <v>14920</v>
      </c>
      <c r="F1594" s="3626">
        <v>13429</v>
      </c>
    </row>
    <row r="1595" spans="1:6" ht="15.75">
      <c r="A1595" s="3021">
        <v>76550</v>
      </c>
      <c r="B1595" s="3021">
        <v>76600</v>
      </c>
      <c r="C1595" s="3981">
        <v>14915</v>
      </c>
      <c r="D1595" s="3626">
        <v>10686</v>
      </c>
      <c r="E1595" s="3626">
        <v>14934</v>
      </c>
      <c r="F1595" s="3626">
        <v>13441</v>
      </c>
    </row>
    <row r="1596" spans="1:6" ht="15.75">
      <c r="A1596" s="3021">
        <v>76600</v>
      </c>
      <c r="B1596" s="3021">
        <v>76650</v>
      </c>
      <c r="C1596" s="3981">
        <v>14928</v>
      </c>
      <c r="D1596" s="3626">
        <v>10699</v>
      </c>
      <c r="E1596" s="3626">
        <v>14948</v>
      </c>
      <c r="F1596" s="3626">
        <v>13454</v>
      </c>
    </row>
    <row r="1597" spans="1:6" ht="15.75">
      <c r="A1597" s="3021">
        <v>76650</v>
      </c>
      <c r="B1597" s="3021">
        <v>76700</v>
      </c>
      <c r="C1597" s="3981">
        <v>14940</v>
      </c>
      <c r="D1597" s="3626">
        <v>10711</v>
      </c>
      <c r="E1597" s="3626">
        <v>14962</v>
      </c>
      <c r="F1597" s="3626">
        <v>13466</v>
      </c>
    </row>
    <row r="1598" spans="1:6" ht="15.75">
      <c r="A1598" s="3021">
        <v>76700</v>
      </c>
      <c r="B1598" s="3021">
        <v>76750</v>
      </c>
      <c r="C1598" s="3981">
        <v>14953</v>
      </c>
      <c r="D1598" s="3626">
        <v>10724</v>
      </c>
      <c r="E1598" s="3626">
        <v>14976</v>
      </c>
      <c r="F1598" s="3626">
        <v>13479</v>
      </c>
    </row>
    <row r="1599" spans="1:6" ht="15.75">
      <c r="A1599" s="3021">
        <v>76750</v>
      </c>
      <c r="B1599" s="3021">
        <v>76800</v>
      </c>
      <c r="C1599" s="3981">
        <v>14965</v>
      </c>
      <c r="D1599" s="3626">
        <v>10736</v>
      </c>
      <c r="E1599" s="3626">
        <v>14990</v>
      </c>
      <c r="F1599" s="3626">
        <v>13491</v>
      </c>
    </row>
    <row r="1600" spans="1:6" ht="15.75">
      <c r="A1600" s="3021">
        <v>76800</v>
      </c>
      <c r="B1600" s="3021">
        <v>76850</v>
      </c>
      <c r="C1600" s="3981">
        <v>14978</v>
      </c>
      <c r="D1600" s="3626">
        <v>10749</v>
      </c>
      <c r="E1600" s="3626">
        <v>15004</v>
      </c>
      <c r="F1600" s="3626">
        <v>13504</v>
      </c>
    </row>
    <row r="1601" spans="1:6" ht="15.75">
      <c r="A1601" s="3021">
        <v>76850</v>
      </c>
      <c r="B1601" s="3021">
        <v>76900</v>
      </c>
      <c r="C1601" s="3981">
        <v>14990</v>
      </c>
      <c r="D1601" s="3626">
        <v>10761</v>
      </c>
      <c r="E1601" s="3626">
        <v>15018</v>
      </c>
      <c r="F1601" s="3626">
        <v>13516</v>
      </c>
    </row>
    <row r="1602" spans="1:6" ht="15.75">
      <c r="A1602" s="3021">
        <v>76900</v>
      </c>
      <c r="B1602" s="3021">
        <v>76950</v>
      </c>
      <c r="C1602" s="3981">
        <v>15003</v>
      </c>
      <c r="D1602" s="3626">
        <v>10774</v>
      </c>
      <c r="E1602" s="3626">
        <v>15032</v>
      </c>
      <c r="F1602" s="3626">
        <v>13529</v>
      </c>
    </row>
    <row r="1603" spans="1:6" ht="15.75">
      <c r="A1603" s="3021">
        <v>76950</v>
      </c>
      <c r="B1603" s="3021">
        <v>77000</v>
      </c>
      <c r="C1603" s="3981">
        <v>15015</v>
      </c>
      <c r="D1603" s="3626">
        <v>10786</v>
      </c>
      <c r="E1603" s="3626">
        <v>15046</v>
      </c>
      <c r="F1603" s="3626">
        <v>13541</v>
      </c>
    </row>
    <row r="1604" spans="1:6" ht="15.75">
      <c r="A1604" s="3021">
        <v>77000</v>
      </c>
      <c r="B1604" s="3021">
        <v>77050</v>
      </c>
      <c r="C1604" s="3981">
        <v>15028</v>
      </c>
      <c r="D1604" s="3626">
        <v>10799</v>
      </c>
      <c r="E1604" s="3626">
        <v>15060</v>
      </c>
      <c r="F1604" s="3626">
        <v>13554</v>
      </c>
    </row>
    <row r="1605" spans="1:6" ht="15.75">
      <c r="A1605" s="3021">
        <v>77050</v>
      </c>
      <c r="B1605" s="3021">
        <v>77100</v>
      </c>
      <c r="C1605" s="3981">
        <v>15040</v>
      </c>
      <c r="D1605" s="3626">
        <v>10811</v>
      </c>
      <c r="E1605" s="3626">
        <v>15074</v>
      </c>
      <c r="F1605" s="3626">
        <v>13566</v>
      </c>
    </row>
    <row r="1606" spans="1:6" ht="15.75">
      <c r="A1606" s="3021">
        <v>77100</v>
      </c>
      <c r="B1606" s="3021">
        <v>77150</v>
      </c>
      <c r="C1606" s="3981">
        <v>15053</v>
      </c>
      <c r="D1606" s="3626">
        <v>10824</v>
      </c>
      <c r="E1606" s="3626">
        <v>15088</v>
      </c>
      <c r="F1606" s="3626">
        <v>13579</v>
      </c>
    </row>
    <row r="1607" spans="1:6" ht="15.75">
      <c r="A1607" s="3021">
        <v>77150</v>
      </c>
      <c r="B1607" s="3021">
        <v>77200</v>
      </c>
      <c r="C1607" s="3981">
        <v>15065</v>
      </c>
      <c r="D1607" s="3626">
        <v>10836</v>
      </c>
      <c r="E1607" s="3626">
        <v>15102</v>
      </c>
      <c r="F1607" s="3626">
        <v>13591</v>
      </c>
    </row>
    <row r="1608" spans="1:6" ht="15.75">
      <c r="A1608" s="3021">
        <v>77200</v>
      </c>
      <c r="B1608" s="3021">
        <v>77250</v>
      </c>
      <c r="C1608" s="3981">
        <v>15078</v>
      </c>
      <c r="D1608" s="3626">
        <v>10849</v>
      </c>
      <c r="E1608" s="3626">
        <v>15116</v>
      </c>
      <c r="F1608" s="3626">
        <v>13604</v>
      </c>
    </row>
    <row r="1609" spans="1:6" ht="15.75">
      <c r="A1609" s="3021">
        <v>77250</v>
      </c>
      <c r="B1609" s="3021">
        <v>77300</v>
      </c>
      <c r="C1609" s="3981">
        <v>15090</v>
      </c>
      <c r="D1609" s="3626">
        <v>10861</v>
      </c>
      <c r="E1609" s="3626">
        <v>15130</v>
      </c>
      <c r="F1609" s="3626">
        <v>13616</v>
      </c>
    </row>
    <row r="1610" spans="1:6" ht="15.75">
      <c r="A1610" s="3021">
        <v>77300</v>
      </c>
      <c r="B1610" s="3021">
        <v>77350</v>
      </c>
      <c r="C1610" s="3981">
        <v>15103</v>
      </c>
      <c r="D1610" s="3626">
        <v>10874</v>
      </c>
      <c r="E1610" s="3626">
        <v>15144</v>
      </c>
      <c r="F1610" s="3626">
        <v>13629</v>
      </c>
    </row>
    <row r="1611" spans="1:6" ht="15.75">
      <c r="A1611" s="3021">
        <v>77350</v>
      </c>
      <c r="B1611" s="3021">
        <v>77400</v>
      </c>
      <c r="C1611" s="3981">
        <v>15115</v>
      </c>
      <c r="D1611" s="3626">
        <v>10886</v>
      </c>
      <c r="E1611" s="3626">
        <v>15158</v>
      </c>
      <c r="F1611" s="3626">
        <v>13641</v>
      </c>
    </row>
    <row r="1612" spans="1:6" ht="15.75">
      <c r="A1612" s="3021">
        <v>77400</v>
      </c>
      <c r="B1612" s="3021">
        <v>77450</v>
      </c>
      <c r="C1612" s="3981">
        <v>15128</v>
      </c>
      <c r="D1612" s="3626">
        <v>10899</v>
      </c>
      <c r="E1612" s="3626">
        <v>15172</v>
      </c>
      <c r="F1612" s="3626">
        <v>13654</v>
      </c>
    </row>
    <row r="1613" spans="1:6" ht="15.75">
      <c r="A1613" s="3021">
        <v>77450</v>
      </c>
      <c r="B1613" s="3021">
        <v>77500</v>
      </c>
      <c r="C1613" s="3981">
        <v>15140</v>
      </c>
      <c r="D1613" s="3626">
        <v>10911</v>
      </c>
      <c r="E1613" s="3626">
        <v>15186</v>
      </c>
      <c r="F1613" s="3626">
        <v>13666</v>
      </c>
    </row>
    <row r="1614" spans="1:6" ht="15.75">
      <c r="A1614" s="3021">
        <v>77500</v>
      </c>
      <c r="B1614" s="3021">
        <v>77550</v>
      </c>
      <c r="C1614" s="3981">
        <v>15153</v>
      </c>
      <c r="D1614" s="3626">
        <v>10924</v>
      </c>
      <c r="E1614" s="3626">
        <v>15200</v>
      </c>
      <c r="F1614" s="3626">
        <v>13679</v>
      </c>
    </row>
    <row r="1615" spans="1:6" ht="15.75">
      <c r="A1615" s="3021">
        <v>77550</v>
      </c>
      <c r="B1615" s="3021">
        <v>77600</v>
      </c>
      <c r="C1615" s="3981">
        <v>15165</v>
      </c>
      <c r="D1615" s="3626">
        <v>10936</v>
      </c>
      <c r="E1615" s="3626">
        <v>15214</v>
      </c>
      <c r="F1615" s="3626">
        <v>13691</v>
      </c>
    </row>
    <row r="1616" spans="1:6" ht="15.75">
      <c r="A1616" s="3021">
        <v>77600</v>
      </c>
      <c r="B1616" s="3021">
        <v>77650</v>
      </c>
      <c r="C1616" s="3981">
        <v>15178</v>
      </c>
      <c r="D1616" s="3626">
        <v>10949</v>
      </c>
      <c r="E1616" s="3626">
        <v>15228</v>
      </c>
      <c r="F1616" s="3626">
        <v>13704</v>
      </c>
    </row>
    <row r="1617" spans="1:6" ht="15.75">
      <c r="A1617" s="3021">
        <v>77650</v>
      </c>
      <c r="B1617" s="3021">
        <v>77700</v>
      </c>
      <c r="C1617" s="3981">
        <v>15190</v>
      </c>
      <c r="D1617" s="3626">
        <v>10961</v>
      </c>
      <c r="E1617" s="3626">
        <v>15242</v>
      </c>
      <c r="F1617" s="3626">
        <v>13716</v>
      </c>
    </row>
    <row r="1618" spans="1:6" ht="15.75">
      <c r="A1618" s="3021">
        <v>77700</v>
      </c>
      <c r="B1618" s="3021">
        <v>77750</v>
      </c>
      <c r="C1618" s="3981">
        <v>15203</v>
      </c>
      <c r="D1618" s="3626">
        <v>10974</v>
      </c>
      <c r="E1618" s="3626">
        <v>15256</v>
      </c>
      <c r="F1618" s="3626">
        <v>13729</v>
      </c>
    </row>
    <row r="1619" spans="1:6" ht="15.75">
      <c r="A1619" s="3021">
        <v>77750</v>
      </c>
      <c r="B1619" s="3021">
        <v>77800</v>
      </c>
      <c r="C1619" s="3981">
        <v>15215</v>
      </c>
      <c r="D1619" s="3626">
        <v>10986</v>
      </c>
      <c r="E1619" s="3626">
        <v>15270</v>
      </c>
      <c r="F1619" s="3626">
        <v>13741</v>
      </c>
    </row>
    <row r="1620" spans="1:6" ht="15.75">
      <c r="A1620" s="3021">
        <v>77800</v>
      </c>
      <c r="B1620" s="3021">
        <v>77850</v>
      </c>
      <c r="C1620" s="3981">
        <v>15228</v>
      </c>
      <c r="D1620" s="3626">
        <v>10999</v>
      </c>
      <c r="E1620" s="3626">
        <v>15284</v>
      </c>
      <c r="F1620" s="3626">
        <v>13754</v>
      </c>
    </row>
    <row r="1621" spans="1:6" ht="15.75">
      <c r="A1621" s="3021">
        <v>77850</v>
      </c>
      <c r="B1621" s="3021">
        <v>77900</v>
      </c>
      <c r="C1621" s="3981">
        <v>15240</v>
      </c>
      <c r="D1621" s="3626">
        <v>11011</v>
      </c>
      <c r="E1621" s="3626">
        <v>15298</v>
      </c>
      <c r="F1621" s="3626">
        <v>13766</v>
      </c>
    </row>
    <row r="1622" spans="1:6" ht="15.75">
      <c r="A1622" s="3021">
        <v>77900</v>
      </c>
      <c r="B1622" s="3021">
        <v>77950</v>
      </c>
      <c r="C1622" s="3981">
        <v>15253</v>
      </c>
      <c r="D1622" s="3626">
        <v>11024</v>
      </c>
      <c r="E1622" s="3626">
        <v>15312</v>
      </c>
      <c r="F1622" s="3626">
        <v>13779</v>
      </c>
    </row>
    <row r="1623" spans="1:6" ht="15.75">
      <c r="A1623" s="3021">
        <v>77950</v>
      </c>
      <c r="B1623" s="3021">
        <v>78000</v>
      </c>
      <c r="C1623" s="3981">
        <v>15265</v>
      </c>
      <c r="D1623" s="3626">
        <v>11036</v>
      </c>
      <c r="E1623" s="3626">
        <v>15326</v>
      </c>
      <c r="F1623" s="3626">
        <v>13791</v>
      </c>
    </row>
    <row r="1624" spans="1:6" ht="15.75">
      <c r="A1624" s="3021">
        <v>78000</v>
      </c>
      <c r="B1624" s="3021">
        <v>78050</v>
      </c>
      <c r="C1624" s="3981">
        <v>15278</v>
      </c>
      <c r="D1624" s="3626">
        <v>11049</v>
      </c>
      <c r="E1624" s="3626">
        <v>15340</v>
      </c>
      <c r="F1624" s="3626">
        <v>13804</v>
      </c>
    </row>
    <row r="1625" spans="1:6" ht="15.75">
      <c r="A1625" s="3021">
        <v>78050</v>
      </c>
      <c r="B1625" s="3021">
        <v>78100</v>
      </c>
      <c r="C1625" s="3981">
        <v>15290</v>
      </c>
      <c r="D1625" s="3626">
        <v>11061</v>
      </c>
      <c r="E1625" s="3626">
        <v>15354</v>
      </c>
      <c r="F1625" s="3626">
        <v>13816</v>
      </c>
    </row>
    <row r="1626" spans="1:6" ht="15.75">
      <c r="A1626" s="3021">
        <v>78100</v>
      </c>
      <c r="B1626" s="3021">
        <v>78150</v>
      </c>
      <c r="C1626" s="3981">
        <v>15303</v>
      </c>
      <c r="D1626" s="3626">
        <v>11074</v>
      </c>
      <c r="E1626" s="3626">
        <v>15368</v>
      </c>
      <c r="F1626" s="3626">
        <v>13829</v>
      </c>
    </row>
    <row r="1627" spans="1:6" ht="15.75">
      <c r="A1627" s="3021">
        <v>78150</v>
      </c>
      <c r="B1627" s="3021">
        <v>78200</v>
      </c>
      <c r="C1627" s="3981">
        <v>15315</v>
      </c>
      <c r="D1627" s="3626">
        <v>11086</v>
      </c>
      <c r="E1627" s="3626">
        <v>15382</v>
      </c>
      <c r="F1627" s="3626">
        <v>13841</v>
      </c>
    </row>
    <row r="1628" spans="1:6" ht="15.75">
      <c r="A1628" s="3021">
        <v>78200</v>
      </c>
      <c r="B1628" s="3021">
        <v>78250</v>
      </c>
      <c r="C1628" s="3981">
        <v>15328</v>
      </c>
      <c r="D1628" s="3626">
        <v>11099</v>
      </c>
      <c r="E1628" s="3626">
        <v>15396</v>
      </c>
      <c r="F1628" s="3626">
        <v>13854</v>
      </c>
    </row>
    <row r="1629" spans="1:6" ht="15.75">
      <c r="A1629" s="3021">
        <v>78250</v>
      </c>
      <c r="B1629" s="3021">
        <v>78300</v>
      </c>
      <c r="C1629" s="3981">
        <v>15340</v>
      </c>
      <c r="D1629" s="3626">
        <v>11111</v>
      </c>
      <c r="E1629" s="3626">
        <v>15410</v>
      </c>
      <c r="F1629" s="3626">
        <v>13866</v>
      </c>
    </row>
    <row r="1630" spans="1:6" ht="15.75">
      <c r="A1630" s="3021">
        <v>78300</v>
      </c>
      <c r="B1630" s="3021">
        <v>78350</v>
      </c>
      <c r="C1630" s="3981">
        <v>15353</v>
      </c>
      <c r="D1630" s="3626">
        <v>11124</v>
      </c>
      <c r="E1630" s="3626">
        <v>15424</v>
      </c>
      <c r="F1630" s="3626">
        <v>13879</v>
      </c>
    </row>
    <row r="1631" spans="1:6" ht="15.75">
      <c r="A1631" s="3021">
        <v>78350</v>
      </c>
      <c r="B1631" s="3021">
        <v>78400</v>
      </c>
      <c r="C1631" s="3981">
        <v>15365</v>
      </c>
      <c r="D1631" s="3626">
        <v>11136</v>
      </c>
      <c r="E1631" s="3626">
        <v>15438</v>
      </c>
      <c r="F1631" s="3626">
        <v>13891</v>
      </c>
    </row>
    <row r="1632" spans="1:6" ht="15.75">
      <c r="A1632" s="3021">
        <v>78400</v>
      </c>
      <c r="B1632" s="3021">
        <v>78450</v>
      </c>
      <c r="C1632" s="3981">
        <v>15378</v>
      </c>
      <c r="D1632" s="3626">
        <v>11149</v>
      </c>
      <c r="E1632" s="3626">
        <v>15452</v>
      </c>
      <c r="F1632" s="3626">
        <v>13904</v>
      </c>
    </row>
    <row r="1633" spans="1:6" ht="15.75">
      <c r="A1633" s="3021">
        <v>78450</v>
      </c>
      <c r="B1633" s="3021">
        <v>78500</v>
      </c>
      <c r="C1633" s="3981">
        <v>15390</v>
      </c>
      <c r="D1633" s="3626">
        <v>11161</v>
      </c>
      <c r="E1633" s="3626">
        <v>15466</v>
      </c>
      <c r="F1633" s="3626">
        <v>13916</v>
      </c>
    </row>
    <row r="1634" spans="1:6" ht="15.75">
      <c r="A1634" s="3021">
        <v>78500</v>
      </c>
      <c r="B1634" s="3021">
        <v>78550</v>
      </c>
      <c r="C1634" s="3981">
        <v>15403</v>
      </c>
      <c r="D1634" s="3626">
        <v>11174</v>
      </c>
      <c r="E1634" s="3626">
        <v>15480</v>
      </c>
      <c r="F1634" s="3626">
        <v>13929</v>
      </c>
    </row>
    <row r="1635" spans="1:6" ht="15.75">
      <c r="A1635" s="3021">
        <v>78550</v>
      </c>
      <c r="B1635" s="3021">
        <v>78600</v>
      </c>
      <c r="C1635" s="3981">
        <v>15415</v>
      </c>
      <c r="D1635" s="3626">
        <v>11186</v>
      </c>
      <c r="E1635" s="3626">
        <v>15494</v>
      </c>
      <c r="F1635" s="3626">
        <v>13941</v>
      </c>
    </row>
    <row r="1636" spans="1:6" ht="15.75">
      <c r="A1636" s="3021">
        <v>78600</v>
      </c>
      <c r="B1636" s="3021">
        <v>78650</v>
      </c>
      <c r="C1636" s="3981">
        <v>15428</v>
      </c>
      <c r="D1636" s="3626">
        <v>11199</v>
      </c>
      <c r="E1636" s="3626">
        <v>15508</v>
      </c>
      <c r="F1636" s="3626">
        <v>13954</v>
      </c>
    </row>
    <row r="1637" spans="1:6" ht="15.75">
      <c r="A1637" s="3021">
        <v>78650</v>
      </c>
      <c r="B1637" s="3021">
        <v>78700</v>
      </c>
      <c r="C1637" s="3981">
        <v>15440</v>
      </c>
      <c r="D1637" s="3626">
        <v>11211</v>
      </c>
      <c r="E1637" s="3626">
        <v>15522</v>
      </c>
      <c r="F1637" s="3626">
        <v>13966</v>
      </c>
    </row>
    <row r="1638" spans="1:6" ht="15.75">
      <c r="A1638" s="3021">
        <v>78700</v>
      </c>
      <c r="B1638" s="3021">
        <v>78750</v>
      </c>
      <c r="C1638" s="3981">
        <v>15453</v>
      </c>
      <c r="D1638" s="3626">
        <v>11224</v>
      </c>
      <c r="E1638" s="3626">
        <v>15536</v>
      </c>
      <c r="F1638" s="3626">
        <v>13979</v>
      </c>
    </row>
    <row r="1639" spans="1:6" ht="15.75">
      <c r="A1639" s="3021">
        <v>78750</v>
      </c>
      <c r="B1639" s="3021">
        <v>78800</v>
      </c>
      <c r="C1639" s="3981">
        <v>15465</v>
      </c>
      <c r="D1639" s="3626">
        <v>11236</v>
      </c>
      <c r="E1639" s="3626">
        <v>15550</v>
      </c>
      <c r="F1639" s="3626">
        <v>13991</v>
      </c>
    </row>
    <row r="1640" spans="1:6" ht="15.75">
      <c r="A1640" s="3021">
        <v>78800</v>
      </c>
      <c r="B1640" s="3021">
        <v>78850</v>
      </c>
      <c r="C1640" s="3981">
        <v>15478</v>
      </c>
      <c r="D1640" s="3626">
        <v>11249</v>
      </c>
      <c r="E1640" s="3626">
        <v>15564</v>
      </c>
      <c r="F1640" s="3626">
        <v>14004</v>
      </c>
    </row>
    <row r="1641" spans="1:6" ht="15.75">
      <c r="A1641" s="3021">
        <v>78850</v>
      </c>
      <c r="B1641" s="3021">
        <v>78900</v>
      </c>
      <c r="C1641" s="3981">
        <v>15490</v>
      </c>
      <c r="D1641" s="3626">
        <v>11261</v>
      </c>
      <c r="E1641" s="3626">
        <v>15578</v>
      </c>
      <c r="F1641" s="3626">
        <v>14016</v>
      </c>
    </row>
    <row r="1642" spans="1:6" ht="15.75">
      <c r="A1642" s="3021">
        <v>78900</v>
      </c>
      <c r="B1642" s="3021">
        <v>78950</v>
      </c>
      <c r="C1642" s="3981">
        <v>15503</v>
      </c>
      <c r="D1642" s="3626">
        <v>11274</v>
      </c>
      <c r="E1642" s="3626">
        <v>15592</v>
      </c>
      <c r="F1642" s="3626">
        <v>14029</v>
      </c>
    </row>
    <row r="1643" spans="1:6" ht="15.75">
      <c r="A1643" s="3021">
        <v>78950</v>
      </c>
      <c r="B1643" s="3021">
        <v>79000</v>
      </c>
      <c r="C1643" s="3981">
        <v>15515</v>
      </c>
      <c r="D1643" s="3626">
        <v>11286</v>
      </c>
      <c r="E1643" s="3626">
        <v>15606</v>
      </c>
      <c r="F1643" s="3626">
        <v>14041</v>
      </c>
    </row>
    <row r="1644" spans="1:6" ht="15.75">
      <c r="A1644" s="3021">
        <v>79000</v>
      </c>
      <c r="B1644" s="3021">
        <v>79050</v>
      </c>
      <c r="C1644" s="3981">
        <v>15528</v>
      </c>
      <c r="D1644" s="3626">
        <v>11299</v>
      </c>
      <c r="E1644" s="3626">
        <v>15620</v>
      </c>
      <c r="F1644" s="3626">
        <v>14054</v>
      </c>
    </row>
    <row r="1645" spans="1:6" ht="15.75">
      <c r="A1645" s="3021">
        <v>79050</v>
      </c>
      <c r="B1645" s="3021">
        <v>79100</v>
      </c>
      <c r="C1645" s="3981">
        <v>15540</v>
      </c>
      <c r="D1645" s="3626">
        <v>11311</v>
      </c>
      <c r="E1645" s="3626">
        <v>15634</v>
      </c>
      <c r="F1645" s="3626">
        <v>14066</v>
      </c>
    </row>
    <row r="1646" spans="1:6" ht="15.75">
      <c r="A1646" s="3021">
        <v>79100</v>
      </c>
      <c r="B1646" s="3021">
        <v>79150</v>
      </c>
      <c r="C1646" s="3981">
        <v>15553</v>
      </c>
      <c r="D1646" s="3626">
        <v>11324</v>
      </c>
      <c r="E1646" s="3626">
        <v>15648</v>
      </c>
      <c r="F1646" s="3626">
        <v>14079</v>
      </c>
    </row>
    <row r="1647" spans="1:6" ht="15.75">
      <c r="A1647" s="3021">
        <v>79150</v>
      </c>
      <c r="B1647" s="3021">
        <v>79200</v>
      </c>
      <c r="C1647" s="3981">
        <v>15565</v>
      </c>
      <c r="D1647" s="3626">
        <v>11336</v>
      </c>
      <c r="E1647" s="3626">
        <v>15662</v>
      </c>
      <c r="F1647" s="3626">
        <v>14091</v>
      </c>
    </row>
    <row r="1648" spans="1:6" ht="15.75">
      <c r="A1648" s="3021">
        <v>79200</v>
      </c>
      <c r="B1648" s="3021">
        <v>79250</v>
      </c>
      <c r="C1648" s="3981">
        <v>15578</v>
      </c>
      <c r="D1648" s="3626">
        <v>11349</v>
      </c>
      <c r="E1648" s="3626">
        <v>15676</v>
      </c>
      <c r="F1648" s="3626">
        <v>14104</v>
      </c>
    </row>
    <row r="1649" spans="1:6" ht="15.75">
      <c r="A1649" s="3021">
        <v>79250</v>
      </c>
      <c r="B1649" s="3021">
        <v>79300</v>
      </c>
      <c r="C1649" s="3981">
        <v>15590</v>
      </c>
      <c r="D1649" s="3626">
        <v>11361</v>
      </c>
      <c r="E1649" s="3626">
        <v>15690</v>
      </c>
      <c r="F1649" s="3626">
        <v>14116</v>
      </c>
    </row>
    <row r="1650" spans="1:6" ht="15.75">
      <c r="A1650" s="3021">
        <v>79300</v>
      </c>
      <c r="B1650" s="3021">
        <v>79350</v>
      </c>
      <c r="C1650" s="3981">
        <v>15603</v>
      </c>
      <c r="D1650" s="3626">
        <v>11374</v>
      </c>
      <c r="E1650" s="3626">
        <v>15704</v>
      </c>
      <c r="F1650" s="3626">
        <v>14129</v>
      </c>
    </row>
    <row r="1651" spans="1:6" ht="15.75">
      <c r="A1651" s="3021">
        <v>79350</v>
      </c>
      <c r="B1651" s="3021">
        <v>79400</v>
      </c>
      <c r="C1651" s="3981">
        <v>15615</v>
      </c>
      <c r="D1651" s="3626">
        <v>11386</v>
      </c>
      <c r="E1651" s="3626">
        <v>15718</v>
      </c>
      <c r="F1651" s="3626">
        <v>14141</v>
      </c>
    </row>
    <row r="1652" spans="1:6" ht="15.75">
      <c r="A1652" s="3021">
        <v>79400</v>
      </c>
      <c r="B1652" s="3021">
        <v>79450</v>
      </c>
      <c r="C1652" s="3981">
        <v>15628</v>
      </c>
      <c r="D1652" s="3626">
        <v>11399</v>
      </c>
      <c r="E1652" s="3626">
        <v>15732</v>
      </c>
      <c r="F1652" s="3626">
        <v>14154</v>
      </c>
    </row>
    <row r="1653" spans="1:6" ht="15.75">
      <c r="A1653" s="3021">
        <v>79450</v>
      </c>
      <c r="B1653" s="3021">
        <v>79500</v>
      </c>
      <c r="C1653" s="3981">
        <v>15640</v>
      </c>
      <c r="D1653" s="3626">
        <v>11411</v>
      </c>
      <c r="E1653" s="3626">
        <v>15746</v>
      </c>
      <c r="F1653" s="3626">
        <v>14166</v>
      </c>
    </row>
    <row r="1654" spans="1:6" ht="15.75">
      <c r="A1654" s="3021">
        <v>79500</v>
      </c>
      <c r="B1654" s="3021">
        <v>79550</v>
      </c>
      <c r="C1654" s="3981">
        <v>15653</v>
      </c>
      <c r="D1654" s="3626">
        <v>11424</v>
      </c>
      <c r="E1654" s="3626">
        <v>15760</v>
      </c>
      <c r="F1654" s="3626">
        <v>14179</v>
      </c>
    </row>
    <row r="1655" spans="1:6" ht="15.75">
      <c r="A1655" s="3021">
        <v>79550</v>
      </c>
      <c r="B1655" s="3021">
        <v>79600</v>
      </c>
      <c r="C1655" s="3981">
        <v>15665</v>
      </c>
      <c r="D1655" s="3626">
        <v>11436</v>
      </c>
      <c r="E1655" s="3626">
        <v>15774</v>
      </c>
      <c r="F1655" s="3626">
        <v>14191</v>
      </c>
    </row>
    <row r="1656" spans="1:6" ht="15.75">
      <c r="A1656" s="3021">
        <v>79600</v>
      </c>
      <c r="B1656" s="3021">
        <v>79650</v>
      </c>
      <c r="C1656" s="3981">
        <v>15678</v>
      </c>
      <c r="D1656" s="3626">
        <v>11449</v>
      </c>
      <c r="E1656" s="3626">
        <v>15788</v>
      </c>
      <c r="F1656" s="3626">
        <v>14204</v>
      </c>
    </row>
    <row r="1657" spans="1:6" ht="15.75">
      <c r="A1657" s="3021">
        <v>79650</v>
      </c>
      <c r="B1657" s="3021">
        <v>79700</v>
      </c>
      <c r="C1657" s="3981">
        <v>15690</v>
      </c>
      <c r="D1657" s="3626">
        <v>11461</v>
      </c>
      <c r="E1657" s="3626">
        <v>15802</v>
      </c>
      <c r="F1657" s="3626">
        <v>14216</v>
      </c>
    </row>
    <row r="1658" spans="1:6" ht="15.75">
      <c r="A1658" s="3021">
        <v>79700</v>
      </c>
      <c r="B1658" s="3021">
        <v>79750</v>
      </c>
      <c r="C1658" s="3981">
        <v>15703</v>
      </c>
      <c r="D1658" s="3626">
        <v>11474</v>
      </c>
      <c r="E1658" s="3626">
        <v>15816</v>
      </c>
      <c r="F1658" s="3626">
        <v>14229</v>
      </c>
    </row>
    <row r="1659" spans="1:6" ht="15.75">
      <c r="A1659" s="3021">
        <v>79750</v>
      </c>
      <c r="B1659" s="3021">
        <v>79800</v>
      </c>
      <c r="C1659" s="3981">
        <v>15715</v>
      </c>
      <c r="D1659" s="3626">
        <v>11486</v>
      </c>
      <c r="E1659" s="3626">
        <v>15830</v>
      </c>
      <c r="F1659" s="3626">
        <v>14241</v>
      </c>
    </row>
    <row r="1660" spans="1:6" ht="15.75">
      <c r="A1660" s="3021">
        <v>79800</v>
      </c>
      <c r="B1660" s="3021">
        <v>79850</v>
      </c>
      <c r="C1660" s="3981">
        <v>15728</v>
      </c>
      <c r="D1660" s="3626">
        <v>11499</v>
      </c>
      <c r="E1660" s="3626">
        <v>15844</v>
      </c>
      <c r="F1660" s="3626">
        <v>14254</v>
      </c>
    </row>
    <row r="1661" spans="1:6" ht="15.75">
      <c r="A1661" s="3021">
        <v>79850</v>
      </c>
      <c r="B1661" s="3021">
        <v>79900</v>
      </c>
      <c r="C1661" s="3981">
        <v>15740</v>
      </c>
      <c r="D1661" s="3626">
        <v>11511</v>
      </c>
      <c r="E1661" s="3626">
        <v>15858</v>
      </c>
      <c r="F1661" s="3626">
        <v>14266</v>
      </c>
    </row>
    <row r="1662" spans="1:6" ht="15.75">
      <c r="A1662" s="3021">
        <v>79900</v>
      </c>
      <c r="B1662" s="3021">
        <v>79950</v>
      </c>
      <c r="C1662" s="3981">
        <v>15753</v>
      </c>
      <c r="D1662" s="3626">
        <v>11524</v>
      </c>
      <c r="E1662" s="3626">
        <v>15872</v>
      </c>
      <c r="F1662" s="3626">
        <v>14279</v>
      </c>
    </row>
    <row r="1663" spans="1:6" ht="15.75">
      <c r="A1663" s="3021">
        <v>79950</v>
      </c>
      <c r="B1663" s="3021">
        <v>80000</v>
      </c>
      <c r="C1663" s="3981">
        <v>15765</v>
      </c>
      <c r="D1663" s="3626">
        <v>11536</v>
      </c>
      <c r="E1663" s="3626">
        <v>15886</v>
      </c>
      <c r="F1663" s="3626">
        <v>14291</v>
      </c>
    </row>
    <row r="1664" spans="1:6" ht="15.75">
      <c r="A1664" s="3021">
        <v>80000</v>
      </c>
      <c r="B1664" s="3021">
        <v>80050</v>
      </c>
      <c r="C1664" s="3981">
        <v>15778</v>
      </c>
      <c r="D1664" s="3626">
        <v>11549</v>
      </c>
      <c r="E1664" s="3626">
        <v>15900</v>
      </c>
      <c r="F1664" s="3626">
        <v>14304</v>
      </c>
    </row>
    <row r="1665" spans="1:6" ht="15.75">
      <c r="A1665" s="3021">
        <v>80050</v>
      </c>
      <c r="B1665" s="3021">
        <v>80100</v>
      </c>
      <c r="C1665" s="3981">
        <v>15790</v>
      </c>
      <c r="D1665" s="3626">
        <v>11561</v>
      </c>
      <c r="E1665" s="3626">
        <v>15914</v>
      </c>
      <c r="F1665" s="3626">
        <v>14316</v>
      </c>
    </row>
    <row r="1666" spans="1:6" ht="15.75">
      <c r="A1666" s="3021">
        <v>80100</v>
      </c>
      <c r="B1666" s="3021">
        <v>80150</v>
      </c>
      <c r="C1666" s="3981">
        <v>15803</v>
      </c>
      <c r="D1666" s="3626">
        <v>11574</v>
      </c>
      <c r="E1666" s="3626">
        <v>15928</v>
      </c>
      <c r="F1666" s="3626">
        <v>14329</v>
      </c>
    </row>
    <row r="1667" spans="1:6" ht="15.75">
      <c r="A1667" s="3021">
        <v>80150</v>
      </c>
      <c r="B1667" s="3021">
        <v>80200</v>
      </c>
      <c r="C1667" s="3981">
        <v>15815</v>
      </c>
      <c r="D1667" s="3626">
        <v>11586</v>
      </c>
      <c r="E1667" s="3626">
        <v>15942</v>
      </c>
      <c r="F1667" s="3626">
        <v>14341</v>
      </c>
    </row>
    <row r="1668" spans="1:6" ht="15.75">
      <c r="A1668" s="3021">
        <v>80200</v>
      </c>
      <c r="B1668" s="3021">
        <v>80250</v>
      </c>
      <c r="C1668" s="3981">
        <v>15828</v>
      </c>
      <c r="D1668" s="3626">
        <v>11599</v>
      </c>
      <c r="E1668" s="3626">
        <v>15956</v>
      </c>
      <c r="F1668" s="3626">
        <v>14354</v>
      </c>
    </row>
    <row r="1669" spans="1:6" ht="15.75">
      <c r="A1669" s="3021">
        <v>80250</v>
      </c>
      <c r="B1669" s="3021">
        <v>80300</v>
      </c>
      <c r="C1669" s="3981">
        <v>15840</v>
      </c>
      <c r="D1669" s="3626">
        <v>11611</v>
      </c>
      <c r="E1669" s="3626">
        <v>15970</v>
      </c>
      <c r="F1669" s="3626">
        <v>14366</v>
      </c>
    </row>
    <row r="1670" spans="1:6" ht="15.75">
      <c r="A1670" s="3021">
        <v>80300</v>
      </c>
      <c r="B1670" s="3021">
        <v>80350</v>
      </c>
      <c r="C1670" s="3981">
        <v>15853</v>
      </c>
      <c r="D1670" s="3626">
        <v>11624</v>
      </c>
      <c r="E1670" s="3626">
        <v>15984</v>
      </c>
      <c r="F1670" s="3626">
        <v>14379</v>
      </c>
    </row>
    <row r="1671" spans="1:6" ht="15.75">
      <c r="A1671" s="3021">
        <v>80350</v>
      </c>
      <c r="B1671" s="3021">
        <v>80400</v>
      </c>
      <c r="C1671" s="3981">
        <v>15865</v>
      </c>
      <c r="D1671" s="3626">
        <v>11636</v>
      </c>
      <c r="E1671" s="3626">
        <v>15998</v>
      </c>
      <c r="F1671" s="3626">
        <v>14391</v>
      </c>
    </row>
    <row r="1672" spans="1:6" ht="15.75">
      <c r="A1672" s="3021">
        <v>80400</v>
      </c>
      <c r="B1672" s="3021">
        <v>80450</v>
      </c>
      <c r="C1672" s="3981">
        <v>15878</v>
      </c>
      <c r="D1672" s="3626">
        <v>11649</v>
      </c>
      <c r="E1672" s="3626">
        <v>16012</v>
      </c>
      <c r="F1672" s="3626">
        <v>14404</v>
      </c>
    </row>
    <row r="1673" spans="1:6" ht="15.75">
      <c r="A1673" s="3021">
        <v>80450</v>
      </c>
      <c r="B1673" s="3021">
        <v>80500</v>
      </c>
      <c r="C1673" s="3981">
        <v>15890</v>
      </c>
      <c r="D1673" s="3626">
        <v>11661</v>
      </c>
      <c r="E1673" s="3626">
        <v>16026</v>
      </c>
      <c r="F1673" s="3626">
        <v>14416</v>
      </c>
    </row>
    <row r="1674" spans="1:6" ht="15.75">
      <c r="A1674" s="3021">
        <v>80500</v>
      </c>
      <c r="B1674" s="3021">
        <v>80550</v>
      </c>
      <c r="C1674" s="3981">
        <v>15903</v>
      </c>
      <c r="D1674" s="3626">
        <v>11674</v>
      </c>
      <c r="E1674" s="3626">
        <v>16040</v>
      </c>
      <c r="F1674" s="3626">
        <v>14429</v>
      </c>
    </row>
    <row r="1675" spans="1:6" ht="15.75">
      <c r="A1675" s="3021">
        <v>80550</v>
      </c>
      <c r="B1675" s="3021">
        <v>80600</v>
      </c>
      <c r="C1675" s="3981">
        <v>15915</v>
      </c>
      <c r="D1675" s="3626">
        <v>11686</v>
      </c>
      <c r="E1675" s="3626">
        <v>16054</v>
      </c>
      <c r="F1675" s="3626">
        <v>14441</v>
      </c>
    </row>
    <row r="1676" spans="1:6" ht="15.75">
      <c r="A1676" s="3021">
        <v>80600</v>
      </c>
      <c r="B1676" s="3021">
        <v>80650</v>
      </c>
      <c r="C1676" s="3981">
        <v>15928</v>
      </c>
      <c r="D1676" s="3626">
        <v>11699</v>
      </c>
      <c r="E1676" s="3626">
        <v>16068</v>
      </c>
      <c r="F1676" s="3626">
        <v>14454</v>
      </c>
    </row>
    <row r="1677" spans="1:6" ht="15.75">
      <c r="A1677" s="3021">
        <v>80650</v>
      </c>
      <c r="B1677" s="3021">
        <v>80700</v>
      </c>
      <c r="C1677" s="3981">
        <v>15940</v>
      </c>
      <c r="D1677" s="3626">
        <v>11711</v>
      </c>
      <c r="E1677" s="3626">
        <v>16082</v>
      </c>
      <c r="F1677" s="3626">
        <v>14466</v>
      </c>
    </row>
    <row r="1678" spans="1:6" ht="15.75">
      <c r="A1678" s="3021">
        <v>80700</v>
      </c>
      <c r="B1678" s="3021">
        <v>80750</v>
      </c>
      <c r="C1678" s="3981">
        <v>15953</v>
      </c>
      <c r="D1678" s="3626">
        <v>11724</v>
      </c>
      <c r="E1678" s="3626">
        <v>16096</v>
      </c>
      <c r="F1678" s="3626">
        <v>14479</v>
      </c>
    </row>
    <row r="1679" spans="1:6" ht="15.75">
      <c r="A1679" s="3021">
        <v>80750</v>
      </c>
      <c r="B1679" s="3021">
        <v>80800</v>
      </c>
      <c r="C1679" s="3981">
        <v>15965</v>
      </c>
      <c r="D1679" s="3626">
        <v>11736</v>
      </c>
      <c r="E1679" s="3626">
        <v>16110</v>
      </c>
      <c r="F1679" s="3626">
        <v>14491</v>
      </c>
    </row>
    <row r="1680" spans="1:6" ht="15.75">
      <c r="A1680" s="3021">
        <v>80800</v>
      </c>
      <c r="B1680" s="3021">
        <v>80850</v>
      </c>
      <c r="C1680" s="3981">
        <v>15978</v>
      </c>
      <c r="D1680" s="3626">
        <v>11749</v>
      </c>
      <c r="E1680" s="3626">
        <v>16124</v>
      </c>
      <c r="F1680" s="3626">
        <v>14504</v>
      </c>
    </row>
    <row r="1681" spans="1:6" ht="15.75">
      <c r="A1681" s="3021">
        <v>80850</v>
      </c>
      <c r="B1681" s="3021">
        <v>80900</v>
      </c>
      <c r="C1681" s="3981">
        <v>15990</v>
      </c>
      <c r="D1681" s="3626">
        <v>11761</v>
      </c>
      <c r="E1681" s="3626">
        <v>16138</v>
      </c>
      <c r="F1681" s="3626">
        <v>14516</v>
      </c>
    </row>
    <row r="1682" spans="1:6" ht="15.75">
      <c r="A1682" s="3021">
        <v>80900</v>
      </c>
      <c r="B1682" s="3021">
        <v>80950</v>
      </c>
      <c r="C1682" s="3981">
        <v>16003</v>
      </c>
      <c r="D1682" s="3626">
        <v>11774</v>
      </c>
      <c r="E1682" s="3626">
        <v>16152</v>
      </c>
      <c r="F1682" s="3626">
        <v>14529</v>
      </c>
    </row>
    <row r="1683" spans="1:6" ht="15.75">
      <c r="A1683" s="3021">
        <v>80950</v>
      </c>
      <c r="B1683" s="3021">
        <v>81000</v>
      </c>
      <c r="C1683" s="3981">
        <v>16015</v>
      </c>
      <c r="D1683" s="3626">
        <v>11786</v>
      </c>
      <c r="E1683" s="3626">
        <v>16166</v>
      </c>
      <c r="F1683" s="3626">
        <v>14541</v>
      </c>
    </row>
    <row r="1684" spans="1:6" ht="15.75">
      <c r="A1684" s="3021">
        <v>81000</v>
      </c>
      <c r="B1684" s="3021">
        <v>81050</v>
      </c>
      <c r="C1684" s="3981">
        <v>16028</v>
      </c>
      <c r="D1684" s="3626">
        <v>11799</v>
      </c>
      <c r="E1684" s="3626">
        <v>16180</v>
      </c>
      <c r="F1684" s="3626">
        <v>14554</v>
      </c>
    </row>
    <row r="1685" spans="1:6" ht="15.75">
      <c r="A1685" s="3021">
        <v>81050</v>
      </c>
      <c r="B1685" s="3021">
        <v>81100</v>
      </c>
      <c r="C1685" s="3981">
        <v>16040</v>
      </c>
      <c r="D1685" s="3626">
        <v>11811</v>
      </c>
      <c r="E1685" s="3626">
        <v>16194</v>
      </c>
      <c r="F1685" s="3626">
        <v>14566</v>
      </c>
    </row>
    <row r="1686" spans="1:6" ht="15.75">
      <c r="A1686" s="3021">
        <v>81100</v>
      </c>
      <c r="B1686" s="3021">
        <v>81150</v>
      </c>
      <c r="C1686" s="3981">
        <v>16053</v>
      </c>
      <c r="D1686" s="3626">
        <v>11824</v>
      </c>
      <c r="E1686" s="3626">
        <v>16208</v>
      </c>
      <c r="F1686" s="3626">
        <v>14579</v>
      </c>
    </row>
    <row r="1687" spans="1:6" ht="15.75">
      <c r="A1687" s="3021">
        <v>81150</v>
      </c>
      <c r="B1687" s="3021">
        <v>81200</v>
      </c>
      <c r="C1687" s="3981">
        <v>16065</v>
      </c>
      <c r="D1687" s="3626">
        <v>11836</v>
      </c>
      <c r="E1687" s="3626">
        <v>16222</v>
      </c>
      <c r="F1687" s="3626">
        <v>14591</v>
      </c>
    </row>
    <row r="1688" spans="1:6" ht="15.75">
      <c r="A1688" s="3021">
        <v>81200</v>
      </c>
      <c r="B1688" s="3021">
        <v>81250</v>
      </c>
      <c r="C1688" s="3981">
        <v>16078</v>
      </c>
      <c r="D1688" s="3626">
        <v>11849</v>
      </c>
      <c r="E1688" s="3626">
        <v>16236</v>
      </c>
      <c r="F1688" s="3626">
        <v>14604</v>
      </c>
    </row>
    <row r="1689" spans="1:6" ht="15.75">
      <c r="A1689" s="3021">
        <v>81250</v>
      </c>
      <c r="B1689" s="3021">
        <v>81300</v>
      </c>
      <c r="C1689" s="3981">
        <v>16090</v>
      </c>
      <c r="D1689" s="3626">
        <v>11861</v>
      </c>
      <c r="E1689" s="3626">
        <v>16250</v>
      </c>
      <c r="F1689" s="3626">
        <v>14616</v>
      </c>
    </row>
    <row r="1690" spans="1:6" ht="15.75">
      <c r="A1690" s="3021">
        <v>81300</v>
      </c>
      <c r="B1690" s="3021">
        <v>81350</v>
      </c>
      <c r="C1690" s="3981">
        <v>16103</v>
      </c>
      <c r="D1690" s="3626">
        <v>11874</v>
      </c>
      <c r="E1690" s="3626">
        <v>16264</v>
      </c>
      <c r="F1690" s="3626">
        <v>14629</v>
      </c>
    </row>
    <row r="1691" spans="1:6" ht="15.75">
      <c r="A1691" s="3021">
        <v>81350</v>
      </c>
      <c r="B1691" s="3021">
        <v>81400</v>
      </c>
      <c r="C1691" s="3981">
        <v>16115</v>
      </c>
      <c r="D1691" s="3626">
        <v>11886</v>
      </c>
      <c r="E1691" s="3626">
        <v>16278</v>
      </c>
      <c r="F1691" s="3626">
        <v>14641</v>
      </c>
    </row>
    <row r="1692" spans="1:6" ht="15.75">
      <c r="A1692" s="3021">
        <v>81400</v>
      </c>
      <c r="B1692" s="3021">
        <v>81450</v>
      </c>
      <c r="C1692" s="3981">
        <v>16128</v>
      </c>
      <c r="D1692" s="3626">
        <v>11899</v>
      </c>
      <c r="E1692" s="3626">
        <v>16292</v>
      </c>
      <c r="F1692" s="3626">
        <v>14654</v>
      </c>
    </row>
    <row r="1693" spans="1:6" ht="15.75">
      <c r="A1693" s="3021">
        <v>81450</v>
      </c>
      <c r="B1693" s="3021">
        <v>81500</v>
      </c>
      <c r="C1693" s="3981">
        <v>16140</v>
      </c>
      <c r="D1693" s="3626">
        <v>11911</v>
      </c>
      <c r="E1693" s="3626">
        <v>16306</v>
      </c>
      <c r="F1693" s="3626">
        <v>14666</v>
      </c>
    </row>
    <row r="1694" spans="1:6" ht="15.75">
      <c r="A1694" s="3021">
        <v>81500</v>
      </c>
      <c r="B1694" s="3021">
        <v>81550</v>
      </c>
      <c r="C1694" s="3981">
        <v>16153</v>
      </c>
      <c r="D1694" s="3626">
        <v>11924</v>
      </c>
      <c r="E1694" s="3626">
        <v>16320</v>
      </c>
      <c r="F1694" s="3626">
        <v>14679</v>
      </c>
    </row>
    <row r="1695" spans="1:6" ht="15.75">
      <c r="A1695" s="3021">
        <v>81550</v>
      </c>
      <c r="B1695" s="3021">
        <v>81600</v>
      </c>
      <c r="C1695" s="3981">
        <v>16165</v>
      </c>
      <c r="D1695" s="3626">
        <v>11936</v>
      </c>
      <c r="E1695" s="3626">
        <v>16334</v>
      </c>
      <c r="F1695" s="3626">
        <v>14691</v>
      </c>
    </row>
    <row r="1696" spans="1:6" ht="15.75">
      <c r="A1696" s="3021">
        <v>81600</v>
      </c>
      <c r="B1696" s="3021">
        <v>81650</v>
      </c>
      <c r="C1696" s="3981">
        <v>16178</v>
      </c>
      <c r="D1696" s="3626">
        <v>11949</v>
      </c>
      <c r="E1696" s="3626">
        <v>16348</v>
      </c>
      <c r="F1696" s="3626">
        <v>14704</v>
      </c>
    </row>
    <row r="1697" spans="1:6" ht="15.75">
      <c r="A1697" s="3021">
        <v>81650</v>
      </c>
      <c r="B1697" s="3021">
        <v>81700</v>
      </c>
      <c r="C1697" s="3981">
        <v>16190</v>
      </c>
      <c r="D1697" s="3626">
        <v>11961</v>
      </c>
      <c r="E1697" s="3626">
        <v>16362</v>
      </c>
      <c r="F1697" s="3626">
        <v>14716</v>
      </c>
    </row>
    <row r="1698" spans="1:6" ht="15.75">
      <c r="A1698" s="3021">
        <v>81700</v>
      </c>
      <c r="B1698" s="3021">
        <v>81750</v>
      </c>
      <c r="C1698" s="3981">
        <v>16203</v>
      </c>
      <c r="D1698" s="3626">
        <v>11974</v>
      </c>
      <c r="E1698" s="3626">
        <v>16376</v>
      </c>
      <c r="F1698" s="3626">
        <v>14729</v>
      </c>
    </row>
    <row r="1699" spans="1:6" ht="15.75">
      <c r="A1699" s="3021">
        <v>81750</v>
      </c>
      <c r="B1699" s="3021">
        <v>81800</v>
      </c>
      <c r="C1699" s="3981">
        <v>16215</v>
      </c>
      <c r="D1699" s="3626">
        <v>11986</v>
      </c>
      <c r="E1699" s="3626">
        <v>16390</v>
      </c>
      <c r="F1699" s="3626">
        <v>14741</v>
      </c>
    </row>
    <row r="1700" spans="1:6" ht="15.75">
      <c r="A1700" s="3021">
        <v>81800</v>
      </c>
      <c r="B1700" s="3021">
        <v>81850</v>
      </c>
      <c r="C1700" s="3981">
        <v>16228</v>
      </c>
      <c r="D1700" s="3626">
        <v>11999</v>
      </c>
      <c r="E1700" s="3626">
        <v>16404</v>
      </c>
      <c r="F1700" s="3626">
        <v>14754</v>
      </c>
    </row>
    <row r="1701" spans="1:6" ht="15.75">
      <c r="A1701" s="3021">
        <v>81850</v>
      </c>
      <c r="B1701" s="3021">
        <v>81900</v>
      </c>
      <c r="C1701" s="3981">
        <v>16240</v>
      </c>
      <c r="D1701" s="3626">
        <v>12011</v>
      </c>
      <c r="E1701" s="3626">
        <v>16418</v>
      </c>
      <c r="F1701" s="3626">
        <v>14766</v>
      </c>
    </row>
    <row r="1702" spans="1:6" ht="15.75">
      <c r="A1702" s="3021">
        <v>81900</v>
      </c>
      <c r="B1702" s="3021">
        <v>81950</v>
      </c>
      <c r="C1702" s="3981">
        <v>16253</v>
      </c>
      <c r="D1702" s="3626">
        <v>12024</v>
      </c>
      <c r="E1702" s="3626">
        <v>16432</v>
      </c>
      <c r="F1702" s="3626">
        <v>14779</v>
      </c>
    </row>
    <row r="1703" spans="1:6" ht="15.75">
      <c r="A1703" s="3021">
        <v>81950</v>
      </c>
      <c r="B1703" s="3021">
        <v>82000</v>
      </c>
      <c r="C1703" s="3981">
        <v>16265</v>
      </c>
      <c r="D1703" s="3626">
        <v>12036</v>
      </c>
      <c r="E1703" s="3626">
        <v>16446</v>
      </c>
      <c r="F1703" s="3626">
        <v>14791</v>
      </c>
    </row>
    <row r="1704" spans="1:6" ht="15.75">
      <c r="A1704" s="3021">
        <v>82000</v>
      </c>
      <c r="B1704" s="3021">
        <v>82050</v>
      </c>
      <c r="C1704" s="3981">
        <v>16278</v>
      </c>
      <c r="D1704" s="3626">
        <v>12049</v>
      </c>
      <c r="E1704" s="3626">
        <v>16460</v>
      </c>
      <c r="F1704" s="3626">
        <v>14804</v>
      </c>
    </row>
    <row r="1705" spans="1:6" ht="15.75">
      <c r="A1705" s="3021">
        <v>82050</v>
      </c>
      <c r="B1705" s="3021">
        <v>82100</v>
      </c>
      <c r="C1705" s="3981">
        <v>16290</v>
      </c>
      <c r="D1705" s="3626">
        <v>12061</v>
      </c>
      <c r="E1705" s="3626">
        <v>16474</v>
      </c>
      <c r="F1705" s="3626">
        <v>14816</v>
      </c>
    </row>
    <row r="1706" spans="1:6" ht="15.75">
      <c r="A1706" s="3021">
        <v>82100</v>
      </c>
      <c r="B1706" s="3021">
        <v>82150</v>
      </c>
      <c r="C1706" s="3981">
        <v>16303</v>
      </c>
      <c r="D1706" s="3626">
        <v>12074</v>
      </c>
      <c r="E1706" s="3626">
        <v>16488</v>
      </c>
      <c r="F1706" s="3626">
        <v>14829</v>
      </c>
    </row>
    <row r="1707" spans="1:6" ht="15.75">
      <c r="A1707" s="3021">
        <v>82150</v>
      </c>
      <c r="B1707" s="3021">
        <v>82200</v>
      </c>
      <c r="C1707" s="3981">
        <v>16315</v>
      </c>
      <c r="D1707" s="3626">
        <v>12086</v>
      </c>
      <c r="E1707" s="3626">
        <v>16502</v>
      </c>
      <c r="F1707" s="3626">
        <v>14841</v>
      </c>
    </row>
    <row r="1708" spans="1:6" ht="15.75">
      <c r="A1708" s="3021">
        <v>82200</v>
      </c>
      <c r="B1708" s="3021">
        <v>82250</v>
      </c>
      <c r="C1708" s="3981">
        <v>16328</v>
      </c>
      <c r="D1708" s="3626">
        <v>12099</v>
      </c>
      <c r="E1708" s="3626">
        <v>16516</v>
      </c>
      <c r="F1708" s="3626">
        <v>14854</v>
      </c>
    </row>
    <row r="1709" spans="1:6" ht="15.75">
      <c r="A1709" s="3021">
        <v>82250</v>
      </c>
      <c r="B1709" s="3021">
        <v>82300</v>
      </c>
      <c r="C1709" s="3981">
        <v>16340</v>
      </c>
      <c r="D1709" s="3626">
        <v>12111</v>
      </c>
      <c r="E1709" s="3626">
        <v>16530</v>
      </c>
      <c r="F1709" s="3626">
        <v>14866</v>
      </c>
    </row>
    <row r="1710" spans="1:6" ht="15.75">
      <c r="A1710" s="3021">
        <v>82300</v>
      </c>
      <c r="B1710" s="3021">
        <v>82350</v>
      </c>
      <c r="C1710" s="3981">
        <v>16353</v>
      </c>
      <c r="D1710" s="3626">
        <v>12124</v>
      </c>
      <c r="E1710" s="3626">
        <v>16544</v>
      </c>
      <c r="F1710" s="3626">
        <v>14879</v>
      </c>
    </row>
    <row r="1711" spans="1:6" ht="15.75">
      <c r="A1711" s="3021">
        <v>82350</v>
      </c>
      <c r="B1711" s="3021">
        <v>82400</v>
      </c>
      <c r="C1711" s="3981">
        <v>16365</v>
      </c>
      <c r="D1711" s="3626">
        <v>12136</v>
      </c>
      <c r="E1711" s="3626">
        <v>16558</v>
      </c>
      <c r="F1711" s="3626">
        <v>14891</v>
      </c>
    </row>
    <row r="1712" spans="1:6" ht="15.75">
      <c r="A1712" s="3021">
        <v>82400</v>
      </c>
      <c r="B1712" s="3021">
        <v>82450</v>
      </c>
      <c r="C1712" s="3981">
        <v>16378</v>
      </c>
      <c r="D1712" s="3626">
        <v>12149</v>
      </c>
      <c r="E1712" s="3626">
        <v>16572</v>
      </c>
      <c r="F1712" s="3626">
        <v>14904</v>
      </c>
    </row>
    <row r="1713" spans="1:6" ht="15.75">
      <c r="A1713" s="3021">
        <v>82450</v>
      </c>
      <c r="B1713" s="3021">
        <v>82500</v>
      </c>
      <c r="C1713" s="3981">
        <v>16390</v>
      </c>
      <c r="D1713" s="3626">
        <v>12161</v>
      </c>
      <c r="E1713" s="3626">
        <v>16586</v>
      </c>
      <c r="F1713" s="3626">
        <v>14916</v>
      </c>
    </row>
    <row r="1714" spans="1:6" ht="15.75">
      <c r="A1714" s="3021">
        <v>82500</v>
      </c>
      <c r="B1714" s="3021">
        <v>82550</v>
      </c>
      <c r="C1714" s="3981">
        <v>16403</v>
      </c>
      <c r="D1714" s="3626">
        <v>12174</v>
      </c>
      <c r="E1714" s="3626">
        <v>16600</v>
      </c>
      <c r="F1714" s="3626">
        <v>14929</v>
      </c>
    </row>
    <row r="1715" spans="1:6" ht="15.75">
      <c r="A1715" s="3021">
        <v>82550</v>
      </c>
      <c r="B1715" s="3021">
        <v>82600</v>
      </c>
      <c r="C1715" s="3981">
        <v>16415</v>
      </c>
      <c r="D1715" s="3626">
        <v>12186</v>
      </c>
      <c r="E1715" s="3626">
        <v>16614</v>
      </c>
      <c r="F1715" s="3626">
        <v>14941</v>
      </c>
    </row>
    <row r="1716" spans="1:6" ht="15.75">
      <c r="A1716" s="3021">
        <v>82600</v>
      </c>
      <c r="B1716" s="3021">
        <v>82650</v>
      </c>
      <c r="C1716" s="3981">
        <v>16428</v>
      </c>
      <c r="D1716" s="3626">
        <v>12199</v>
      </c>
      <c r="E1716" s="3626">
        <v>16628</v>
      </c>
      <c r="F1716" s="3626">
        <v>14954</v>
      </c>
    </row>
    <row r="1717" spans="1:6" ht="15.75">
      <c r="A1717" s="3021">
        <v>82650</v>
      </c>
      <c r="B1717" s="3021">
        <v>82700</v>
      </c>
      <c r="C1717" s="3981">
        <v>16440</v>
      </c>
      <c r="D1717" s="3626">
        <v>12211</v>
      </c>
      <c r="E1717" s="3626">
        <v>16642</v>
      </c>
      <c r="F1717" s="3626">
        <v>14966</v>
      </c>
    </row>
    <row r="1718" spans="1:6" ht="15.75">
      <c r="A1718" s="3021">
        <v>82700</v>
      </c>
      <c r="B1718" s="3021">
        <v>82750</v>
      </c>
      <c r="C1718" s="3981">
        <v>16453</v>
      </c>
      <c r="D1718" s="3626">
        <v>12224</v>
      </c>
      <c r="E1718" s="3626">
        <v>16656</v>
      </c>
      <c r="F1718" s="3626">
        <v>14979</v>
      </c>
    </row>
    <row r="1719" spans="1:6" ht="15.75">
      <c r="A1719" s="3021">
        <v>82750</v>
      </c>
      <c r="B1719" s="3021">
        <v>82800</v>
      </c>
      <c r="C1719" s="3981">
        <v>16465</v>
      </c>
      <c r="D1719" s="3626">
        <v>12236</v>
      </c>
      <c r="E1719" s="3626">
        <v>16670</v>
      </c>
      <c r="F1719" s="3626">
        <v>14991</v>
      </c>
    </row>
    <row r="1720" spans="1:6" ht="15.75">
      <c r="A1720" s="3021">
        <v>82800</v>
      </c>
      <c r="B1720" s="3021">
        <v>82850</v>
      </c>
      <c r="C1720" s="3981">
        <v>16478</v>
      </c>
      <c r="D1720" s="3626">
        <v>12249</v>
      </c>
      <c r="E1720" s="3626">
        <v>16684</v>
      </c>
      <c r="F1720" s="3626">
        <v>15004</v>
      </c>
    </row>
    <row r="1721" spans="1:6" ht="15.75">
      <c r="A1721" s="3021">
        <v>82850</v>
      </c>
      <c r="B1721" s="3021">
        <v>82900</v>
      </c>
      <c r="C1721" s="3981">
        <v>16490</v>
      </c>
      <c r="D1721" s="3626">
        <v>12261</v>
      </c>
      <c r="E1721" s="3626">
        <v>16698</v>
      </c>
      <c r="F1721" s="3626">
        <v>15016</v>
      </c>
    </row>
    <row r="1722" spans="1:6" ht="15.75">
      <c r="A1722" s="3021">
        <v>82900</v>
      </c>
      <c r="B1722" s="3021">
        <v>82950</v>
      </c>
      <c r="C1722" s="3981">
        <v>16503</v>
      </c>
      <c r="D1722" s="3626">
        <v>12274</v>
      </c>
      <c r="E1722" s="3626">
        <v>16712</v>
      </c>
      <c r="F1722" s="3626">
        <v>15029</v>
      </c>
    </row>
    <row r="1723" spans="1:6" ht="15.75">
      <c r="A1723" s="3021">
        <v>82950</v>
      </c>
      <c r="B1723" s="3021">
        <v>83000</v>
      </c>
      <c r="C1723" s="3981">
        <v>16515</v>
      </c>
      <c r="D1723" s="3626">
        <v>12286</v>
      </c>
      <c r="E1723" s="3626">
        <v>16726</v>
      </c>
      <c r="F1723" s="3626">
        <v>15041</v>
      </c>
    </row>
    <row r="1724" spans="1:6" ht="15.75">
      <c r="A1724" s="3021">
        <v>83000</v>
      </c>
      <c r="B1724" s="3021">
        <v>83050</v>
      </c>
      <c r="C1724" s="3981">
        <v>16528</v>
      </c>
      <c r="D1724" s="3626">
        <v>12299</v>
      </c>
      <c r="E1724" s="3626">
        <v>16740</v>
      </c>
      <c r="F1724" s="3626">
        <v>15054</v>
      </c>
    </row>
    <row r="1725" spans="1:6" ht="15.75">
      <c r="A1725" s="3021">
        <v>83050</v>
      </c>
      <c r="B1725" s="3021">
        <v>83100</v>
      </c>
      <c r="C1725" s="3981">
        <v>16540</v>
      </c>
      <c r="D1725" s="3626">
        <v>12311</v>
      </c>
      <c r="E1725" s="3626">
        <v>16754</v>
      </c>
      <c r="F1725" s="3626">
        <v>15066</v>
      </c>
    </row>
    <row r="1726" spans="1:6" ht="15.75">
      <c r="A1726" s="3021">
        <v>83100</v>
      </c>
      <c r="B1726" s="3021">
        <v>83150</v>
      </c>
      <c r="C1726" s="3981">
        <v>16553</v>
      </c>
      <c r="D1726" s="3626">
        <v>12324</v>
      </c>
      <c r="E1726" s="3626">
        <v>16768</v>
      </c>
      <c r="F1726" s="3626">
        <v>15079</v>
      </c>
    </row>
    <row r="1727" spans="1:6" ht="15.75">
      <c r="A1727" s="3021">
        <v>83150</v>
      </c>
      <c r="B1727" s="3021">
        <v>83200</v>
      </c>
      <c r="C1727" s="3981">
        <v>16565</v>
      </c>
      <c r="D1727" s="3626">
        <v>12336</v>
      </c>
      <c r="E1727" s="3626">
        <v>16782</v>
      </c>
      <c r="F1727" s="3626">
        <v>15091</v>
      </c>
    </row>
    <row r="1728" spans="1:6" ht="15.75">
      <c r="A1728" s="3021">
        <v>83200</v>
      </c>
      <c r="B1728" s="3021">
        <v>83250</v>
      </c>
      <c r="C1728" s="3981">
        <v>16578</v>
      </c>
      <c r="D1728" s="3626">
        <v>12349</v>
      </c>
      <c r="E1728" s="3626">
        <v>16796</v>
      </c>
      <c r="F1728" s="3626">
        <v>15104</v>
      </c>
    </row>
    <row r="1729" spans="1:6" ht="15.75">
      <c r="A1729" s="3021">
        <v>83250</v>
      </c>
      <c r="B1729" s="3021">
        <v>83300</v>
      </c>
      <c r="C1729" s="3981">
        <v>16590</v>
      </c>
      <c r="D1729" s="3626">
        <v>12361</v>
      </c>
      <c r="E1729" s="3626">
        <v>16810</v>
      </c>
      <c r="F1729" s="3626">
        <v>15116</v>
      </c>
    </row>
    <row r="1730" spans="1:6" ht="15.75">
      <c r="A1730" s="3021">
        <v>83300</v>
      </c>
      <c r="B1730" s="3021">
        <v>83350</v>
      </c>
      <c r="C1730" s="3981">
        <v>16603</v>
      </c>
      <c r="D1730" s="3626">
        <v>12374</v>
      </c>
      <c r="E1730" s="3626">
        <v>16824</v>
      </c>
      <c r="F1730" s="3626">
        <v>15129</v>
      </c>
    </row>
    <row r="1731" spans="1:6" ht="15.75">
      <c r="A1731" s="3021">
        <v>83350</v>
      </c>
      <c r="B1731" s="3021">
        <v>83400</v>
      </c>
      <c r="C1731" s="3981">
        <v>16615</v>
      </c>
      <c r="D1731" s="3626">
        <v>12386</v>
      </c>
      <c r="E1731" s="3626">
        <v>16838</v>
      </c>
      <c r="F1731" s="3626">
        <v>15141</v>
      </c>
    </row>
    <row r="1732" spans="1:6" ht="15.75">
      <c r="A1732" s="3021">
        <v>83400</v>
      </c>
      <c r="B1732" s="3021">
        <v>83450</v>
      </c>
      <c r="C1732" s="3981">
        <v>16628</v>
      </c>
      <c r="D1732" s="3626">
        <v>12399</v>
      </c>
      <c r="E1732" s="3626">
        <v>16852</v>
      </c>
      <c r="F1732" s="3626">
        <v>15154</v>
      </c>
    </row>
    <row r="1733" spans="1:6" ht="15.75">
      <c r="A1733" s="3021">
        <v>83450</v>
      </c>
      <c r="B1733" s="3021">
        <v>83500</v>
      </c>
      <c r="C1733" s="3981">
        <v>16640</v>
      </c>
      <c r="D1733" s="3626">
        <v>12411</v>
      </c>
      <c r="E1733" s="3626">
        <v>16866</v>
      </c>
      <c r="F1733" s="3626">
        <v>15166</v>
      </c>
    </row>
    <row r="1734" spans="1:6" ht="15.75">
      <c r="A1734" s="3021">
        <v>83500</v>
      </c>
      <c r="B1734" s="3021">
        <v>83550</v>
      </c>
      <c r="C1734" s="3981">
        <v>16653</v>
      </c>
      <c r="D1734" s="3626">
        <v>12424</v>
      </c>
      <c r="E1734" s="3626">
        <v>16880</v>
      </c>
      <c r="F1734" s="3626">
        <v>15179</v>
      </c>
    </row>
    <row r="1735" spans="1:6" ht="15.75">
      <c r="A1735" s="3021">
        <v>83550</v>
      </c>
      <c r="B1735" s="3021">
        <v>83600</v>
      </c>
      <c r="C1735" s="3981">
        <v>16665</v>
      </c>
      <c r="D1735" s="3626">
        <v>12436</v>
      </c>
      <c r="E1735" s="3626">
        <v>16894</v>
      </c>
      <c r="F1735" s="3626">
        <v>15191</v>
      </c>
    </row>
    <row r="1736" spans="1:6" ht="15.75">
      <c r="A1736" s="3021">
        <v>83600</v>
      </c>
      <c r="B1736" s="3021">
        <v>83650</v>
      </c>
      <c r="C1736" s="3981">
        <v>16678</v>
      </c>
      <c r="D1736" s="3626">
        <v>12449</v>
      </c>
      <c r="E1736" s="3626">
        <v>16908</v>
      </c>
      <c r="F1736" s="3626">
        <v>15204</v>
      </c>
    </row>
    <row r="1737" spans="1:6" ht="15.75">
      <c r="A1737" s="3021">
        <v>83650</v>
      </c>
      <c r="B1737" s="3021">
        <v>83700</v>
      </c>
      <c r="C1737" s="3981">
        <v>16690</v>
      </c>
      <c r="D1737" s="3626">
        <v>12461</v>
      </c>
      <c r="E1737" s="3626">
        <v>16922</v>
      </c>
      <c r="F1737" s="3626">
        <v>15216</v>
      </c>
    </row>
    <row r="1738" spans="1:6" ht="15.75">
      <c r="A1738" s="3021">
        <v>83700</v>
      </c>
      <c r="B1738" s="3021">
        <v>83750</v>
      </c>
      <c r="C1738" s="3981">
        <v>16703</v>
      </c>
      <c r="D1738" s="3626">
        <v>12474</v>
      </c>
      <c r="E1738" s="3626">
        <v>16936</v>
      </c>
      <c r="F1738" s="3626">
        <v>15229</v>
      </c>
    </row>
    <row r="1739" spans="1:6" ht="15.75">
      <c r="A1739" s="3021">
        <v>83750</v>
      </c>
      <c r="B1739" s="3021">
        <v>83800</v>
      </c>
      <c r="C1739" s="3981">
        <v>16715</v>
      </c>
      <c r="D1739" s="3626">
        <v>12486</v>
      </c>
      <c r="E1739" s="3626">
        <v>16950</v>
      </c>
      <c r="F1739" s="3626">
        <v>15241</v>
      </c>
    </row>
    <row r="1740" spans="1:6" ht="15.75">
      <c r="A1740" s="3021">
        <v>83800</v>
      </c>
      <c r="B1740" s="3021">
        <v>83850</v>
      </c>
      <c r="C1740" s="3981">
        <v>16728</v>
      </c>
      <c r="D1740" s="3626">
        <v>12499</v>
      </c>
      <c r="E1740" s="3626">
        <v>16964</v>
      </c>
      <c r="F1740" s="3626">
        <v>15254</v>
      </c>
    </row>
    <row r="1741" spans="1:6" ht="15.75">
      <c r="A1741" s="3021">
        <v>83850</v>
      </c>
      <c r="B1741" s="3021">
        <v>83900</v>
      </c>
      <c r="C1741" s="3981">
        <v>16740</v>
      </c>
      <c r="D1741" s="3626">
        <v>12511</v>
      </c>
      <c r="E1741" s="3626">
        <v>16978</v>
      </c>
      <c r="F1741" s="3626">
        <v>15266</v>
      </c>
    </row>
    <row r="1742" spans="1:6" ht="15.75">
      <c r="A1742" s="3021">
        <v>83900</v>
      </c>
      <c r="B1742" s="3021">
        <v>83950</v>
      </c>
      <c r="C1742" s="3981">
        <v>16753</v>
      </c>
      <c r="D1742" s="3626">
        <v>12524</v>
      </c>
      <c r="E1742" s="3626">
        <v>16992</v>
      </c>
      <c r="F1742" s="3626">
        <v>15279</v>
      </c>
    </row>
    <row r="1743" spans="1:6" ht="15.75">
      <c r="A1743" s="3021">
        <v>83950</v>
      </c>
      <c r="B1743" s="3021">
        <v>84000</v>
      </c>
      <c r="C1743" s="3981">
        <v>16765</v>
      </c>
      <c r="D1743" s="3626">
        <v>12536</v>
      </c>
      <c r="E1743" s="3626">
        <v>17006</v>
      </c>
      <c r="F1743" s="3626">
        <v>15291</v>
      </c>
    </row>
    <row r="1744" spans="1:6" ht="15.75">
      <c r="A1744" s="3021">
        <v>84000</v>
      </c>
      <c r="B1744" s="3021">
        <v>84050</v>
      </c>
      <c r="C1744" s="3981">
        <v>16778</v>
      </c>
      <c r="D1744" s="3626">
        <v>12549</v>
      </c>
      <c r="E1744" s="3626">
        <v>17020</v>
      </c>
      <c r="F1744" s="3626">
        <v>15304</v>
      </c>
    </row>
    <row r="1745" spans="1:6" ht="15.75">
      <c r="A1745" s="3021">
        <v>84050</v>
      </c>
      <c r="B1745" s="3021">
        <v>84100</v>
      </c>
      <c r="C1745" s="3981">
        <v>16790</v>
      </c>
      <c r="D1745" s="3626">
        <v>12561</v>
      </c>
      <c r="E1745" s="3626">
        <v>17034</v>
      </c>
      <c r="F1745" s="3626">
        <v>15316</v>
      </c>
    </row>
    <row r="1746" spans="1:6" ht="15.75">
      <c r="A1746" s="3021">
        <v>84100</v>
      </c>
      <c r="B1746" s="3021">
        <v>84150</v>
      </c>
      <c r="C1746" s="3981">
        <v>16803</v>
      </c>
      <c r="D1746" s="3626">
        <v>12574</v>
      </c>
      <c r="E1746" s="3626">
        <v>17048</v>
      </c>
      <c r="F1746" s="3626">
        <v>15329</v>
      </c>
    </row>
    <row r="1747" spans="1:6" ht="15.75">
      <c r="A1747" s="3021">
        <v>84150</v>
      </c>
      <c r="B1747" s="3021">
        <v>84200</v>
      </c>
      <c r="C1747" s="3981">
        <v>16815</v>
      </c>
      <c r="D1747" s="3626">
        <v>12586</v>
      </c>
      <c r="E1747" s="3626">
        <v>17062</v>
      </c>
      <c r="F1747" s="3626">
        <v>15341</v>
      </c>
    </row>
    <row r="1748" spans="1:6" ht="15.75">
      <c r="A1748" s="3021">
        <v>84200</v>
      </c>
      <c r="B1748" s="3021">
        <v>84250</v>
      </c>
      <c r="C1748" s="3981">
        <v>16828</v>
      </c>
      <c r="D1748" s="3626">
        <v>12599</v>
      </c>
      <c r="E1748" s="3626">
        <v>17076</v>
      </c>
      <c r="F1748" s="3626">
        <v>15354</v>
      </c>
    </row>
    <row r="1749" spans="1:6" ht="15.75">
      <c r="A1749" s="3021">
        <v>84250</v>
      </c>
      <c r="B1749" s="3021">
        <v>84300</v>
      </c>
      <c r="C1749" s="3981">
        <v>16840</v>
      </c>
      <c r="D1749" s="3626">
        <v>12611</v>
      </c>
      <c r="E1749" s="3626">
        <v>17090</v>
      </c>
      <c r="F1749" s="3626">
        <v>15366</v>
      </c>
    </row>
    <row r="1750" spans="1:6" ht="15.75">
      <c r="A1750" s="3021">
        <v>84300</v>
      </c>
      <c r="B1750" s="3021">
        <v>84350</v>
      </c>
      <c r="C1750" s="3981">
        <v>16853</v>
      </c>
      <c r="D1750" s="3626">
        <v>12624</v>
      </c>
      <c r="E1750" s="3626">
        <v>17104</v>
      </c>
      <c r="F1750" s="3626">
        <v>15379</v>
      </c>
    </row>
    <row r="1751" spans="1:6" ht="15.75">
      <c r="A1751" s="3021">
        <v>84350</v>
      </c>
      <c r="B1751" s="3021">
        <v>84400</v>
      </c>
      <c r="C1751" s="3981">
        <v>16865</v>
      </c>
      <c r="D1751" s="3626">
        <v>12636</v>
      </c>
      <c r="E1751" s="3626">
        <v>17118</v>
      </c>
      <c r="F1751" s="3626">
        <v>15391</v>
      </c>
    </row>
    <row r="1752" spans="1:6" ht="15.75">
      <c r="A1752" s="3021">
        <v>84400</v>
      </c>
      <c r="B1752" s="3021">
        <v>84450</v>
      </c>
      <c r="C1752" s="3981">
        <v>16878</v>
      </c>
      <c r="D1752" s="3626">
        <v>12649</v>
      </c>
      <c r="E1752" s="3626">
        <v>17132</v>
      </c>
      <c r="F1752" s="3626">
        <v>15404</v>
      </c>
    </row>
    <row r="1753" spans="1:6" ht="15.75">
      <c r="A1753" s="3021">
        <v>84450</v>
      </c>
      <c r="B1753" s="3021">
        <v>84500</v>
      </c>
      <c r="C1753" s="3981">
        <v>16890</v>
      </c>
      <c r="D1753" s="3626">
        <v>12661</v>
      </c>
      <c r="E1753" s="3626">
        <v>17146</v>
      </c>
      <c r="F1753" s="3626">
        <v>15416</v>
      </c>
    </row>
    <row r="1754" spans="1:6" ht="15.75">
      <c r="A1754" s="3021">
        <v>84500</v>
      </c>
      <c r="B1754" s="3021">
        <v>84550</v>
      </c>
      <c r="C1754" s="3981">
        <v>16903</v>
      </c>
      <c r="D1754" s="3626">
        <v>12674</v>
      </c>
      <c r="E1754" s="3626">
        <v>17160</v>
      </c>
      <c r="F1754" s="3626">
        <v>15429</v>
      </c>
    </row>
    <row r="1755" spans="1:6" ht="15.75">
      <c r="A1755" s="3021">
        <v>84550</v>
      </c>
      <c r="B1755" s="3021">
        <v>84600</v>
      </c>
      <c r="C1755" s="3981">
        <v>16915</v>
      </c>
      <c r="D1755" s="3626">
        <v>12686</v>
      </c>
      <c r="E1755" s="3626">
        <v>17174</v>
      </c>
      <c r="F1755" s="3626">
        <v>15441</v>
      </c>
    </row>
    <row r="1756" spans="1:6" ht="15.75">
      <c r="A1756" s="3021">
        <v>84600</v>
      </c>
      <c r="B1756" s="3021">
        <v>84650</v>
      </c>
      <c r="C1756" s="3981">
        <v>16928</v>
      </c>
      <c r="D1756" s="3626">
        <v>12699</v>
      </c>
      <c r="E1756" s="3626">
        <v>17188</v>
      </c>
      <c r="F1756" s="3626">
        <v>15454</v>
      </c>
    </row>
    <row r="1757" spans="1:6" ht="15.75">
      <c r="A1757" s="3021">
        <v>84650</v>
      </c>
      <c r="B1757" s="3021">
        <v>84700</v>
      </c>
      <c r="C1757" s="3981">
        <v>16940</v>
      </c>
      <c r="D1757" s="3626">
        <v>12711</v>
      </c>
      <c r="E1757" s="3626">
        <v>17202</v>
      </c>
      <c r="F1757" s="3626">
        <v>15466</v>
      </c>
    </row>
    <row r="1758" spans="1:6" ht="15.75">
      <c r="A1758" s="3021">
        <v>84700</v>
      </c>
      <c r="B1758" s="3021">
        <v>84750</v>
      </c>
      <c r="C1758" s="3981">
        <v>16953</v>
      </c>
      <c r="D1758" s="3626">
        <v>12724</v>
      </c>
      <c r="E1758" s="3626">
        <v>17216</v>
      </c>
      <c r="F1758" s="3626">
        <v>15479</v>
      </c>
    </row>
    <row r="1759" spans="1:6" ht="15.75">
      <c r="A1759" s="3021">
        <v>84750</v>
      </c>
      <c r="B1759" s="3021">
        <v>84800</v>
      </c>
      <c r="C1759" s="3981">
        <v>16965</v>
      </c>
      <c r="D1759" s="3626">
        <v>12736</v>
      </c>
      <c r="E1759" s="3626">
        <v>17230</v>
      </c>
      <c r="F1759" s="3626">
        <v>15491</v>
      </c>
    </row>
    <row r="1760" spans="1:6" ht="15.75">
      <c r="A1760" s="3021">
        <v>84800</v>
      </c>
      <c r="B1760" s="3021">
        <v>84850</v>
      </c>
      <c r="C1760" s="3981">
        <v>16978</v>
      </c>
      <c r="D1760" s="3626">
        <v>12749</v>
      </c>
      <c r="E1760" s="3626">
        <v>17244</v>
      </c>
      <c r="F1760" s="3626">
        <v>15504</v>
      </c>
    </row>
    <row r="1761" spans="1:6" ht="15.75">
      <c r="A1761" s="3021">
        <v>84850</v>
      </c>
      <c r="B1761" s="3021">
        <v>84900</v>
      </c>
      <c r="C1761" s="3981">
        <v>16990</v>
      </c>
      <c r="D1761" s="3626">
        <v>12761</v>
      </c>
      <c r="E1761" s="3626">
        <v>17258</v>
      </c>
      <c r="F1761" s="3626">
        <v>15516</v>
      </c>
    </row>
    <row r="1762" spans="1:6" ht="15.75">
      <c r="A1762" s="3021">
        <v>84900</v>
      </c>
      <c r="B1762" s="3021">
        <v>84950</v>
      </c>
      <c r="C1762" s="3981">
        <v>17003</v>
      </c>
      <c r="D1762" s="3626">
        <v>12774</v>
      </c>
      <c r="E1762" s="3626">
        <v>17272</v>
      </c>
      <c r="F1762" s="3626">
        <v>15529</v>
      </c>
    </row>
    <row r="1763" spans="1:6" ht="15.75">
      <c r="A1763" s="3021">
        <v>84950</v>
      </c>
      <c r="B1763" s="3021">
        <v>85000</v>
      </c>
      <c r="C1763" s="3981">
        <v>17015</v>
      </c>
      <c r="D1763" s="3626">
        <v>12786</v>
      </c>
      <c r="E1763" s="3626">
        <v>17286</v>
      </c>
      <c r="F1763" s="3626">
        <v>15541</v>
      </c>
    </row>
    <row r="1764" spans="1:6" ht="15.75">
      <c r="A1764" s="3021">
        <v>85000</v>
      </c>
      <c r="B1764" s="3021">
        <v>85050</v>
      </c>
      <c r="C1764" s="3981">
        <v>17028</v>
      </c>
      <c r="D1764" s="3626">
        <v>12799</v>
      </c>
      <c r="E1764" s="3626">
        <v>17300</v>
      </c>
      <c r="F1764" s="3626">
        <v>15554</v>
      </c>
    </row>
    <row r="1765" spans="1:6" ht="15.75">
      <c r="A1765" s="3021">
        <v>85050</v>
      </c>
      <c r="B1765" s="3021">
        <v>85100</v>
      </c>
      <c r="C1765" s="3981">
        <v>17040</v>
      </c>
      <c r="D1765" s="3626">
        <v>12811</v>
      </c>
      <c r="E1765" s="3626">
        <v>17314</v>
      </c>
      <c r="F1765" s="3626">
        <v>15566</v>
      </c>
    </row>
    <row r="1766" spans="1:6" ht="15.75">
      <c r="A1766" s="3021">
        <v>85100</v>
      </c>
      <c r="B1766" s="3021">
        <v>85150</v>
      </c>
      <c r="C1766" s="3981">
        <v>17053</v>
      </c>
      <c r="D1766" s="3626">
        <v>12824</v>
      </c>
      <c r="E1766" s="3626">
        <v>17328</v>
      </c>
      <c r="F1766" s="3626">
        <v>15579</v>
      </c>
    </row>
    <row r="1767" spans="1:6" ht="15.75">
      <c r="A1767" s="3021">
        <v>85150</v>
      </c>
      <c r="B1767" s="3021">
        <v>85200</v>
      </c>
      <c r="C1767" s="3981">
        <v>17065</v>
      </c>
      <c r="D1767" s="3626">
        <v>12836</v>
      </c>
      <c r="E1767" s="3626">
        <v>17342</v>
      </c>
      <c r="F1767" s="3626">
        <v>15591</v>
      </c>
    </row>
    <row r="1768" spans="1:6" ht="15.75">
      <c r="A1768" s="3021">
        <v>85200</v>
      </c>
      <c r="B1768" s="3021">
        <v>85250</v>
      </c>
      <c r="C1768" s="3981">
        <v>17078</v>
      </c>
      <c r="D1768" s="3626">
        <v>12849</v>
      </c>
      <c r="E1768" s="3626">
        <v>17356</v>
      </c>
      <c r="F1768" s="3626">
        <v>15604</v>
      </c>
    </row>
    <row r="1769" spans="1:6" ht="15.75">
      <c r="A1769" s="3021">
        <v>85250</v>
      </c>
      <c r="B1769" s="3021">
        <v>85300</v>
      </c>
      <c r="C1769" s="3981">
        <v>17090</v>
      </c>
      <c r="D1769" s="3626">
        <v>12861</v>
      </c>
      <c r="E1769" s="3626">
        <v>17370</v>
      </c>
      <c r="F1769" s="3626">
        <v>15616</v>
      </c>
    </row>
    <row r="1770" spans="1:6" ht="15.75">
      <c r="A1770" s="3021">
        <v>85300</v>
      </c>
      <c r="B1770" s="3021">
        <v>85350</v>
      </c>
      <c r="C1770" s="3981">
        <v>17103</v>
      </c>
      <c r="D1770" s="3626">
        <v>12874</v>
      </c>
      <c r="E1770" s="3626">
        <v>17384</v>
      </c>
      <c r="F1770" s="3626">
        <v>15629</v>
      </c>
    </row>
    <row r="1771" spans="1:6" ht="15.75">
      <c r="A1771" s="3021">
        <v>85350</v>
      </c>
      <c r="B1771" s="3021">
        <v>85400</v>
      </c>
      <c r="C1771" s="3981">
        <v>17115</v>
      </c>
      <c r="D1771" s="3626">
        <v>12886</v>
      </c>
      <c r="E1771" s="3626">
        <v>17398</v>
      </c>
      <c r="F1771" s="3626">
        <v>15641</v>
      </c>
    </row>
    <row r="1772" spans="1:6" ht="15.75">
      <c r="A1772" s="3021">
        <v>85400</v>
      </c>
      <c r="B1772" s="3021">
        <v>85450</v>
      </c>
      <c r="C1772" s="3981">
        <v>17128</v>
      </c>
      <c r="D1772" s="3626">
        <v>12899</v>
      </c>
      <c r="E1772" s="3626">
        <v>17412</v>
      </c>
      <c r="F1772" s="3626">
        <v>15654</v>
      </c>
    </row>
    <row r="1773" spans="1:6" ht="15.75">
      <c r="A1773" s="3021">
        <v>85450</v>
      </c>
      <c r="B1773" s="3021">
        <v>85500</v>
      </c>
      <c r="C1773" s="3981">
        <v>17140</v>
      </c>
      <c r="D1773" s="3626">
        <v>12911</v>
      </c>
      <c r="E1773" s="3626">
        <v>17426</v>
      </c>
      <c r="F1773" s="3626">
        <v>15666</v>
      </c>
    </row>
    <row r="1774" spans="1:6" ht="15.75">
      <c r="A1774" s="3021">
        <v>85500</v>
      </c>
      <c r="B1774" s="3021">
        <v>85550</v>
      </c>
      <c r="C1774" s="3981">
        <v>17153</v>
      </c>
      <c r="D1774" s="3626">
        <v>12924</v>
      </c>
      <c r="E1774" s="3626">
        <v>17440</v>
      </c>
      <c r="F1774" s="3626">
        <v>15679</v>
      </c>
    </row>
    <row r="1775" spans="1:6" ht="15.75">
      <c r="A1775" s="3021">
        <v>85550</v>
      </c>
      <c r="B1775" s="3021">
        <v>85600</v>
      </c>
      <c r="C1775" s="3981">
        <v>17165</v>
      </c>
      <c r="D1775" s="3626">
        <v>12936</v>
      </c>
      <c r="E1775" s="3626">
        <v>17454</v>
      </c>
      <c r="F1775" s="3626">
        <v>15691</v>
      </c>
    </row>
    <row r="1776" spans="1:6" ht="15.75">
      <c r="A1776" s="3021">
        <v>85600</v>
      </c>
      <c r="B1776" s="3021">
        <v>85650</v>
      </c>
      <c r="C1776" s="3981">
        <v>17178</v>
      </c>
      <c r="D1776" s="3626">
        <v>12949</v>
      </c>
      <c r="E1776" s="3626">
        <v>17468</v>
      </c>
      <c r="F1776" s="3626">
        <v>15704</v>
      </c>
    </row>
    <row r="1777" spans="1:6" ht="15.75">
      <c r="A1777" s="3021">
        <v>85650</v>
      </c>
      <c r="B1777" s="3021">
        <v>85700</v>
      </c>
      <c r="C1777" s="3981">
        <v>17190</v>
      </c>
      <c r="D1777" s="3626">
        <v>12961</v>
      </c>
      <c r="E1777" s="3626">
        <v>17482</v>
      </c>
      <c r="F1777" s="3626">
        <v>15716</v>
      </c>
    </row>
    <row r="1778" spans="1:6" ht="15.75">
      <c r="A1778" s="3021">
        <v>85700</v>
      </c>
      <c r="B1778" s="3021">
        <v>85750</v>
      </c>
      <c r="C1778" s="3981">
        <v>17203</v>
      </c>
      <c r="D1778" s="3626">
        <v>12974</v>
      </c>
      <c r="E1778" s="3626">
        <v>17496</v>
      </c>
      <c r="F1778" s="3626">
        <v>15729</v>
      </c>
    </row>
    <row r="1779" spans="1:6" ht="15.75">
      <c r="A1779" s="3021">
        <v>85750</v>
      </c>
      <c r="B1779" s="3021">
        <v>85800</v>
      </c>
      <c r="C1779" s="3981">
        <v>17215</v>
      </c>
      <c r="D1779" s="3626">
        <v>12986</v>
      </c>
      <c r="E1779" s="3626">
        <v>17510</v>
      </c>
      <c r="F1779" s="3626">
        <v>15741</v>
      </c>
    </row>
    <row r="1780" spans="1:6" ht="15.75">
      <c r="A1780" s="3021">
        <v>85800</v>
      </c>
      <c r="B1780" s="3021">
        <v>85850</v>
      </c>
      <c r="C1780" s="3981">
        <v>17228</v>
      </c>
      <c r="D1780" s="3626">
        <v>12999</v>
      </c>
      <c r="E1780" s="3626">
        <v>17524</v>
      </c>
      <c r="F1780" s="3626">
        <v>15754</v>
      </c>
    </row>
    <row r="1781" spans="1:6" ht="15.75">
      <c r="A1781" s="3021">
        <v>85850</v>
      </c>
      <c r="B1781" s="3021">
        <v>85900</v>
      </c>
      <c r="C1781" s="3981">
        <v>17240</v>
      </c>
      <c r="D1781" s="3626">
        <v>13011</v>
      </c>
      <c r="E1781" s="3626">
        <v>17538</v>
      </c>
      <c r="F1781" s="3626">
        <v>15766</v>
      </c>
    </row>
    <row r="1782" spans="1:6" ht="15.75">
      <c r="A1782" s="3021">
        <v>85900</v>
      </c>
      <c r="B1782" s="3021">
        <v>85950</v>
      </c>
      <c r="C1782" s="3981">
        <v>17253</v>
      </c>
      <c r="D1782" s="3626">
        <v>13024</v>
      </c>
      <c r="E1782" s="3626">
        <v>17552</v>
      </c>
      <c r="F1782" s="3626">
        <v>15779</v>
      </c>
    </row>
    <row r="1783" spans="1:6" ht="15.75">
      <c r="A1783" s="3021">
        <v>85950</v>
      </c>
      <c r="B1783" s="3021">
        <v>86000</v>
      </c>
      <c r="C1783" s="3981">
        <v>17265</v>
      </c>
      <c r="D1783" s="3626">
        <v>13036</v>
      </c>
      <c r="E1783" s="3626">
        <v>17566</v>
      </c>
      <c r="F1783" s="3626">
        <v>15791</v>
      </c>
    </row>
    <row r="1784" spans="1:6" ht="15.75">
      <c r="A1784" s="3021">
        <v>86000</v>
      </c>
      <c r="B1784" s="3021">
        <v>86050</v>
      </c>
      <c r="C1784" s="3981">
        <v>17278</v>
      </c>
      <c r="D1784" s="3626">
        <v>13049</v>
      </c>
      <c r="E1784" s="3626">
        <v>17580</v>
      </c>
      <c r="F1784" s="3626">
        <v>15804</v>
      </c>
    </row>
    <row r="1785" spans="1:6" ht="15.75">
      <c r="A1785" s="3021">
        <v>86050</v>
      </c>
      <c r="B1785" s="3021">
        <v>86100</v>
      </c>
      <c r="C1785" s="3981">
        <v>17290</v>
      </c>
      <c r="D1785" s="3626">
        <v>13061</v>
      </c>
      <c r="E1785" s="3626">
        <v>17594</v>
      </c>
      <c r="F1785" s="3626">
        <v>15816</v>
      </c>
    </row>
    <row r="1786" spans="1:6" ht="15.75">
      <c r="A1786" s="3021">
        <v>86100</v>
      </c>
      <c r="B1786" s="3021">
        <v>86150</v>
      </c>
      <c r="C1786" s="3981">
        <v>17303</v>
      </c>
      <c r="D1786" s="3626">
        <v>13074</v>
      </c>
      <c r="E1786" s="3626">
        <v>17608</v>
      </c>
      <c r="F1786" s="3626">
        <v>15829</v>
      </c>
    </row>
    <row r="1787" spans="1:6" ht="15.75">
      <c r="A1787" s="3021">
        <v>86150</v>
      </c>
      <c r="B1787" s="3021">
        <v>86200</v>
      </c>
      <c r="C1787" s="3981">
        <v>17315</v>
      </c>
      <c r="D1787" s="3626">
        <v>13086</v>
      </c>
      <c r="E1787" s="3626">
        <v>17622</v>
      </c>
      <c r="F1787" s="3626">
        <v>15841</v>
      </c>
    </row>
    <row r="1788" spans="1:6" ht="15.75">
      <c r="A1788" s="3021">
        <v>86200</v>
      </c>
      <c r="B1788" s="3021">
        <v>86250</v>
      </c>
      <c r="C1788" s="3981">
        <v>17328</v>
      </c>
      <c r="D1788" s="3626">
        <v>13099</v>
      </c>
      <c r="E1788" s="3626">
        <v>17636</v>
      </c>
      <c r="F1788" s="3626">
        <v>15854</v>
      </c>
    </row>
    <row r="1789" spans="1:6" ht="15.75">
      <c r="A1789" s="3021">
        <v>86250</v>
      </c>
      <c r="B1789" s="3021">
        <v>86300</v>
      </c>
      <c r="C1789" s="3981">
        <v>17340</v>
      </c>
      <c r="D1789" s="3626">
        <v>13111</v>
      </c>
      <c r="E1789" s="3626">
        <v>17650</v>
      </c>
      <c r="F1789" s="3626">
        <v>15866</v>
      </c>
    </row>
    <row r="1790" spans="1:6" ht="15.75">
      <c r="A1790" s="3021">
        <v>86300</v>
      </c>
      <c r="B1790" s="3021">
        <v>86350</v>
      </c>
      <c r="C1790" s="3981">
        <v>17353</v>
      </c>
      <c r="D1790" s="3626">
        <v>13124</v>
      </c>
      <c r="E1790" s="3626">
        <v>17664</v>
      </c>
      <c r="F1790" s="3626">
        <v>15879</v>
      </c>
    </row>
    <row r="1791" spans="1:6" ht="15.75">
      <c r="A1791" s="3021">
        <v>86350</v>
      </c>
      <c r="B1791" s="3021">
        <v>86400</v>
      </c>
      <c r="C1791" s="3981">
        <v>17365</v>
      </c>
      <c r="D1791" s="3626">
        <v>13136</v>
      </c>
      <c r="E1791" s="3626">
        <v>17678</v>
      </c>
      <c r="F1791" s="3626">
        <v>15891</v>
      </c>
    </row>
    <row r="1792" spans="1:6" ht="15.75">
      <c r="A1792" s="3021">
        <v>86400</v>
      </c>
      <c r="B1792" s="3021">
        <v>86450</v>
      </c>
      <c r="C1792" s="3981">
        <v>17378</v>
      </c>
      <c r="D1792" s="3626">
        <v>13149</v>
      </c>
      <c r="E1792" s="3626">
        <v>17692</v>
      </c>
      <c r="F1792" s="3626">
        <v>15904</v>
      </c>
    </row>
    <row r="1793" spans="1:6" ht="15.75">
      <c r="A1793" s="3021">
        <v>86450</v>
      </c>
      <c r="B1793" s="3021">
        <v>86500</v>
      </c>
      <c r="C1793" s="3981">
        <v>17390</v>
      </c>
      <c r="D1793" s="3626">
        <v>13161</v>
      </c>
      <c r="E1793" s="3626">
        <v>17706</v>
      </c>
      <c r="F1793" s="3626">
        <v>15916</v>
      </c>
    </row>
    <row r="1794" spans="1:6" ht="15.75">
      <c r="A1794" s="3021">
        <v>86500</v>
      </c>
      <c r="B1794" s="3021">
        <v>86550</v>
      </c>
      <c r="C1794" s="3981">
        <v>17403</v>
      </c>
      <c r="D1794" s="3626">
        <v>13174</v>
      </c>
      <c r="E1794" s="3626">
        <v>17720</v>
      </c>
      <c r="F1794" s="3626">
        <v>15929</v>
      </c>
    </row>
    <row r="1795" spans="1:6" ht="15.75">
      <c r="A1795" s="3021">
        <v>86550</v>
      </c>
      <c r="B1795" s="3021">
        <v>86600</v>
      </c>
      <c r="C1795" s="3981">
        <v>17415</v>
      </c>
      <c r="D1795" s="3626">
        <v>13186</v>
      </c>
      <c r="E1795" s="3626">
        <v>17734</v>
      </c>
      <c r="F1795" s="3626">
        <v>15941</v>
      </c>
    </row>
    <row r="1796" spans="1:6" ht="15.75">
      <c r="A1796" s="3021">
        <v>86600</v>
      </c>
      <c r="B1796" s="3021">
        <v>86650</v>
      </c>
      <c r="C1796" s="3981">
        <v>17428</v>
      </c>
      <c r="D1796" s="3626">
        <v>13199</v>
      </c>
      <c r="E1796" s="3626">
        <v>17748</v>
      </c>
      <c r="F1796" s="3626">
        <v>15954</v>
      </c>
    </row>
    <row r="1797" spans="1:6" ht="15.75">
      <c r="A1797" s="3021">
        <v>86650</v>
      </c>
      <c r="B1797" s="3021">
        <v>86700</v>
      </c>
      <c r="C1797" s="3981">
        <v>17440</v>
      </c>
      <c r="D1797" s="3626">
        <v>13211</v>
      </c>
      <c r="E1797" s="3626">
        <v>17762</v>
      </c>
      <c r="F1797" s="3626">
        <v>15966</v>
      </c>
    </row>
    <row r="1798" spans="1:6" ht="15.75">
      <c r="A1798" s="3021">
        <v>86700</v>
      </c>
      <c r="B1798" s="3021">
        <v>86750</v>
      </c>
      <c r="C1798" s="3981">
        <v>17453</v>
      </c>
      <c r="D1798" s="3626">
        <v>13224</v>
      </c>
      <c r="E1798" s="3626">
        <v>17776</v>
      </c>
      <c r="F1798" s="3626">
        <v>15979</v>
      </c>
    </row>
    <row r="1799" spans="1:6" ht="15.75">
      <c r="A1799" s="3021">
        <v>86750</v>
      </c>
      <c r="B1799" s="3021">
        <v>86800</v>
      </c>
      <c r="C1799" s="3981">
        <v>17465</v>
      </c>
      <c r="D1799" s="3626">
        <v>13236</v>
      </c>
      <c r="E1799" s="3626">
        <v>17790</v>
      </c>
      <c r="F1799" s="3626">
        <v>15991</v>
      </c>
    </row>
    <row r="1800" spans="1:6" ht="15.75">
      <c r="A1800" s="3021">
        <v>86800</v>
      </c>
      <c r="B1800" s="3021">
        <v>86850</v>
      </c>
      <c r="C1800" s="3981">
        <v>17478</v>
      </c>
      <c r="D1800" s="3626">
        <v>13249</v>
      </c>
      <c r="E1800" s="3626">
        <v>17804</v>
      </c>
      <c r="F1800" s="3626">
        <v>16004</v>
      </c>
    </row>
    <row r="1801" spans="1:6" ht="15.75">
      <c r="A1801" s="3021">
        <v>86850</v>
      </c>
      <c r="B1801" s="3021">
        <v>86900</v>
      </c>
      <c r="C1801" s="3981">
        <v>17490</v>
      </c>
      <c r="D1801" s="3626">
        <v>13261</v>
      </c>
      <c r="E1801" s="3626">
        <v>17818</v>
      </c>
      <c r="F1801" s="3626">
        <v>16016</v>
      </c>
    </row>
    <row r="1802" spans="1:6" ht="15.75">
      <c r="A1802" s="3021">
        <v>86900</v>
      </c>
      <c r="B1802" s="3021">
        <v>86950</v>
      </c>
      <c r="C1802" s="3981">
        <v>17503</v>
      </c>
      <c r="D1802" s="3626">
        <v>13274</v>
      </c>
      <c r="E1802" s="3626">
        <v>17832</v>
      </c>
      <c r="F1802" s="3626">
        <v>16029</v>
      </c>
    </row>
    <row r="1803" spans="1:6" ht="15.75">
      <c r="A1803" s="3021">
        <v>86950</v>
      </c>
      <c r="B1803" s="3021">
        <v>87000</v>
      </c>
      <c r="C1803" s="3981">
        <v>17515</v>
      </c>
      <c r="D1803" s="3626">
        <v>13286</v>
      </c>
      <c r="E1803" s="3626">
        <v>17846</v>
      </c>
      <c r="F1803" s="3626">
        <v>16041</v>
      </c>
    </row>
    <row r="1804" spans="1:6" ht="15.75">
      <c r="A1804" s="3021">
        <v>87000</v>
      </c>
      <c r="B1804" s="3021">
        <v>87050</v>
      </c>
      <c r="C1804" s="3981">
        <v>17528</v>
      </c>
      <c r="D1804" s="3626">
        <v>13299</v>
      </c>
      <c r="E1804" s="3626">
        <v>17860</v>
      </c>
      <c r="F1804" s="3626">
        <v>16054</v>
      </c>
    </row>
    <row r="1805" spans="1:6" ht="15.75">
      <c r="A1805" s="3021">
        <v>87050</v>
      </c>
      <c r="B1805" s="3021">
        <v>87100</v>
      </c>
      <c r="C1805" s="3981">
        <v>17540</v>
      </c>
      <c r="D1805" s="3626">
        <v>13311</v>
      </c>
      <c r="E1805" s="3626">
        <v>17874</v>
      </c>
      <c r="F1805" s="3626">
        <v>16066</v>
      </c>
    </row>
    <row r="1806" spans="1:6" ht="15.75">
      <c r="A1806" s="3021">
        <v>87100</v>
      </c>
      <c r="B1806" s="3021">
        <v>87150</v>
      </c>
      <c r="C1806" s="3981">
        <v>17553</v>
      </c>
      <c r="D1806" s="3626">
        <v>13324</v>
      </c>
      <c r="E1806" s="3626">
        <v>17888</v>
      </c>
      <c r="F1806" s="3626">
        <v>16079</v>
      </c>
    </row>
    <row r="1807" spans="1:6" ht="15.75">
      <c r="A1807" s="3021">
        <v>87150</v>
      </c>
      <c r="B1807" s="3021">
        <v>87200</v>
      </c>
      <c r="C1807" s="3981">
        <v>17565</v>
      </c>
      <c r="D1807" s="3626">
        <v>13336</v>
      </c>
      <c r="E1807" s="3626">
        <v>17902</v>
      </c>
      <c r="F1807" s="3626">
        <v>16091</v>
      </c>
    </row>
    <row r="1808" spans="1:6" ht="15.75">
      <c r="A1808" s="3021">
        <v>87200</v>
      </c>
      <c r="B1808" s="3021">
        <v>87250</v>
      </c>
      <c r="C1808" s="3981">
        <v>17578</v>
      </c>
      <c r="D1808" s="3626">
        <v>13349</v>
      </c>
      <c r="E1808" s="3626">
        <v>17916</v>
      </c>
      <c r="F1808" s="3626">
        <v>16104</v>
      </c>
    </row>
    <row r="1809" spans="1:6" ht="15.75">
      <c r="A1809" s="3021">
        <v>87250</v>
      </c>
      <c r="B1809" s="3021">
        <v>87300</v>
      </c>
      <c r="C1809" s="3981">
        <v>17590</v>
      </c>
      <c r="D1809" s="3626">
        <v>13361</v>
      </c>
      <c r="E1809" s="3626">
        <v>17930</v>
      </c>
      <c r="F1809" s="3626">
        <v>16116</v>
      </c>
    </row>
    <row r="1810" spans="1:6" ht="15.75">
      <c r="A1810" s="3021">
        <v>87300</v>
      </c>
      <c r="B1810" s="3021">
        <v>87350</v>
      </c>
      <c r="C1810" s="3981">
        <v>17603</v>
      </c>
      <c r="D1810" s="3626">
        <v>13374</v>
      </c>
      <c r="E1810" s="3626">
        <v>17944</v>
      </c>
      <c r="F1810" s="3626">
        <v>16129</v>
      </c>
    </row>
    <row r="1811" spans="1:6" ht="15.75">
      <c r="A1811" s="3021">
        <v>87350</v>
      </c>
      <c r="B1811" s="3021">
        <v>87400</v>
      </c>
      <c r="C1811" s="3981">
        <v>17615</v>
      </c>
      <c r="D1811" s="3626">
        <v>13386</v>
      </c>
      <c r="E1811" s="3626">
        <v>17958</v>
      </c>
      <c r="F1811" s="3626">
        <v>16141</v>
      </c>
    </row>
    <row r="1812" spans="1:6" ht="15.75">
      <c r="A1812" s="3021">
        <v>87400</v>
      </c>
      <c r="B1812" s="3021">
        <v>87450</v>
      </c>
      <c r="C1812" s="3981">
        <v>17628</v>
      </c>
      <c r="D1812" s="3626">
        <v>13399</v>
      </c>
      <c r="E1812" s="3626">
        <v>17972</v>
      </c>
      <c r="F1812" s="3626">
        <v>16154</v>
      </c>
    </row>
    <row r="1813" spans="1:6" ht="15.75">
      <c r="A1813" s="3021">
        <v>87450</v>
      </c>
      <c r="B1813" s="3021">
        <v>87500</v>
      </c>
      <c r="C1813" s="3981">
        <v>17640</v>
      </c>
      <c r="D1813" s="3626">
        <v>13411</v>
      </c>
      <c r="E1813" s="3626">
        <v>17986</v>
      </c>
      <c r="F1813" s="3626">
        <v>16166</v>
      </c>
    </row>
    <row r="1814" spans="1:6" ht="15.75">
      <c r="A1814" s="3021">
        <v>87500</v>
      </c>
      <c r="B1814" s="3021">
        <v>87550</v>
      </c>
      <c r="C1814" s="3981">
        <v>17653</v>
      </c>
      <c r="D1814" s="3626">
        <v>13424</v>
      </c>
      <c r="E1814" s="3626">
        <v>18000</v>
      </c>
      <c r="F1814" s="3626">
        <v>16179</v>
      </c>
    </row>
    <row r="1815" spans="1:6" ht="15.75">
      <c r="A1815" s="3021">
        <v>87550</v>
      </c>
      <c r="B1815" s="3021">
        <v>87600</v>
      </c>
      <c r="C1815" s="3981">
        <v>17665</v>
      </c>
      <c r="D1815" s="3626">
        <v>13436</v>
      </c>
      <c r="E1815" s="3626">
        <v>18014</v>
      </c>
      <c r="F1815" s="3626">
        <v>16191</v>
      </c>
    </row>
    <row r="1816" spans="1:6" ht="15.75">
      <c r="A1816" s="3021">
        <v>87600</v>
      </c>
      <c r="B1816" s="3021">
        <v>87650</v>
      </c>
      <c r="C1816" s="3981">
        <v>17678</v>
      </c>
      <c r="D1816" s="3626">
        <v>13449</v>
      </c>
      <c r="E1816" s="3626">
        <v>18028</v>
      </c>
      <c r="F1816" s="3626">
        <v>16204</v>
      </c>
    </row>
    <row r="1817" spans="1:6" ht="15.75">
      <c r="A1817" s="3021">
        <v>87650</v>
      </c>
      <c r="B1817" s="3021">
        <v>87700</v>
      </c>
      <c r="C1817" s="3981">
        <v>17690</v>
      </c>
      <c r="D1817" s="3626">
        <v>13461</v>
      </c>
      <c r="E1817" s="3626">
        <v>18042</v>
      </c>
      <c r="F1817" s="3626">
        <v>16216</v>
      </c>
    </row>
    <row r="1818" spans="1:6" ht="15.75">
      <c r="A1818" s="3021">
        <v>87700</v>
      </c>
      <c r="B1818" s="3021">
        <v>87750</v>
      </c>
      <c r="C1818" s="3981">
        <v>17703</v>
      </c>
      <c r="D1818" s="3626">
        <v>13474</v>
      </c>
      <c r="E1818" s="3626">
        <v>18056</v>
      </c>
      <c r="F1818" s="3626">
        <v>16229</v>
      </c>
    </row>
    <row r="1819" spans="1:6" ht="15.75">
      <c r="A1819" s="3021">
        <v>87750</v>
      </c>
      <c r="B1819" s="3021">
        <v>87800</v>
      </c>
      <c r="C1819" s="3981">
        <v>17715</v>
      </c>
      <c r="D1819" s="3626">
        <v>13486</v>
      </c>
      <c r="E1819" s="3626">
        <v>18070</v>
      </c>
      <c r="F1819" s="3626">
        <v>16241</v>
      </c>
    </row>
    <row r="1820" spans="1:6" ht="15.75">
      <c r="A1820" s="3021">
        <v>87800</v>
      </c>
      <c r="B1820" s="3021">
        <v>87850</v>
      </c>
      <c r="C1820" s="3981">
        <v>17728</v>
      </c>
      <c r="D1820" s="3626">
        <v>13499</v>
      </c>
      <c r="E1820" s="3626">
        <v>18084</v>
      </c>
      <c r="F1820" s="3626">
        <v>16254</v>
      </c>
    </row>
    <row r="1821" spans="1:6" ht="15.75">
      <c r="A1821" s="3021">
        <v>87850</v>
      </c>
      <c r="B1821" s="3021">
        <v>87900</v>
      </c>
      <c r="C1821" s="3981">
        <v>17740</v>
      </c>
      <c r="D1821" s="3626">
        <v>13511</v>
      </c>
      <c r="E1821" s="3626">
        <v>18098</v>
      </c>
      <c r="F1821" s="3626">
        <v>16266</v>
      </c>
    </row>
    <row r="1822" spans="1:6" ht="15.75">
      <c r="A1822" s="3021">
        <v>87900</v>
      </c>
      <c r="B1822" s="3021">
        <v>87950</v>
      </c>
      <c r="C1822" s="3981">
        <v>17753</v>
      </c>
      <c r="D1822" s="3626">
        <v>13524</v>
      </c>
      <c r="E1822" s="3626">
        <v>18112</v>
      </c>
      <c r="F1822" s="3626">
        <v>16279</v>
      </c>
    </row>
    <row r="1823" spans="1:6" ht="15.75">
      <c r="A1823" s="3021">
        <v>87950</v>
      </c>
      <c r="B1823" s="3021">
        <v>88000</v>
      </c>
      <c r="C1823" s="3981">
        <v>17765</v>
      </c>
      <c r="D1823" s="3626">
        <v>13536</v>
      </c>
      <c r="E1823" s="3626">
        <v>18126</v>
      </c>
      <c r="F1823" s="3626">
        <v>16291</v>
      </c>
    </row>
    <row r="1824" spans="1:6" ht="15.75">
      <c r="A1824" s="3021">
        <v>88000</v>
      </c>
      <c r="B1824" s="3021">
        <v>88050</v>
      </c>
      <c r="C1824" s="3981">
        <v>17778</v>
      </c>
      <c r="D1824" s="3626">
        <v>13549</v>
      </c>
      <c r="E1824" s="3626">
        <v>18140</v>
      </c>
      <c r="F1824" s="3626">
        <v>16304</v>
      </c>
    </row>
    <row r="1825" spans="1:6" ht="15.75">
      <c r="A1825" s="3021">
        <v>88050</v>
      </c>
      <c r="B1825" s="3021">
        <v>88100</v>
      </c>
      <c r="C1825" s="3981">
        <v>17790</v>
      </c>
      <c r="D1825" s="3626">
        <v>13561</v>
      </c>
      <c r="E1825" s="3626">
        <v>18154</v>
      </c>
      <c r="F1825" s="3626">
        <v>16316</v>
      </c>
    </row>
    <row r="1826" spans="1:6" ht="15.75">
      <c r="A1826" s="3021">
        <v>88100</v>
      </c>
      <c r="B1826" s="3021">
        <v>88150</v>
      </c>
      <c r="C1826" s="3981">
        <v>17803</v>
      </c>
      <c r="D1826" s="3626">
        <v>13574</v>
      </c>
      <c r="E1826" s="3626">
        <v>18168</v>
      </c>
      <c r="F1826" s="3626">
        <v>16329</v>
      </c>
    </row>
    <row r="1827" spans="1:6" ht="15.75">
      <c r="A1827" s="3021">
        <v>88150</v>
      </c>
      <c r="B1827" s="3021">
        <v>88200</v>
      </c>
      <c r="C1827" s="3981">
        <v>17815</v>
      </c>
      <c r="D1827" s="3626">
        <v>13586</v>
      </c>
      <c r="E1827" s="3626">
        <v>18182</v>
      </c>
      <c r="F1827" s="3626">
        <v>16341</v>
      </c>
    </row>
    <row r="1828" spans="1:6" ht="15.75">
      <c r="A1828" s="3021">
        <v>88200</v>
      </c>
      <c r="B1828" s="3021">
        <v>88250</v>
      </c>
      <c r="C1828" s="3981">
        <v>17828</v>
      </c>
      <c r="D1828" s="3626">
        <v>13599</v>
      </c>
      <c r="E1828" s="3626">
        <v>18196</v>
      </c>
      <c r="F1828" s="3626">
        <v>16354</v>
      </c>
    </row>
    <row r="1829" spans="1:6" ht="15.75">
      <c r="A1829" s="3021">
        <v>88250</v>
      </c>
      <c r="B1829" s="3021">
        <v>88300</v>
      </c>
      <c r="C1829" s="3981">
        <v>17840</v>
      </c>
      <c r="D1829" s="3626">
        <v>13611</v>
      </c>
      <c r="E1829" s="3626">
        <v>18210</v>
      </c>
      <c r="F1829" s="3626">
        <v>16366</v>
      </c>
    </row>
    <row r="1830" spans="1:6" ht="15.75">
      <c r="A1830" s="3021">
        <v>88300</v>
      </c>
      <c r="B1830" s="3021">
        <v>88350</v>
      </c>
      <c r="C1830" s="3981">
        <v>17853</v>
      </c>
      <c r="D1830" s="3626">
        <v>13624</v>
      </c>
      <c r="E1830" s="3626">
        <v>18224</v>
      </c>
      <c r="F1830" s="3626">
        <v>16379</v>
      </c>
    </row>
    <row r="1831" spans="1:6" ht="15.75">
      <c r="A1831" s="3021">
        <v>88350</v>
      </c>
      <c r="B1831" s="3021">
        <v>88400</v>
      </c>
      <c r="C1831" s="3981">
        <v>17865</v>
      </c>
      <c r="D1831" s="3626">
        <v>13636</v>
      </c>
      <c r="E1831" s="3626">
        <v>18238</v>
      </c>
      <c r="F1831" s="3626">
        <v>16391</v>
      </c>
    </row>
    <row r="1832" spans="1:6" ht="15.75">
      <c r="A1832" s="3021">
        <v>88400</v>
      </c>
      <c r="B1832" s="3021">
        <v>88450</v>
      </c>
      <c r="C1832" s="3981">
        <v>17878</v>
      </c>
      <c r="D1832" s="3626">
        <v>13649</v>
      </c>
      <c r="E1832" s="3626">
        <v>18252</v>
      </c>
      <c r="F1832" s="3626">
        <v>16404</v>
      </c>
    </row>
    <row r="1833" spans="1:6" ht="15.75">
      <c r="A1833" s="3021">
        <v>88450</v>
      </c>
      <c r="B1833" s="3021">
        <v>88500</v>
      </c>
      <c r="C1833" s="3981">
        <v>17890</v>
      </c>
      <c r="D1833" s="3626">
        <v>13661</v>
      </c>
      <c r="E1833" s="3626">
        <v>18266</v>
      </c>
      <c r="F1833" s="3626">
        <v>16416</v>
      </c>
    </row>
    <row r="1834" spans="1:6" ht="15.75">
      <c r="A1834" s="3021">
        <v>88500</v>
      </c>
      <c r="B1834" s="3021">
        <v>88550</v>
      </c>
      <c r="C1834" s="3981">
        <v>17903</v>
      </c>
      <c r="D1834" s="3626">
        <v>13674</v>
      </c>
      <c r="E1834" s="3626">
        <v>18280</v>
      </c>
      <c r="F1834" s="3626">
        <v>16429</v>
      </c>
    </row>
    <row r="1835" spans="1:6" ht="15.75">
      <c r="A1835" s="3021">
        <v>88550</v>
      </c>
      <c r="B1835" s="3021">
        <v>88600</v>
      </c>
      <c r="C1835" s="3981">
        <v>17915</v>
      </c>
      <c r="D1835" s="3626">
        <v>13686</v>
      </c>
      <c r="E1835" s="3626">
        <v>18294</v>
      </c>
      <c r="F1835" s="3626">
        <v>16441</v>
      </c>
    </row>
    <row r="1836" spans="1:6" ht="15.75">
      <c r="A1836" s="3021">
        <v>88600</v>
      </c>
      <c r="B1836" s="3021">
        <v>88650</v>
      </c>
      <c r="C1836" s="3981">
        <v>17928</v>
      </c>
      <c r="D1836" s="3626">
        <v>13699</v>
      </c>
      <c r="E1836" s="3626">
        <v>18308</v>
      </c>
      <c r="F1836" s="3626">
        <v>16454</v>
      </c>
    </row>
    <row r="1837" spans="1:6" ht="15.75">
      <c r="A1837" s="3021">
        <v>88650</v>
      </c>
      <c r="B1837" s="3021">
        <v>88700</v>
      </c>
      <c r="C1837" s="3981">
        <v>17940</v>
      </c>
      <c r="D1837" s="3626">
        <v>13711</v>
      </c>
      <c r="E1837" s="3626">
        <v>18322</v>
      </c>
      <c r="F1837" s="3626">
        <v>16466</v>
      </c>
    </row>
    <row r="1838" spans="1:6" ht="15.75">
      <c r="A1838" s="3021">
        <v>88700</v>
      </c>
      <c r="B1838" s="3021">
        <v>88750</v>
      </c>
      <c r="C1838" s="3981">
        <v>17953</v>
      </c>
      <c r="D1838" s="3626">
        <v>13724</v>
      </c>
      <c r="E1838" s="3626">
        <v>18336</v>
      </c>
      <c r="F1838" s="3626">
        <v>16479</v>
      </c>
    </row>
    <row r="1839" spans="1:6" ht="15.75">
      <c r="A1839" s="3021">
        <v>88750</v>
      </c>
      <c r="B1839" s="3021">
        <v>88800</v>
      </c>
      <c r="C1839" s="3981">
        <v>17965</v>
      </c>
      <c r="D1839" s="3626">
        <v>13736</v>
      </c>
      <c r="E1839" s="3626">
        <v>18350</v>
      </c>
      <c r="F1839" s="3626">
        <v>16491</v>
      </c>
    </row>
    <row r="1840" spans="1:6" ht="15.75">
      <c r="A1840" s="3021">
        <v>88800</v>
      </c>
      <c r="B1840" s="3021">
        <v>88850</v>
      </c>
      <c r="C1840" s="3981">
        <v>17978</v>
      </c>
      <c r="D1840" s="3626">
        <v>13749</v>
      </c>
      <c r="E1840" s="3626">
        <v>18364</v>
      </c>
      <c r="F1840" s="3626">
        <v>16504</v>
      </c>
    </row>
    <row r="1841" spans="1:6" ht="15.75">
      <c r="A1841" s="3021">
        <v>88850</v>
      </c>
      <c r="B1841" s="3021">
        <v>88900</v>
      </c>
      <c r="C1841" s="3981">
        <v>17990</v>
      </c>
      <c r="D1841" s="3626">
        <v>13761</v>
      </c>
      <c r="E1841" s="3626">
        <v>18378</v>
      </c>
      <c r="F1841" s="3626">
        <v>16516</v>
      </c>
    </row>
    <row r="1842" spans="1:6" ht="15.75">
      <c r="A1842" s="3021">
        <v>88900</v>
      </c>
      <c r="B1842" s="3021">
        <v>88950</v>
      </c>
      <c r="C1842" s="3981">
        <v>18003</v>
      </c>
      <c r="D1842" s="3626">
        <v>13774</v>
      </c>
      <c r="E1842" s="3626">
        <v>18392</v>
      </c>
      <c r="F1842" s="3626">
        <v>16529</v>
      </c>
    </row>
    <row r="1843" spans="1:6" ht="15.75">
      <c r="A1843" s="3021">
        <v>88950</v>
      </c>
      <c r="B1843" s="3021">
        <v>89000</v>
      </c>
      <c r="C1843" s="3981">
        <v>18015</v>
      </c>
      <c r="D1843" s="3626">
        <v>13786</v>
      </c>
      <c r="E1843" s="3626">
        <v>18406</v>
      </c>
      <c r="F1843" s="3626">
        <v>16541</v>
      </c>
    </row>
    <row r="1844" spans="1:6" ht="15.75">
      <c r="A1844" s="3021">
        <v>89000</v>
      </c>
      <c r="B1844" s="3021">
        <v>89050</v>
      </c>
      <c r="C1844" s="3981">
        <v>18028</v>
      </c>
      <c r="D1844" s="3626">
        <v>13799</v>
      </c>
      <c r="E1844" s="3626">
        <v>18420</v>
      </c>
      <c r="F1844" s="3626">
        <v>16554</v>
      </c>
    </row>
    <row r="1845" spans="1:6" ht="15.75">
      <c r="A1845" s="3021">
        <v>89050</v>
      </c>
      <c r="B1845" s="3021">
        <v>89100</v>
      </c>
      <c r="C1845" s="3981">
        <v>18040</v>
      </c>
      <c r="D1845" s="3626">
        <v>13811</v>
      </c>
      <c r="E1845" s="3626">
        <v>18434</v>
      </c>
      <c r="F1845" s="3626">
        <v>16566</v>
      </c>
    </row>
    <row r="1846" spans="1:6" ht="15.75">
      <c r="A1846" s="3021">
        <v>89100</v>
      </c>
      <c r="B1846" s="3021">
        <v>89150</v>
      </c>
      <c r="C1846" s="3981">
        <v>18053</v>
      </c>
      <c r="D1846" s="3626">
        <v>13824</v>
      </c>
      <c r="E1846" s="3626">
        <v>18448</v>
      </c>
      <c r="F1846" s="3626">
        <v>16579</v>
      </c>
    </row>
    <row r="1847" spans="1:6" ht="15.75">
      <c r="A1847" s="3021">
        <v>89150</v>
      </c>
      <c r="B1847" s="3021">
        <v>89200</v>
      </c>
      <c r="C1847" s="3981">
        <v>18065</v>
      </c>
      <c r="D1847" s="3626">
        <v>13836</v>
      </c>
      <c r="E1847" s="3626">
        <v>18462</v>
      </c>
      <c r="F1847" s="3626">
        <v>16591</v>
      </c>
    </row>
    <row r="1848" spans="1:6" ht="15.75">
      <c r="A1848" s="3021">
        <v>89200</v>
      </c>
      <c r="B1848" s="3021">
        <v>89250</v>
      </c>
      <c r="C1848" s="3981">
        <v>18078</v>
      </c>
      <c r="D1848" s="3626">
        <v>13849</v>
      </c>
      <c r="E1848" s="3626">
        <v>18476</v>
      </c>
      <c r="F1848" s="3626">
        <v>16604</v>
      </c>
    </row>
    <row r="1849" spans="1:6" ht="15.75">
      <c r="A1849" s="3021">
        <v>89250</v>
      </c>
      <c r="B1849" s="3021">
        <v>89300</v>
      </c>
      <c r="C1849" s="3981">
        <v>18090</v>
      </c>
      <c r="D1849" s="3626">
        <v>13861</v>
      </c>
      <c r="E1849" s="3626">
        <v>18490</v>
      </c>
      <c r="F1849" s="3626">
        <v>16616</v>
      </c>
    </row>
    <row r="1850" spans="1:6" ht="15.75">
      <c r="A1850" s="3021">
        <v>89300</v>
      </c>
      <c r="B1850" s="3021">
        <v>89350</v>
      </c>
      <c r="C1850" s="3981">
        <v>18103</v>
      </c>
      <c r="D1850" s="3626">
        <v>13874</v>
      </c>
      <c r="E1850" s="3626">
        <v>18504</v>
      </c>
      <c r="F1850" s="3626">
        <v>16629</v>
      </c>
    </row>
    <row r="1851" spans="1:6" ht="15.75">
      <c r="A1851" s="3021">
        <v>89350</v>
      </c>
      <c r="B1851" s="3021">
        <v>89400</v>
      </c>
      <c r="C1851" s="3981">
        <v>18115</v>
      </c>
      <c r="D1851" s="3626">
        <v>13886</v>
      </c>
      <c r="E1851" s="3626">
        <v>18518</v>
      </c>
      <c r="F1851" s="3626">
        <v>16641</v>
      </c>
    </row>
    <row r="1852" spans="1:6" ht="15.75">
      <c r="A1852" s="3021">
        <v>89400</v>
      </c>
      <c r="B1852" s="3021">
        <v>89450</v>
      </c>
      <c r="C1852" s="3981">
        <v>18128</v>
      </c>
      <c r="D1852" s="3626">
        <v>13899</v>
      </c>
      <c r="E1852" s="3626">
        <v>18532</v>
      </c>
      <c r="F1852" s="3626">
        <v>16654</v>
      </c>
    </row>
    <row r="1853" spans="1:6" ht="15.75">
      <c r="A1853" s="3021">
        <v>89450</v>
      </c>
      <c r="B1853" s="3021">
        <v>89500</v>
      </c>
      <c r="C1853" s="3981">
        <v>18140</v>
      </c>
      <c r="D1853" s="3626">
        <v>13911</v>
      </c>
      <c r="E1853" s="3626">
        <v>18546</v>
      </c>
      <c r="F1853" s="3626">
        <v>16666</v>
      </c>
    </row>
    <row r="1854" spans="1:6" ht="15.75">
      <c r="A1854" s="3021">
        <v>89500</v>
      </c>
      <c r="B1854" s="3021">
        <v>89550</v>
      </c>
      <c r="C1854" s="3981">
        <v>18153</v>
      </c>
      <c r="D1854" s="3626">
        <v>13924</v>
      </c>
      <c r="E1854" s="3626">
        <v>18560</v>
      </c>
      <c r="F1854" s="3626">
        <v>16679</v>
      </c>
    </row>
    <row r="1855" spans="1:6" ht="15.75">
      <c r="A1855" s="3021">
        <v>89550</v>
      </c>
      <c r="B1855" s="3021">
        <v>89600</v>
      </c>
      <c r="C1855" s="3981">
        <v>18165</v>
      </c>
      <c r="D1855" s="3626">
        <v>13936</v>
      </c>
      <c r="E1855" s="3626">
        <v>18574</v>
      </c>
      <c r="F1855" s="3626">
        <v>16691</v>
      </c>
    </row>
    <row r="1856" spans="1:6" ht="15.75">
      <c r="A1856" s="3021">
        <v>89600</v>
      </c>
      <c r="B1856" s="3021">
        <v>89650</v>
      </c>
      <c r="C1856" s="3981">
        <v>18178</v>
      </c>
      <c r="D1856" s="3626">
        <v>13949</v>
      </c>
      <c r="E1856" s="3626">
        <v>18588</v>
      </c>
      <c r="F1856" s="3626">
        <v>16704</v>
      </c>
    </row>
    <row r="1857" spans="1:6" ht="15.75">
      <c r="A1857" s="3021">
        <v>89650</v>
      </c>
      <c r="B1857" s="3021">
        <v>89700</v>
      </c>
      <c r="C1857" s="3981">
        <v>18190</v>
      </c>
      <c r="D1857" s="3626">
        <v>13961</v>
      </c>
      <c r="E1857" s="3626">
        <v>18602</v>
      </c>
      <c r="F1857" s="3626">
        <v>16716</v>
      </c>
    </row>
    <row r="1858" spans="1:6" ht="15.75">
      <c r="A1858" s="3021">
        <v>89700</v>
      </c>
      <c r="B1858" s="3021">
        <v>89750</v>
      </c>
      <c r="C1858" s="3981">
        <v>18203</v>
      </c>
      <c r="D1858" s="3626">
        <v>13974</v>
      </c>
      <c r="E1858" s="3626">
        <v>18616</v>
      </c>
      <c r="F1858" s="3626">
        <v>16729</v>
      </c>
    </row>
    <row r="1859" spans="1:6" ht="15.75">
      <c r="A1859" s="3021">
        <v>89750</v>
      </c>
      <c r="B1859" s="3021">
        <v>89800</v>
      </c>
      <c r="C1859" s="3981">
        <v>18215</v>
      </c>
      <c r="D1859" s="3626">
        <v>13986</v>
      </c>
      <c r="E1859" s="3626">
        <v>18630</v>
      </c>
      <c r="F1859" s="3626">
        <v>16741</v>
      </c>
    </row>
    <row r="1860" spans="1:6" ht="15.75">
      <c r="A1860" s="3021">
        <v>89800</v>
      </c>
      <c r="B1860" s="3021">
        <v>89850</v>
      </c>
      <c r="C1860" s="3981">
        <v>18228</v>
      </c>
      <c r="D1860" s="3626">
        <v>13999</v>
      </c>
      <c r="E1860" s="3626">
        <v>18644</v>
      </c>
      <c r="F1860" s="3626">
        <v>16754</v>
      </c>
    </row>
    <row r="1861" spans="1:6" ht="15.75">
      <c r="A1861" s="3021">
        <v>89850</v>
      </c>
      <c r="B1861" s="3021">
        <v>89900</v>
      </c>
      <c r="C1861" s="3981">
        <v>18240</v>
      </c>
      <c r="D1861" s="3626">
        <v>14011</v>
      </c>
      <c r="E1861" s="3626">
        <v>18658</v>
      </c>
      <c r="F1861" s="3626">
        <v>16766</v>
      </c>
    </row>
    <row r="1862" spans="1:6" ht="15.75">
      <c r="A1862" s="3021">
        <v>89900</v>
      </c>
      <c r="B1862" s="3021">
        <v>89950</v>
      </c>
      <c r="C1862" s="3981">
        <v>18253</v>
      </c>
      <c r="D1862" s="3626">
        <v>14024</v>
      </c>
      <c r="E1862" s="3626">
        <v>18672</v>
      </c>
      <c r="F1862" s="3626">
        <v>16779</v>
      </c>
    </row>
    <row r="1863" spans="1:6" ht="15.75">
      <c r="A1863" s="3021">
        <v>89950</v>
      </c>
      <c r="B1863" s="3021">
        <v>90000</v>
      </c>
      <c r="C1863" s="3981">
        <v>18265</v>
      </c>
      <c r="D1863" s="3626">
        <v>14036</v>
      </c>
      <c r="E1863" s="3626">
        <v>18686</v>
      </c>
      <c r="F1863" s="3626">
        <v>16791</v>
      </c>
    </row>
    <row r="1864" spans="1:6" ht="15.75">
      <c r="A1864" s="3021">
        <v>90000</v>
      </c>
      <c r="B1864" s="3021">
        <v>90050</v>
      </c>
      <c r="C1864" s="3981">
        <v>18278</v>
      </c>
      <c r="D1864" s="3626">
        <v>14049</v>
      </c>
      <c r="E1864" s="3626">
        <v>18700</v>
      </c>
      <c r="F1864" s="3626">
        <v>16804</v>
      </c>
    </row>
    <row r="1865" spans="1:6" ht="15.75">
      <c r="A1865" s="3021">
        <v>90050</v>
      </c>
      <c r="B1865" s="3021">
        <v>90100</v>
      </c>
      <c r="C1865" s="3981">
        <v>18290</v>
      </c>
      <c r="D1865" s="3626">
        <v>14061</v>
      </c>
      <c r="E1865" s="3626">
        <v>18714</v>
      </c>
      <c r="F1865" s="3626">
        <v>16816</v>
      </c>
    </row>
    <row r="1866" spans="1:6" ht="15.75">
      <c r="A1866" s="3021">
        <v>90100</v>
      </c>
      <c r="B1866" s="3021">
        <v>90150</v>
      </c>
      <c r="C1866" s="3981">
        <v>18303</v>
      </c>
      <c r="D1866" s="3626">
        <v>14074</v>
      </c>
      <c r="E1866" s="3626">
        <v>18728</v>
      </c>
      <c r="F1866" s="3626">
        <v>16829</v>
      </c>
    </row>
    <row r="1867" spans="1:6" ht="15.75">
      <c r="A1867" s="3021">
        <v>90150</v>
      </c>
      <c r="B1867" s="3021">
        <v>90200</v>
      </c>
      <c r="C1867" s="3981">
        <v>18315</v>
      </c>
      <c r="D1867" s="3626">
        <v>14086</v>
      </c>
      <c r="E1867" s="3626">
        <v>18742</v>
      </c>
      <c r="F1867" s="3626">
        <v>16841</v>
      </c>
    </row>
    <row r="1868" spans="1:6" ht="15.75">
      <c r="A1868" s="3021">
        <v>90200</v>
      </c>
      <c r="B1868" s="3021">
        <v>90250</v>
      </c>
      <c r="C1868" s="3981">
        <v>18328</v>
      </c>
      <c r="D1868" s="3626">
        <v>14099</v>
      </c>
      <c r="E1868" s="3626">
        <v>18756</v>
      </c>
      <c r="F1868" s="3626">
        <v>16854</v>
      </c>
    </row>
    <row r="1869" spans="1:6" ht="15.75">
      <c r="A1869" s="3021">
        <v>90250</v>
      </c>
      <c r="B1869" s="3021">
        <v>90300</v>
      </c>
      <c r="C1869" s="3981">
        <v>18340</v>
      </c>
      <c r="D1869" s="3626">
        <v>14111</v>
      </c>
      <c r="E1869" s="3626">
        <v>18770</v>
      </c>
      <c r="F1869" s="3626">
        <v>16866</v>
      </c>
    </row>
    <row r="1870" spans="1:6" ht="15.75">
      <c r="A1870" s="3021">
        <v>90300</v>
      </c>
      <c r="B1870" s="3021">
        <v>90350</v>
      </c>
      <c r="C1870" s="3981">
        <v>18353</v>
      </c>
      <c r="D1870" s="3626">
        <v>14124</v>
      </c>
      <c r="E1870" s="3626">
        <v>18784</v>
      </c>
      <c r="F1870" s="3626">
        <v>16879</v>
      </c>
    </row>
    <row r="1871" spans="1:6" ht="15.75">
      <c r="A1871" s="3021">
        <v>90350</v>
      </c>
      <c r="B1871" s="3021">
        <v>90400</v>
      </c>
      <c r="C1871" s="3981">
        <v>18365</v>
      </c>
      <c r="D1871" s="3626">
        <v>14136</v>
      </c>
      <c r="E1871" s="3626">
        <v>18798</v>
      </c>
      <c r="F1871" s="3626">
        <v>16891</v>
      </c>
    </row>
    <row r="1872" spans="1:6" ht="15.75">
      <c r="A1872" s="3021">
        <v>90400</v>
      </c>
      <c r="B1872" s="3021">
        <v>90450</v>
      </c>
      <c r="C1872" s="3981">
        <v>18378</v>
      </c>
      <c r="D1872" s="3626">
        <v>14149</v>
      </c>
      <c r="E1872" s="3626">
        <v>18812</v>
      </c>
      <c r="F1872" s="3626">
        <v>16904</v>
      </c>
    </row>
    <row r="1873" spans="1:6" ht="15.75">
      <c r="A1873" s="3021">
        <v>90450</v>
      </c>
      <c r="B1873" s="3021">
        <v>90500</v>
      </c>
      <c r="C1873" s="3981">
        <v>18390</v>
      </c>
      <c r="D1873" s="3626">
        <v>14161</v>
      </c>
      <c r="E1873" s="3626">
        <v>18826</v>
      </c>
      <c r="F1873" s="3626">
        <v>16916</v>
      </c>
    </row>
    <row r="1874" spans="1:6" ht="15.75">
      <c r="A1874" s="3021">
        <v>90500</v>
      </c>
      <c r="B1874" s="3021">
        <v>90550</v>
      </c>
      <c r="C1874" s="3981">
        <v>18403</v>
      </c>
      <c r="D1874" s="3626">
        <v>14174</v>
      </c>
      <c r="E1874" s="3626">
        <v>18840</v>
      </c>
      <c r="F1874" s="3626">
        <v>16929</v>
      </c>
    </row>
    <row r="1875" spans="1:6" ht="15.75">
      <c r="A1875" s="3021">
        <v>90550</v>
      </c>
      <c r="B1875" s="3021">
        <v>90600</v>
      </c>
      <c r="C1875" s="3981">
        <v>18415</v>
      </c>
      <c r="D1875" s="3626">
        <v>14186</v>
      </c>
      <c r="E1875" s="3626">
        <v>18854</v>
      </c>
      <c r="F1875" s="3626">
        <v>16941</v>
      </c>
    </row>
    <row r="1876" spans="1:6" ht="15.75">
      <c r="A1876" s="3021">
        <v>90600</v>
      </c>
      <c r="B1876" s="3021">
        <v>90650</v>
      </c>
      <c r="C1876" s="3981">
        <v>18428</v>
      </c>
      <c r="D1876" s="3626">
        <v>14199</v>
      </c>
      <c r="E1876" s="3626">
        <v>18868</v>
      </c>
      <c r="F1876" s="3626">
        <v>16954</v>
      </c>
    </row>
    <row r="1877" spans="1:6" ht="15.75">
      <c r="A1877" s="3021">
        <v>90650</v>
      </c>
      <c r="B1877" s="3021">
        <v>90700</v>
      </c>
      <c r="C1877" s="3981">
        <v>18440</v>
      </c>
      <c r="D1877" s="3626">
        <v>14211</v>
      </c>
      <c r="E1877" s="3626">
        <v>18882</v>
      </c>
      <c r="F1877" s="3626">
        <v>16966</v>
      </c>
    </row>
    <row r="1878" spans="1:6" ht="15.75">
      <c r="A1878" s="3021">
        <v>90700</v>
      </c>
      <c r="B1878" s="3021">
        <v>90750</v>
      </c>
      <c r="C1878" s="3981">
        <v>18453</v>
      </c>
      <c r="D1878" s="3626">
        <v>14224</v>
      </c>
      <c r="E1878" s="3626">
        <v>18896</v>
      </c>
      <c r="F1878" s="3626">
        <v>16979</v>
      </c>
    </row>
    <row r="1879" spans="1:6" ht="15.75">
      <c r="A1879" s="3021">
        <v>90750</v>
      </c>
      <c r="B1879" s="3021">
        <v>90800</v>
      </c>
      <c r="C1879" s="3981">
        <v>18465</v>
      </c>
      <c r="D1879" s="3626">
        <v>14236</v>
      </c>
      <c r="E1879" s="3626">
        <v>18910</v>
      </c>
      <c r="F1879" s="3626">
        <v>16991</v>
      </c>
    </row>
    <row r="1880" spans="1:6" ht="15.75">
      <c r="A1880" s="3021">
        <v>90800</v>
      </c>
      <c r="B1880" s="3021">
        <v>90850</v>
      </c>
      <c r="C1880" s="3981">
        <v>18478</v>
      </c>
      <c r="D1880" s="3626">
        <v>14249</v>
      </c>
      <c r="E1880" s="3626">
        <v>18924</v>
      </c>
      <c r="F1880" s="3626">
        <v>17004</v>
      </c>
    </row>
    <row r="1881" spans="1:6" ht="15.75">
      <c r="A1881" s="3021">
        <v>90850</v>
      </c>
      <c r="B1881" s="3021">
        <v>90900</v>
      </c>
      <c r="C1881" s="3981">
        <v>18490</v>
      </c>
      <c r="D1881" s="3626">
        <v>14261</v>
      </c>
      <c r="E1881" s="3626">
        <v>18938</v>
      </c>
      <c r="F1881" s="3626">
        <v>17016</v>
      </c>
    </row>
    <row r="1882" spans="1:6" ht="15.75">
      <c r="A1882" s="3021">
        <v>90900</v>
      </c>
      <c r="B1882" s="3021">
        <v>90950</v>
      </c>
      <c r="C1882" s="3981">
        <v>18503</v>
      </c>
      <c r="D1882" s="3626">
        <v>14274</v>
      </c>
      <c r="E1882" s="3626">
        <v>18952</v>
      </c>
      <c r="F1882" s="3626">
        <v>17029</v>
      </c>
    </row>
    <row r="1883" spans="1:6" ht="15.75">
      <c r="A1883" s="3021">
        <v>90950</v>
      </c>
      <c r="B1883" s="3021">
        <v>91000</v>
      </c>
      <c r="C1883" s="3981">
        <v>18515</v>
      </c>
      <c r="D1883" s="3626">
        <v>14286</v>
      </c>
      <c r="E1883" s="3626">
        <v>18966</v>
      </c>
      <c r="F1883" s="3626">
        <v>17041</v>
      </c>
    </row>
    <row r="1884" spans="1:6" ht="15.75">
      <c r="A1884" s="3021">
        <v>91000</v>
      </c>
      <c r="B1884" s="3021">
        <v>91050</v>
      </c>
      <c r="C1884" s="3981">
        <v>18528</v>
      </c>
      <c r="D1884" s="3626">
        <v>14299</v>
      </c>
      <c r="E1884" s="3626">
        <v>18980</v>
      </c>
      <c r="F1884" s="3626">
        <v>17054</v>
      </c>
    </row>
    <row r="1885" spans="1:6" ht="15.75">
      <c r="A1885" s="3021">
        <v>91050</v>
      </c>
      <c r="B1885" s="3021">
        <v>91100</v>
      </c>
      <c r="C1885" s="3981">
        <v>18540</v>
      </c>
      <c r="D1885" s="3626">
        <v>14311</v>
      </c>
      <c r="E1885" s="3626">
        <v>18994</v>
      </c>
      <c r="F1885" s="3626">
        <v>17066</v>
      </c>
    </row>
    <row r="1886" spans="1:6" ht="15.75">
      <c r="A1886" s="3021">
        <v>91100</v>
      </c>
      <c r="B1886" s="3021">
        <v>91150</v>
      </c>
      <c r="C1886" s="3981">
        <v>18553</v>
      </c>
      <c r="D1886" s="3626">
        <v>14324</v>
      </c>
      <c r="E1886" s="3626">
        <v>19008</v>
      </c>
      <c r="F1886" s="3626">
        <v>17079</v>
      </c>
    </row>
    <row r="1887" spans="1:6" ht="15.75">
      <c r="A1887" s="3021">
        <v>91150</v>
      </c>
      <c r="B1887" s="3021">
        <v>91200</v>
      </c>
      <c r="C1887" s="3981">
        <v>18566</v>
      </c>
      <c r="D1887" s="3626">
        <v>14336</v>
      </c>
      <c r="E1887" s="3626">
        <v>19022</v>
      </c>
      <c r="F1887" s="3626">
        <v>17091</v>
      </c>
    </row>
    <row r="1888" spans="1:6" ht="15.75">
      <c r="A1888" s="3021">
        <v>91200</v>
      </c>
      <c r="B1888" s="3021">
        <v>91250</v>
      </c>
      <c r="C1888" s="3981">
        <v>18580</v>
      </c>
      <c r="D1888" s="3626">
        <v>14349</v>
      </c>
      <c r="E1888" s="3626">
        <v>19036</v>
      </c>
      <c r="F1888" s="3626">
        <v>17104</v>
      </c>
    </row>
    <row r="1889" spans="1:6" ht="15.75">
      <c r="A1889" s="3021">
        <v>91250</v>
      </c>
      <c r="B1889" s="3021">
        <v>91300</v>
      </c>
      <c r="C1889" s="3981">
        <v>18594</v>
      </c>
      <c r="D1889" s="3626">
        <v>14361</v>
      </c>
      <c r="E1889" s="3626">
        <v>19050</v>
      </c>
      <c r="F1889" s="3626">
        <v>17116</v>
      </c>
    </row>
    <row r="1890" spans="1:6" ht="15.75">
      <c r="A1890" s="3021">
        <v>91300</v>
      </c>
      <c r="B1890" s="3021">
        <v>91350</v>
      </c>
      <c r="C1890" s="3981">
        <v>18608</v>
      </c>
      <c r="D1890" s="3626">
        <v>14374</v>
      </c>
      <c r="E1890" s="3626">
        <v>19064</v>
      </c>
      <c r="F1890" s="3626">
        <v>17129</v>
      </c>
    </row>
    <row r="1891" spans="1:6" ht="15.75">
      <c r="A1891" s="3021">
        <v>91350</v>
      </c>
      <c r="B1891" s="3021">
        <v>91400</v>
      </c>
      <c r="C1891" s="3981">
        <v>18622</v>
      </c>
      <c r="D1891" s="3626">
        <v>14386</v>
      </c>
      <c r="E1891" s="3626">
        <v>19078</v>
      </c>
      <c r="F1891" s="3626">
        <v>17141</v>
      </c>
    </row>
    <row r="1892" spans="1:6" ht="15.75">
      <c r="A1892" s="3021">
        <v>91400</v>
      </c>
      <c r="B1892" s="3021">
        <v>91450</v>
      </c>
      <c r="C1892" s="3981">
        <v>18636</v>
      </c>
      <c r="D1892" s="3626">
        <v>14399</v>
      </c>
      <c r="E1892" s="3626">
        <v>19092</v>
      </c>
      <c r="F1892" s="3626">
        <v>17154</v>
      </c>
    </row>
    <row r="1893" spans="1:6" ht="15.75">
      <c r="A1893" s="3021">
        <v>91450</v>
      </c>
      <c r="B1893" s="3021">
        <v>91500</v>
      </c>
      <c r="C1893" s="3981">
        <v>18650</v>
      </c>
      <c r="D1893" s="3626">
        <v>14411</v>
      </c>
      <c r="E1893" s="3626">
        <v>19106</v>
      </c>
      <c r="F1893" s="3626">
        <v>17166</v>
      </c>
    </row>
    <row r="1894" spans="1:6" ht="15.75">
      <c r="A1894" s="3021">
        <v>91500</v>
      </c>
      <c r="B1894" s="3021">
        <v>91550</v>
      </c>
      <c r="C1894" s="3981">
        <v>18664</v>
      </c>
      <c r="D1894" s="3626">
        <v>14424</v>
      </c>
      <c r="E1894" s="3626">
        <v>19120</v>
      </c>
      <c r="F1894" s="3626">
        <v>17179</v>
      </c>
    </row>
    <row r="1895" spans="1:6" ht="15.75">
      <c r="A1895" s="3021">
        <v>91550</v>
      </c>
      <c r="B1895" s="3021">
        <v>91600</v>
      </c>
      <c r="C1895" s="3981">
        <v>18678</v>
      </c>
      <c r="D1895" s="3626">
        <v>14436</v>
      </c>
      <c r="E1895" s="3626">
        <v>19134</v>
      </c>
      <c r="F1895" s="3626">
        <v>17191</v>
      </c>
    </row>
    <row r="1896" spans="1:6" ht="15.75">
      <c r="A1896" s="3021">
        <v>91600</v>
      </c>
      <c r="B1896" s="3021">
        <v>91650</v>
      </c>
      <c r="C1896" s="3981">
        <v>18692</v>
      </c>
      <c r="D1896" s="3626">
        <v>14449</v>
      </c>
      <c r="E1896" s="3626">
        <v>19148</v>
      </c>
      <c r="F1896" s="3626">
        <v>17204</v>
      </c>
    </row>
    <row r="1897" spans="1:6" ht="15.75">
      <c r="A1897" s="3021">
        <v>91650</v>
      </c>
      <c r="B1897" s="3021">
        <v>91700</v>
      </c>
      <c r="C1897" s="3981">
        <v>18706</v>
      </c>
      <c r="D1897" s="3626">
        <v>14461</v>
      </c>
      <c r="E1897" s="3626">
        <v>19162</v>
      </c>
      <c r="F1897" s="3626">
        <v>17216</v>
      </c>
    </row>
    <row r="1898" spans="1:6" ht="15.75">
      <c r="A1898" s="3021">
        <v>91700</v>
      </c>
      <c r="B1898" s="3021">
        <v>91750</v>
      </c>
      <c r="C1898" s="3981">
        <v>18720</v>
      </c>
      <c r="D1898" s="3626">
        <v>14474</v>
      </c>
      <c r="E1898" s="3626">
        <v>19176</v>
      </c>
      <c r="F1898" s="3626">
        <v>17229</v>
      </c>
    </row>
    <row r="1899" spans="1:6" ht="15.75">
      <c r="A1899" s="3021">
        <v>91750</v>
      </c>
      <c r="B1899" s="3021">
        <v>91800</v>
      </c>
      <c r="C1899" s="3981">
        <v>18734</v>
      </c>
      <c r="D1899" s="3626">
        <v>14486</v>
      </c>
      <c r="E1899" s="3626">
        <v>19190</v>
      </c>
      <c r="F1899" s="3626">
        <v>17241</v>
      </c>
    </row>
    <row r="1900" spans="1:6" ht="15.75">
      <c r="A1900" s="3021">
        <v>91800</v>
      </c>
      <c r="B1900" s="3021">
        <v>91850</v>
      </c>
      <c r="C1900" s="3981">
        <v>18748</v>
      </c>
      <c r="D1900" s="3626">
        <v>14499</v>
      </c>
      <c r="E1900" s="3626">
        <v>19204</v>
      </c>
      <c r="F1900" s="3626">
        <v>17254</v>
      </c>
    </row>
    <row r="1901" spans="1:6" ht="15.75">
      <c r="A1901" s="3021">
        <v>91850</v>
      </c>
      <c r="B1901" s="3021">
        <v>91900</v>
      </c>
      <c r="C1901" s="3981">
        <v>18762</v>
      </c>
      <c r="D1901" s="3626">
        <v>14511</v>
      </c>
      <c r="E1901" s="3626">
        <v>19218</v>
      </c>
      <c r="F1901" s="3626">
        <v>17266</v>
      </c>
    </row>
    <row r="1902" spans="1:6" ht="15.75">
      <c r="A1902" s="3021">
        <v>91900</v>
      </c>
      <c r="B1902" s="3021">
        <v>91950</v>
      </c>
      <c r="C1902" s="3981">
        <v>18776</v>
      </c>
      <c r="D1902" s="3626">
        <v>14524</v>
      </c>
      <c r="E1902" s="3626">
        <v>19232</v>
      </c>
      <c r="F1902" s="3626">
        <v>17279</v>
      </c>
    </row>
    <row r="1903" spans="1:6" ht="15.75">
      <c r="A1903" s="3021">
        <v>91950</v>
      </c>
      <c r="B1903" s="3021">
        <v>92000</v>
      </c>
      <c r="C1903" s="3981">
        <v>18790</v>
      </c>
      <c r="D1903" s="3626">
        <v>14536</v>
      </c>
      <c r="E1903" s="3626">
        <v>19246</v>
      </c>
      <c r="F1903" s="3626">
        <v>17291</v>
      </c>
    </row>
    <row r="1904" spans="1:6" ht="15.75">
      <c r="A1904" s="3021">
        <v>92000</v>
      </c>
      <c r="B1904" s="3021">
        <v>92050</v>
      </c>
      <c r="C1904" s="3981">
        <v>18804</v>
      </c>
      <c r="D1904" s="3626">
        <v>14549</v>
      </c>
      <c r="E1904" s="3626">
        <v>19260</v>
      </c>
      <c r="F1904" s="3626">
        <v>17304</v>
      </c>
    </row>
    <row r="1905" spans="1:6" ht="15.75">
      <c r="A1905" s="3021">
        <v>92050</v>
      </c>
      <c r="B1905" s="3021">
        <v>92100</v>
      </c>
      <c r="C1905" s="3981">
        <v>18818</v>
      </c>
      <c r="D1905" s="3626">
        <v>14561</v>
      </c>
      <c r="E1905" s="3626">
        <v>19274</v>
      </c>
      <c r="F1905" s="3626">
        <v>17316</v>
      </c>
    </row>
    <row r="1906" spans="1:6" ht="15.75">
      <c r="A1906" s="3021">
        <v>92100</v>
      </c>
      <c r="B1906" s="3021">
        <v>92150</v>
      </c>
      <c r="C1906" s="3981">
        <v>18832</v>
      </c>
      <c r="D1906" s="3626">
        <v>14574</v>
      </c>
      <c r="E1906" s="3626">
        <v>19288</v>
      </c>
      <c r="F1906" s="3626">
        <v>17329</v>
      </c>
    </row>
    <row r="1907" spans="1:6" ht="15.75">
      <c r="A1907" s="3021">
        <v>92150</v>
      </c>
      <c r="B1907" s="3021">
        <v>92200</v>
      </c>
      <c r="C1907" s="3981">
        <v>18846</v>
      </c>
      <c r="D1907" s="3626">
        <v>14586</v>
      </c>
      <c r="E1907" s="3626">
        <v>19302</v>
      </c>
      <c r="F1907" s="3626">
        <v>17341</v>
      </c>
    </row>
    <row r="1908" spans="1:6" ht="15.75">
      <c r="A1908" s="3021">
        <v>92200</v>
      </c>
      <c r="B1908" s="3021">
        <v>92250</v>
      </c>
      <c r="C1908" s="3981">
        <v>18860</v>
      </c>
      <c r="D1908" s="3626">
        <v>14599</v>
      </c>
      <c r="E1908" s="3626">
        <v>19316</v>
      </c>
      <c r="F1908" s="3626">
        <v>17354</v>
      </c>
    </row>
    <row r="1909" spans="1:6" ht="15.75">
      <c r="A1909" s="3021">
        <v>92250</v>
      </c>
      <c r="B1909" s="3021">
        <v>92300</v>
      </c>
      <c r="C1909" s="3981">
        <v>18874</v>
      </c>
      <c r="D1909" s="3626">
        <v>14611</v>
      </c>
      <c r="E1909" s="3626">
        <v>19330</v>
      </c>
      <c r="F1909" s="3626">
        <v>17366</v>
      </c>
    </row>
    <row r="1910" spans="1:6" ht="15.75">
      <c r="A1910" s="3021">
        <v>92300</v>
      </c>
      <c r="B1910" s="3021">
        <v>92350</v>
      </c>
      <c r="C1910" s="3981">
        <v>18888</v>
      </c>
      <c r="D1910" s="3626">
        <v>14624</v>
      </c>
      <c r="E1910" s="3626">
        <v>19344</v>
      </c>
      <c r="F1910" s="3626">
        <v>17379</v>
      </c>
    </row>
    <row r="1911" spans="1:6" ht="15.75">
      <c r="A1911" s="3021">
        <v>92350</v>
      </c>
      <c r="B1911" s="3021">
        <v>92400</v>
      </c>
      <c r="C1911" s="3981">
        <v>18902</v>
      </c>
      <c r="D1911" s="3626">
        <v>14636</v>
      </c>
      <c r="E1911" s="3626">
        <v>19358</v>
      </c>
      <c r="F1911" s="3626">
        <v>17391</v>
      </c>
    </row>
    <row r="1912" spans="1:6" ht="15.75">
      <c r="A1912" s="3021">
        <v>92400</v>
      </c>
      <c r="B1912" s="3021">
        <v>92450</v>
      </c>
      <c r="C1912" s="3981">
        <v>18916</v>
      </c>
      <c r="D1912" s="3626">
        <v>14649</v>
      </c>
      <c r="E1912" s="3626">
        <v>19372</v>
      </c>
      <c r="F1912" s="3626">
        <v>17404</v>
      </c>
    </row>
    <row r="1913" spans="1:6" ht="15.75">
      <c r="A1913" s="3021">
        <v>92450</v>
      </c>
      <c r="B1913" s="3021">
        <v>92500</v>
      </c>
      <c r="C1913" s="3981">
        <v>18930</v>
      </c>
      <c r="D1913" s="3626">
        <v>14661</v>
      </c>
      <c r="E1913" s="3626">
        <v>19386</v>
      </c>
      <c r="F1913" s="3626">
        <v>17416</v>
      </c>
    </row>
    <row r="1914" spans="1:6" ht="15.75">
      <c r="A1914" s="3021">
        <v>92500</v>
      </c>
      <c r="B1914" s="3021">
        <v>92550</v>
      </c>
      <c r="C1914" s="3981">
        <v>18944</v>
      </c>
      <c r="D1914" s="3626">
        <v>14674</v>
      </c>
      <c r="E1914" s="3626">
        <v>19400</v>
      </c>
      <c r="F1914" s="3626">
        <v>17429</v>
      </c>
    </row>
    <row r="1915" spans="1:6" ht="15.75">
      <c r="A1915" s="3021">
        <v>92550</v>
      </c>
      <c r="B1915" s="3021">
        <v>92600</v>
      </c>
      <c r="C1915" s="3981">
        <v>18958</v>
      </c>
      <c r="D1915" s="3626">
        <v>14686</v>
      </c>
      <c r="E1915" s="3626">
        <v>19414</v>
      </c>
      <c r="F1915" s="3626">
        <v>17441</v>
      </c>
    </row>
    <row r="1916" spans="1:6" ht="15.75">
      <c r="A1916" s="3021">
        <v>92600</v>
      </c>
      <c r="B1916" s="3021">
        <v>92650</v>
      </c>
      <c r="C1916" s="3981">
        <v>18972</v>
      </c>
      <c r="D1916" s="3626">
        <v>14699</v>
      </c>
      <c r="E1916" s="3626">
        <v>19428</v>
      </c>
      <c r="F1916" s="3626">
        <v>17454</v>
      </c>
    </row>
    <row r="1917" spans="1:6" ht="15.75">
      <c r="A1917" s="3021">
        <v>92650</v>
      </c>
      <c r="B1917" s="3021">
        <v>92700</v>
      </c>
      <c r="C1917" s="3981">
        <v>18986</v>
      </c>
      <c r="D1917" s="3626">
        <v>14711</v>
      </c>
      <c r="E1917" s="3626">
        <v>19442</v>
      </c>
      <c r="F1917" s="3626">
        <v>17466</v>
      </c>
    </row>
    <row r="1918" spans="1:6" ht="15.75">
      <c r="A1918" s="3021">
        <v>92700</v>
      </c>
      <c r="B1918" s="3021">
        <v>92750</v>
      </c>
      <c r="C1918" s="3981">
        <v>19000</v>
      </c>
      <c r="D1918" s="3626">
        <v>14724</v>
      </c>
      <c r="E1918" s="3626">
        <v>19456</v>
      </c>
      <c r="F1918" s="3626">
        <v>17479</v>
      </c>
    </row>
    <row r="1919" spans="1:6" ht="15.75">
      <c r="A1919" s="3021">
        <v>92750</v>
      </c>
      <c r="B1919" s="3021">
        <v>92800</v>
      </c>
      <c r="C1919" s="3981">
        <v>19014</v>
      </c>
      <c r="D1919" s="3626">
        <v>14736</v>
      </c>
      <c r="E1919" s="3626">
        <v>19470</v>
      </c>
      <c r="F1919" s="3626">
        <v>17491</v>
      </c>
    </row>
    <row r="1920" spans="1:6" ht="15.75">
      <c r="A1920" s="3021">
        <v>92800</v>
      </c>
      <c r="B1920" s="3021">
        <v>92850</v>
      </c>
      <c r="C1920" s="3981">
        <v>19028</v>
      </c>
      <c r="D1920" s="3626">
        <v>14749</v>
      </c>
      <c r="E1920" s="3626">
        <v>19484</v>
      </c>
      <c r="F1920" s="3626">
        <v>17504</v>
      </c>
    </row>
    <row r="1921" spans="1:6" ht="15.75">
      <c r="A1921" s="3021">
        <v>92850</v>
      </c>
      <c r="B1921" s="3021">
        <v>92900</v>
      </c>
      <c r="C1921" s="3981">
        <v>19042</v>
      </c>
      <c r="D1921" s="3626">
        <v>14761</v>
      </c>
      <c r="E1921" s="3626">
        <v>19498</v>
      </c>
      <c r="F1921" s="3626">
        <v>17516</v>
      </c>
    </row>
    <row r="1922" spans="1:6" ht="15.75">
      <c r="A1922" s="3021">
        <v>92900</v>
      </c>
      <c r="B1922" s="3021">
        <v>92950</v>
      </c>
      <c r="C1922" s="3981">
        <v>19056</v>
      </c>
      <c r="D1922" s="3626">
        <v>14774</v>
      </c>
      <c r="E1922" s="3626">
        <v>19512</v>
      </c>
      <c r="F1922" s="3626">
        <v>17529</v>
      </c>
    </row>
    <row r="1923" spans="1:6" ht="15.75">
      <c r="A1923" s="3021">
        <v>92950</v>
      </c>
      <c r="B1923" s="3021">
        <v>93000</v>
      </c>
      <c r="C1923" s="3981">
        <v>19070</v>
      </c>
      <c r="D1923" s="3626">
        <v>14786</v>
      </c>
      <c r="E1923" s="3626">
        <v>19526</v>
      </c>
      <c r="F1923" s="3626">
        <v>17541</v>
      </c>
    </row>
    <row r="1924" spans="1:6" ht="15.75">
      <c r="A1924" s="3021">
        <v>93000</v>
      </c>
      <c r="B1924" s="3021">
        <v>93050</v>
      </c>
      <c r="C1924" s="3981">
        <v>19084</v>
      </c>
      <c r="D1924" s="3626">
        <v>14799</v>
      </c>
      <c r="E1924" s="3626">
        <v>19540</v>
      </c>
      <c r="F1924" s="3626">
        <v>17554</v>
      </c>
    </row>
    <row r="1925" spans="1:6" ht="15.75">
      <c r="A1925" s="3021">
        <v>93050</v>
      </c>
      <c r="B1925" s="3021">
        <v>93100</v>
      </c>
      <c r="C1925" s="3981">
        <v>19098</v>
      </c>
      <c r="D1925" s="3626">
        <v>14811</v>
      </c>
      <c r="E1925" s="3626">
        <v>19554</v>
      </c>
      <c r="F1925" s="3626">
        <v>17566</v>
      </c>
    </row>
    <row r="1926" spans="1:6" ht="15.75">
      <c r="A1926" s="3021">
        <v>93100</v>
      </c>
      <c r="B1926" s="3021">
        <v>93150</v>
      </c>
      <c r="C1926" s="3981">
        <v>19112</v>
      </c>
      <c r="D1926" s="3626">
        <v>14824</v>
      </c>
      <c r="E1926" s="3626">
        <v>19568</v>
      </c>
      <c r="F1926" s="3626">
        <v>17579</v>
      </c>
    </row>
    <row r="1927" spans="1:6" ht="15.75">
      <c r="A1927" s="3021">
        <v>93150</v>
      </c>
      <c r="B1927" s="3021">
        <v>93200</v>
      </c>
      <c r="C1927" s="3981">
        <v>19126</v>
      </c>
      <c r="D1927" s="3626">
        <v>14836</v>
      </c>
      <c r="E1927" s="3626">
        <v>19582</v>
      </c>
      <c r="F1927" s="3626">
        <v>17591</v>
      </c>
    </row>
    <row r="1928" spans="1:6" ht="15.75">
      <c r="A1928" s="3021">
        <v>93200</v>
      </c>
      <c r="B1928" s="3021">
        <v>93250</v>
      </c>
      <c r="C1928" s="3981">
        <v>19140</v>
      </c>
      <c r="D1928" s="3626">
        <v>14849</v>
      </c>
      <c r="E1928" s="3626">
        <v>19596</v>
      </c>
      <c r="F1928" s="3626">
        <v>17604</v>
      </c>
    </row>
    <row r="1929" spans="1:6" ht="15.75">
      <c r="A1929" s="3021">
        <v>93250</v>
      </c>
      <c r="B1929" s="3021">
        <v>93300</v>
      </c>
      <c r="C1929" s="3981">
        <v>19154</v>
      </c>
      <c r="D1929" s="3626">
        <v>14861</v>
      </c>
      <c r="E1929" s="3626">
        <v>19610</v>
      </c>
      <c r="F1929" s="3626">
        <v>17616</v>
      </c>
    </row>
    <row r="1930" spans="1:6" ht="15.75">
      <c r="A1930" s="3021">
        <v>93300</v>
      </c>
      <c r="B1930" s="3021">
        <v>93350</v>
      </c>
      <c r="C1930" s="3981">
        <v>19168</v>
      </c>
      <c r="D1930" s="3626">
        <v>14874</v>
      </c>
      <c r="E1930" s="3626">
        <v>19624</v>
      </c>
      <c r="F1930" s="3626">
        <v>17629</v>
      </c>
    </row>
    <row r="1931" spans="1:6" ht="15.75">
      <c r="A1931" s="3021">
        <v>93350</v>
      </c>
      <c r="B1931" s="3021">
        <v>93400</v>
      </c>
      <c r="C1931" s="3981">
        <v>19182</v>
      </c>
      <c r="D1931" s="3626">
        <v>14886</v>
      </c>
      <c r="E1931" s="3626">
        <v>19638</v>
      </c>
      <c r="F1931" s="3626">
        <v>17641</v>
      </c>
    </row>
    <row r="1932" spans="1:6" ht="15.75">
      <c r="A1932" s="3021">
        <v>93400</v>
      </c>
      <c r="B1932" s="3021">
        <v>93450</v>
      </c>
      <c r="C1932" s="3981">
        <v>19196</v>
      </c>
      <c r="D1932" s="3626">
        <v>14899</v>
      </c>
      <c r="E1932" s="3626">
        <v>19652</v>
      </c>
      <c r="F1932" s="3626">
        <v>17654</v>
      </c>
    </row>
    <row r="1933" spans="1:6" ht="15.75">
      <c r="A1933" s="3021">
        <v>93450</v>
      </c>
      <c r="B1933" s="3021">
        <v>93500</v>
      </c>
      <c r="C1933" s="3981">
        <v>19210</v>
      </c>
      <c r="D1933" s="3626">
        <v>14911</v>
      </c>
      <c r="E1933" s="3626">
        <v>19666</v>
      </c>
      <c r="F1933" s="3626">
        <v>17666</v>
      </c>
    </row>
    <row r="1934" spans="1:6" ht="15.75">
      <c r="A1934" s="3021">
        <v>93500</v>
      </c>
      <c r="B1934" s="3021">
        <v>93550</v>
      </c>
      <c r="C1934" s="3981">
        <v>19224</v>
      </c>
      <c r="D1934" s="3626">
        <v>14924</v>
      </c>
      <c r="E1934" s="3626">
        <v>19680</v>
      </c>
      <c r="F1934" s="3626">
        <v>17679</v>
      </c>
    </row>
    <row r="1935" spans="1:6" ht="15.75">
      <c r="A1935" s="3021">
        <v>93550</v>
      </c>
      <c r="B1935" s="3021">
        <v>93600</v>
      </c>
      <c r="C1935" s="3981">
        <v>19238</v>
      </c>
      <c r="D1935" s="3626">
        <v>14936</v>
      </c>
      <c r="E1935" s="3626">
        <v>19694</v>
      </c>
      <c r="F1935" s="3626">
        <v>17691</v>
      </c>
    </row>
    <row r="1936" spans="1:6" ht="15.75">
      <c r="A1936" s="3021">
        <v>93600</v>
      </c>
      <c r="B1936" s="3021">
        <v>93650</v>
      </c>
      <c r="C1936" s="3981">
        <v>19252</v>
      </c>
      <c r="D1936" s="3626">
        <v>14949</v>
      </c>
      <c r="E1936" s="3626">
        <v>19708</v>
      </c>
      <c r="F1936" s="3626">
        <v>17704</v>
      </c>
    </row>
    <row r="1937" spans="1:6" ht="15.75">
      <c r="A1937" s="3021">
        <v>93650</v>
      </c>
      <c r="B1937" s="3021">
        <v>93700</v>
      </c>
      <c r="C1937" s="3981">
        <v>19266</v>
      </c>
      <c r="D1937" s="3626">
        <v>14961</v>
      </c>
      <c r="E1937" s="3626">
        <v>19722</v>
      </c>
      <c r="F1937" s="3626">
        <v>17716</v>
      </c>
    </row>
    <row r="1938" spans="1:6" ht="15.75">
      <c r="A1938" s="3021">
        <v>93700</v>
      </c>
      <c r="B1938" s="3021">
        <v>93750</v>
      </c>
      <c r="C1938" s="3981">
        <v>19280</v>
      </c>
      <c r="D1938" s="3626">
        <v>14974</v>
      </c>
      <c r="E1938" s="3626">
        <v>19736</v>
      </c>
      <c r="F1938" s="3626">
        <v>17729</v>
      </c>
    </row>
    <row r="1939" spans="1:6" ht="15.75">
      <c r="A1939" s="3021">
        <v>93750</v>
      </c>
      <c r="B1939" s="3021">
        <v>93800</v>
      </c>
      <c r="C1939" s="3981">
        <v>19294</v>
      </c>
      <c r="D1939" s="3626">
        <v>14986</v>
      </c>
      <c r="E1939" s="3626">
        <v>19750</v>
      </c>
      <c r="F1939" s="3626">
        <v>17741</v>
      </c>
    </row>
    <row r="1940" spans="1:6" ht="15.75">
      <c r="A1940" s="3021">
        <v>93800</v>
      </c>
      <c r="B1940" s="3021">
        <v>93850</v>
      </c>
      <c r="C1940" s="3981">
        <v>19308</v>
      </c>
      <c r="D1940" s="3626">
        <v>14999</v>
      </c>
      <c r="E1940" s="3626">
        <v>19764</v>
      </c>
      <c r="F1940" s="3626">
        <v>17754</v>
      </c>
    </row>
    <row r="1941" spans="1:6" ht="15.75">
      <c r="A1941" s="3021">
        <v>93850</v>
      </c>
      <c r="B1941" s="3021">
        <v>93900</v>
      </c>
      <c r="C1941" s="3981">
        <v>19322</v>
      </c>
      <c r="D1941" s="3626">
        <v>15011</v>
      </c>
      <c r="E1941" s="3626">
        <v>19778</v>
      </c>
      <c r="F1941" s="3626">
        <v>17766</v>
      </c>
    </row>
    <row r="1942" spans="1:6" ht="15.75">
      <c r="A1942" s="3021">
        <v>93900</v>
      </c>
      <c r="B1942" s="3021">
        <v>93950</v>
      </c>
      <c r="C1942" s="3981">
        <v>19336</v>
      </c>
      <c r="D1942" s="3626">
        <v>15024</v>
      </c>
      <c r="E1942" s="3626">
        <v>19792</v>
      </c>
      <c r="F1942" s="3626">
        <v>17779</v>
      </c>
    </row>
    <row r="1943" spans="1:6" ht="15.75">
      <c r="A1943" s="3021">
        <v>93950</v>
      </c>
      <c r="B1943" s="3021">
        <v>94000</v>
      </c>
      <c r="C1943" s="3981">
        <v>19350</v>
      </c>
      <c r="D1943" s="3626">
        <v>15036</v>
      </c>
      <c r="E1943" s="3626">
        <v>19806</v>
      </c>
      <c r="F1943" s="3626">
        <v>17791</v>
      </c>
    </row>
    <row r="1944" spans="1:6" ht="15.75">
      <c r="A1944" s="3021">
        <v>94000</v>
      </c>
      <c r="B1944" s="3021">
        <v>94050</v>
      </c>
      <c r="C1944" s="3981">
        <v>19364</v>
      </c>
      <c r="D1944" s="3626">
        <v>15049</v>
      </c>
      <c r="E1944" s="3626">
        <v>19820</v>
      </c>
      <c r="F1944" s="3626">
        <v>17804</v>
      </c>
    </row>
    <row r="1945" spans="1:6" ht="15.75">
      <c r="A1945" s="3021">
        <v>94050</v>
      </c>
      <c r="B1945" s="3021">
        <v>94100</v>
      </c>
      <c r="C1945" s="3981">
        <v>19378</v>
      </c>
      <c r="D1945" s="3626">
        <v>15061</v>
      </c>
      <c r="E1945" s="3626">
        <v>19834</v>
      </c>
      <c r="F1945" s="3626">
        <v>17816</v>
      </c>
    </row>
    <row r="1946" spans="1:6" ht="15.75">
      <c r="A1946" s="3021">
        <v>94100</v>
      </c>
      <c r="B1946" s="3021">
        <v>94150</v>
      </c>
      <c r="C1946" s="3981">
        <v>19392</v>
      </c>
      <c r="D1946" s="3626">
        <v>15074</v>
      </c>
      <c r="E1946" s="3626">
        <v>19848</v>
      </c>
      <c r="F1946" s="3626">
        <v>17829</v>
      </c>
    </row>
    <row r="1947" spans="1:6" ht="15.75">
      <c r="A1947" s="3021">
        <v>94150</v>
      </c>
      <c r="B1947" s="3021">
        <v>94200</v>
      </c>
      <c r="C1947" s="3981">
        <v>19406</v>
      </c>
      <c r="D1947" s="3626">
        <v>15086</v>
      </c>
      <c r="E1947" s="3626">
        <v>19862</v>
      </c>
      <c r="F1947" s="3626">
        <v>17841</v>
      </c>
    </row>
    <row r="1948" spans="1:6" ht="15.75">
      <c r="A1948" s="3021">
        <v>94200</v>
      </c>
      <c r="B1948" s="3021">
        <v>94250</v>
      </c>
      <c r="C1948" s="3981">
        <v>19420</v>
      </c>
      <c r="D1948" s="3626">
        <v>15099</v>
      </c>
      <c r="E1948" s="3626">
        <v>19876</v>
      </c>
      <c r="F1948" s="3626">
        <v>17854</v>
      </c>
    </row>
    <row r="1949" spans="1:6" ht="15.75">
      <c r="A1949" s="3021">
        <v>94250</v>
      </c>
      <c r="B1949" s="3021">
        <v>94300</v>
      </c>
      <c r="C1949" s="3981">
        <v>19434</v>
      </c>
      <c r="D1949" s="3626">
        <v>15111</v>
      </c>
      <c r="E1949" s="3626">
        <v>19890</v>
      </c>
      <c r="F1949" s="3626">
        <v>17866</v>
      </c>
    </row>
    <row r="1950" spans="1:6" ht="15.75">
      <c r="A1950" s="3021">
        <v>94300</v>
      </c>
      <c r="B1950" s="3021">
        <v>94350</v>
      </c>
      <c r="C1950" s="3981">
        <v>19448</v>
      </c>
      <c r="D1950" s="3626">
        <v>15124</v>
      </c>
      <c r="E1950" s="3626">
        <v>19904</v>
      </c>
      <c r="F1950" s="3626">
        <v>17879</v>
      </c>
    </row>
    <row r="1951" spans="1:6" ht="15.75">
      <c r="A1951" s="3021">
        <v>94350</v>
      </c>
      <c r="B1951" s="3021">
        <v>94400</v>
      </c>
      <c r="C1951" s="3981">
        <v>19462</v>
      </c>
      <c r="D1951" s="3626">
        <v>15136</v>
      </c>
      <c r="E1951" s="3626">
        <v>19918</v>
      </c>
      <c r="F1951" s="3626">
        <v>17891</v>
      </c>
    </row>
    <row r="1952" spans="1:6" ht="15.75">
      <c r="A1952" s="3021">
        <v>94400</v>
      </c>
      <c r="B1952" s="3021">
        <v>94450</v>
      </c>
      <c r="C1952" s="3981">
        <v>19476</v>
      </c>
      <c r="D1952" s="3626">
        <v>15149</v>
      </c>
      <c r="E1952" s="3626">
        <v>19932</v>
      </c>
      <c r="F1952" s="3626">
        <v>17904</v>
      </c>
    </row>
    <row r="1953" spans="1:6" ht="15.75">
      <c r="A1953" s="3021">
        <v>94450</v>
      </c>
      <c r="B1953" s="3021">
        <v>94500</v>
      </c>
      <c r="C1953" s="3981">
        <v>19490</v>
      </c>
      <c r="D1953" s="3626">
        <v>15161</v>
      </c>
      <c r="E1953" s="3626">
        <v>19946</v>
      </c>
      <c r="F1953" s="3626">
        <v>17916</v>
      </c>
    </row>
    <row r="1954" spans="1:6" ht="15.75">
      <c r="A1954" s="3021">
        <v>94500</v>
      </c>
      <c r="B1954" s="3021">
        <v>94550</v>
      </c>
      <c r="C1954" s="3981">
        <v>19504</v>
      </c>
      <c r="D1954" s="3626">
        <v>15174</v>
      </c>
      <c r="E1954" s="3626">
        <v>19960</v>
      </c>
      <c r="F1954" s="3626">
        <v>17929</v>
      </c>
    </row>
    <row r="1955" spans="1:6" ht="15.75">
      <c r="A1955" s="3021">
        <v>94550</v>
      </c>
      <c r="B1955" s="3021">
        <v>94600</v>
      </c>
      <c r="C1955" s="3981">
        <v>19518</v>
      </c>
      <c r="D1955" s="3626">
        <v>15186</v>
      </c>
      <c r="E1955" s="3626">
        <v>19974</v>
      </c>
      <c r="F1955" s="3626">
        <v>17941</v>
      </c>
    </row>
    <row r="1956" spans="1:6" ht="15.75">
      <c r="A1956" s="3021">
        <v>94600</v>
      </c>
      <c r="B1956" s="3021">
        <v>94650</v>
      </c>
      <c r="C1956" s="3981">
        <v>19532</v>
      </c>
      <c r="D1956" s="3626">
        <v>15199</v>
      </c>
      <c r="E1956" s="3626">
        <v>19988</v>
      </c>
      <c r="F1956" s="3626">
        <v>17954</v>
      </c>
    </row>
    <row r="1957" spans="1:6" ht="15.75">
      <c r="A1957" s="3021">
        <v>94650</v>
      </c>
      <c r="B1957" s="3021">
        <v>94700</v>
      </c>
      <c r="C1957" s="3981">
        <v>19546</v>
      </c>
      <c r="D1957" s="3626">
        <v>15211</v>
      </c>
      <c r="E1957" s="3626">
        <v>20002</v>
      </c>
      <c r="F1957" s="3626">
        <v>17966</v>
      </c>
    </row>
    <row r="1958" spans="1:6" ht="15.75">
      <c r="A1958" s="3021">
        <v>94700</v>
      </c>
      <c r="B1958" s="3021">
        <v>94750</v>
      </c>
      <c r="C1958" s="3981">
        <v>19560</v>
      </c>
      <c r="D1958" s="3626">
        <v>15224</v>
      </c>
      <c r="E1958" s="3626">
        <v>20016</v>
      </c>
      <c r="F1958" s="3626">
        <v>17979</v>
      </c>
    </row>
    <row r="1959" spans="1:6" ht="15.75">
      <c r="A1959" s="3021">
        <v>94750</v>
      </c>
      <c r="B1959" s="3021">
        <v>94800</v>
      </c>
      <c r="C1959" s="3981">
        <v>19574</v>
      </c>
      <c r="D1959" s="3626">
        <v>15236</v>
      </c>
      <c r="E1959" s="3626">
        <v>20030</v>
      </c>
      <c r="F1959" s="3626">
        <v>17991</v>
      </c>
    </row>
    <row r="1960" spans="1:6" ht="15.75">
      <c r="A1960" s="3021">
        <v>94800</v>
      </c>
      <c r="B1960" s="3021">
        <v>94850</v>
      </c>
      <c r="C1960" s="3981">
        <v>19588</v>
      </c>
      <c r="D1960" s="3626">
        <v>15249</v>
      </c>
      <c r="E1960" s="3626">
        <v>20044</v>
      </c>
      <c r="F1960" s="3626">
        <v>18004</v>
      </c>
    </row>
    <row r="1961" spans="1:6" ht="15.75">
      <c r="A1961" s="3021">
        <v>94850</v>
      </c>
      <c r="B1961" s="3021">
        <v>94900</v>
      </c>
      <c r="C1961" s="3981">
        <v>19602</v>
      </c>
      <c r="D1961" s="3626">
        <v>15261</v>
      </c>
      <c r="E1961" s="3626">
        <v>20058</v>
      </c>
      <c r="F1961" s="3626">
        <v>18016</v>
      </c>
    </row>
    <row r="1962" spans="1:6" ht="15.75">
      <c r="A1962" s="3021">
        <v>94900</v>
      </c>
      <c r="B1962" s="3021">
        <v>94950</v>
      </c>
      <c r="C1962" s="3981">
        <v>19616</v>
      </c>
      <c r="D1962" s="3626">
        <v>15274</v>
      </c>
      <c r="E1962" s="3626">
        <v>20072</v>
      </c>
      <c r="F1962" s="3626">
        <v>18029</v>
      </c>
    </row>
    <row r="1963" spans="1:6" ht="15.75">
      <c r="A1963" s="3021">
        <v>94950</v>
      </c>
      <c r="B1963" s="3021">
        <v>95000</v>
      </c>
      <c r="C1963" s="3981">
        <v>19630</v>
      </c>
      <c r="D1963" s="3626">
        <v>15286</v>
      </c>
      <c r="E1963" s="3626">
        <v>20086</v>
      </c>
      <c r="F1963" s="3626">
        <v>18041</v>
      </c>
    </row>
    <row r="1964" spans="1:6" ht="15.75">
      <c r="A1964" s="3021">
        <v>95000</v>
      </c>
      <c r="B1964" s="3021">
        <v>95050</v>
      </c>
      <c r="C1964" s="3981">
        <v>19644</v>
      </c>
      <c r="D1964" s="3626">
        <v>15299</v>
      </c>
      <c r="E1964" s="3626">
        <v>20100</v>
      </c>
      <c r="F1964" s="3626">
        <v>18054</v>
      </c>
    </row>
    <row r="1965" spans="1:6" ht="15.75">
      <c r="A1965" s="3021">
        <v>95050</v>
      </c>
      <c r="B1965" s="3021">
        <v>95100</v>
      </c>
      <c r="C1965" s="3981">
        <v>19658</v>
      </c>
      <c r="D1965" s="3626">
        <v>15311</v>
      </c>
      <c r="E1965" s="3626">
        <v>20114</v>
      </c>
      <c r="F1965" s="3626">
        <v>18066</v>
      </c>
    </row>
    <row r="1966" spans="1:6" ht="15.75">
      <c r="A1966" s="3021">
        <v>95100</v>
      </c>
      <c r="B1966" s="3021">
        <v>95150</v>
      </c>
      <c r="C1966" s="3981">
        <v>19672</v>
      </c>
      <c r="D1966" s="3626">
        <v>15324</v>
      </c>
      <c r="E1966" s="3626">
        <v>20128</v>
      </c>
      <c r="F1966" s="3626">
        <v>18079</v>
      </c>
    </row>
    <row r="1967" spans="1:6" ht="15.75">
      <c r="A1967" s="3021">
        <v>95150</v>
      </c>
      <c r="B1967" s="3021">
        <v>95200</v>
      </c>
      <c r="C1967" s="3981">
        <v>19686</v>
      </c>
      <c r="D1967" s="3626">
        <v>15336</v>
      </c>
      <c r="E1967" s="3626">
        <v>20142</v>
      </c>
      <c r="F1967" s="3626">
        <v>18091</v>
      </c>
    </row>
    <row r="1968" spans="1:6" ht="15.75">
      <c r="A1968" s="3021">
        <v>95200</v>
      </c>
      <c r="B1968" s="3021">
        <v>95250</v>
      </c>
      <c r="C1968" s="3981">
        <v>19700</v>
      </c>
      <c r="D1968" s="3626">
        <v>15349</v>
      </c>
      <c r="E1968" s="3626">
        <v>20156</v>
      </c>
      <c r="F1968" s="3626">
        <v>18104</v>
      </c>
    </row>
    <row r="1969" spans="1:6" ht="15.75">
      <c r="A1969" s="3021">
        <v>95250</v>
      </c>
      <c r="B1969" s="3021">
        <v>95300</v>
      </c>
      <c r="C1969" s="3981">
        <v>19714</v>
      </c>
      <c r="D1969" s="3626">
        <v>15361</v>
      </c>
      <c r="E1969" s="3626">
        <v>20170</v>
      </c>
      <c r="F1969" s="3626">
        <v>18116</v>
      </c>
    </row>
    <row r="1970" spans="1:6" ht="15.75">
      <c r="A1970" s="3021">
        <v>95300</v>
      </c>
      <c r="B1970" s="3021">
        <v>95350</v>
      </c>
      <c r="C1970" s="3981">
        <v>19728</v>
      </c>
      <c r="D1970" s="3626">
        <v>15374</v>
      </c>
      <c r="E1970" s="3626">
        <v>20184</v>
      </c>
      <c r="F1970" s="3626">
        <v>18129</v>
      </c>
    </row>
    <row r="1971" spans="1:6" ht="15.75">
      <c r="A1971" s="3021">
        <v>95350</v>
      </c>
      <c r="B1971" s="3021">
        <v>95400</v>
      </c>
      <c r="C1971" s="3981">
        <v>19742</v>
      </c>
      <c r="D1971" s="3626">
        <v>15386</v>
      </c>
      <c r="E1971" s="3626">
        <v>20198</v>
      </c>
      <c r="F1971" s="3626">
        <v>18141</v>
      </c>
    </row>
    <row r="1972" spans="1:6" ht="15.75">
      <c r="A1972" s="3021">
        <v>95400</v>
      </c>
      <c r="B1972" s="3021">
        <v>95450</v>
      </c>
      <c r="C1972" s="3981">
        <v>19756</v>
      </c>
      <c r="D1972" s="3626">
        <v>15399</v>
      </c>
      <c r="E1972" s="3626">
        <v>20212</v>
      </c>
      <c r="F1972" s="3626">
        <v>18154</v>
      </c>
    </row>
    <row r="1973" spans="1:6" ht="15.75">
      <c r="A1973" s="3021">
        <v>95450</v>
      </c>
      <c r="B1973" s="3021">
        <v>95500</v>
      </c>
      <c r="C1973" s="3981">
        <v>19770</v>
      </c>
      <c r="D1973" s="3626">
        <v>15411</v>
      </c>
      <c r="E1973" s="3626">
        <v>20226</v>
      </c>
      <c r="F1973" s="3626">
        <v>18166</v>
      </c>
    </row>
    <row r="1974" spans="1:6" ht="15.75">
      <c r="A1974" s="3021">
        <v>95500</v>
      </c>
      <c r="B1974" s="3021">
        <v>95550</v>
      </c>
      <c r="C1974" s="3981">
        <v>19784</v>
      </c>
      <c r="D1974" s="3626">
        <v>15424</v>
      </c>
      <c r="E1974" s="3626">
        <v>20240</v>
      </c>
      <c r="F1974" s="3626">
        <v>18179</v>
      </c>
    </row>
    <row r="1975" spans="1:6" ht="15.75">
      <c r="A1975" s="3021">
        <v>95550</v>
      </c>
      <c r="B1975" s="3021">
        <v>95600</v>
      </c>
      <c r="C1975" s="3981">
        <v>19798</v>
      </c>
      <c r="D1975" s="3626">
        <v>15436</v>
      </c>
      <c r="E1975" s="3626">
        <v>20254</v>
      </c>
      <c r="F1975" s="3626">
        <v>18191</v>
      </c>
    </row>
    <row r="1976" spans="1:6" ht="15.75">
      <c r="A1976" s="3021">
        <v>95600</v>
      </c>
      <c r="B1976" s="3021">
        <v>95650</v>
      </c>
      <c r="C1976" s="3981">
        <v>19812</v>
      </c>
      <c r="D1976" s="3626">
        <v>15449</v>
      </c>
      <c r="E1976" s="3626">
        <v>20268</v>
      </c>
      <c r="F1976" s="3626">
        <v>18204</v>
      </c>
    </row>
    <row r="1977" spans="1:6" ht="15.75">
      <c r="A1977" s="3021">
        <v>95650</v>
      </c>
      <c r="B1977" s="3021">
        <v>95700</v>
      </c>
      <c r="C1977" s="3981">
        <v>19826</v>
      </c>
      <c r="D1977" s="3626">
        <v>15461</v>
      </c>
      <c r="E1977" s="3626">
        <v>20282</v>
      </c>
      <c r="F1977" s="3626">
        <v>18216</v>
      </c>
    </row>
    <row r="1978" spans="1:6" ht="15.75">
      <c r="A1978" s="3021">
        <v>95700</v>
      </c>
      <c r="B1978" s="3021">
        <v>95750</v>
      </c>
      <c r="C1978" s="3981">
        <v>19840</v>
      </c>
      <c r="D1978" s="3626">
        <v>15474</v>
      </c>
      <c r="E1978" s="3626">
        <v>20296</v>
      </c>
      <c r="F1978" s="3626">
        <v>18229</v>
      </c>
    </row>
    <row r="1979" spans="1:6" ht="15.75">
      <c r="A1979" s="3021">
        <v>95750</v>
      </c>
      <c r="B1979" s="3021">
        <v>95800</v>
      </c>
      <c r="C1979" s="3981">
        <v>19854</v>
      </c>
      <c r="D1979" s="3626">
        <v>15486</v>
      </c>
      <c r="E1979" s="3626">
        <v>20310</v>
      </c>
      <c r="F1979" s="3626">
        <v>18241</v>
      </c>
    </row>
    <row r="1980" spans="1:6" ht="15.75">
      <c r="A1980" s="3021">
        <v>95800</v>
      </c>
      <c r="B1980" s="3021">
        <v>95850</v>
      </c>
      <c r="C1980" s="3981">
        <v>19868</v>
      </c>
      <c r="D1980" s="3626">
        <v>15499</v>
      </c>
      <c r="E1980" s="3626">
        <v>20324</v>
      </c>
      <c r="F1980" s="3626">
        <v>18254</v>
      </c>
    </row>
    <row r="1981" spans="1:6" ht="15.75">
      <c r="A1981" s="3021">
        <v>95850</v>
      </c>
      <c r="B1981" s="3021">
        <v>95900</v>
      </c>
      <c r="C1981" s="3981">
        <v>19882</v>
      </c>
      <c r="D1981" s="3626">
        <v>15511</v>
      </c>
      <c r="E1981" s="3626">
        <v>20338</v>
      </c>
      <c r="F1981" s="3626">
        <v>18266</v>
      </c>
    </row>
    <row r="1982" spans="1:6" ht="15.75">
      <c r="A1982" s="3021">
        <v>95900</v>
      </c>
      <c r="B1982" s="3021">
        <v>95950</v>
      </c>
      <c r="C1982" s="3981">
        <v>19896</v>
      </c>
      <c r="D1982" s="3626">
        <v>15524</v>
      </c>
      <c r="E1982" s="3626">
        <v>20352</v>
      </c>
      <c r="F1982" s="3626">
        <v>18279</v>
      </c>
    </row>
    <row r="1983" spans="1:6" ht="15.75">
      <c r="A1983" s="3021">
        <v>95950</v>
      </c>
      <c r="B1983" s="3021">
        <v>96000</v>
      </c>
      <c r="C1983" s="3981">
        <v>19910</v>
      </c>
      <c r="D1983" s="3626">
        <v>15536</v>
      </c>
      <c r="E1983" s="3626">
        <v>20366</v>
      </c>
      <c r="F1983" s="3626">
        <v>18291</v>
      </c>
    </row>
    <row r="1984" spans="1:6" ht="15.75">
      <c r="A1984" s="3021">
        <v>96000</v>
      </c>
      <c r="B1984" s="3021">
        <v>96050</v>
      </c>
      <c r="C1984" s="3981">
        <v>19924</v>
      </c>
      <c r="D1984" s="3626">
        <v>15549</v>
      </c>
      <c r="E1984" s="3626">
        <v>20380</v>
      </c>
      <c r="F1984" s="3626">
        <v>18304</v>
      </c>
    </row>
    <row r="1985" spans="1:6" ht="15.75">
      <c r="A1985" s="3021">
        <v>96050</v>
      </c>
      <c r="B1985" s="3021">
        <v>96100</v>
      </c>
      <c r="C1985" s="3981">
        <v>19938</v>
      </c>
      <c r="D1985" s="3626">
        <v>15561</v>
      </c>
      <c r="E1985" s="3626">
        <v>20394</v>
      </c>
      <c r="F1985" s="3626">
        <v>18316</v>
      </c>
    </row>
    <row r="1986" spans="1:6" ht="15.75">
      <c r="A1986" s="3021">
        <v>96100</v>
      </c>
      <c r="B1986" s="3021">
        <v>96150</v>
      </c>
      <c r="C1986" s="3981">
        <v>19952</v>
      </c>
      <c r="D1986" s="3626">
        <v>15574</v>
      </c>
      <c r="E1986" s="3626">
        <v>20408</v>
      </c>
      <c r="F1986" s="3626">
        <v>18329</v>
      </c>
    </row>
    <row r="1987" spans="1:6" ht="15.75">
      <c r="A1987" s="3021">
        <v>96150</v>
      </c>
      <c r="B1987" s="3021">
        <v>96200</v>
      </c>
      <c r="C1987" s="3981">
        <v>19966</v>
      </c>
      <c r="D1987" s="3626">
        <v>15586</v>
      </c>
      <c r="E1987" s="3626">
        <v>20422</v>
      </c>
      <c r="F1987" s="3626">
        <v>18341</v>
      </c>
    </row>
    <row r="1988" spans="1:6" ht="15.75">
      <c r="A1988" s="3021">
        <v>96200</v>
      </c>
      <c r="B1988" s="3021">
        <v>96250</v>
      </c>
      <c r="C1988" s="3981">
        <v>19980</v>
      </c>
      <c r="D1988" s="3626">
        <v>15599</v>
      </c>
      <c r="E1988" s="3626">
        <v>20436</v>
      </c>
      <c r="F1988" s="3626">
        <v>18354</v>
      </c>
    </row>
    <row r="1989" spans="1:6" ht="15.75">
      <c r="A1989" s="3021">
        <v>96250</v>
      </c>
      <c r="B1989" s="3021">
        <v>96300</v>
      </c>
      <c r="C1989" s="3981">
        <v>19994</v>
      </c>
      <c r="D1989" s="3626">
        <v>15611</v>
      </c>
      <c r="E1989" s="3626">
        <v>20450</v>
      </c>
      <c r="F1989" s="3626">
        <v>18366</v>
      </c>
    </row>
    <row r="1990" spans="1:6" ht="15.75">
      <c r="A1990" s="3021">
        <v>96300</v>
      </c>
      <c r="B1990" s="3021">
        <v>96350</v>
      </c>
      <c r="C1990" s="3981">
        <v>20008</v>
      </c>
      <c r="D1990" s="3626">
        <v>15624</v>
      </c>
      <c r="E1990" s="3626">
        <v>20464</v>
      </c>
      <c r="F1990" s="3626">
        <v>18379</v>
      </c>
    </row>
    <row r="1991" spans="1:6" ht="15.75">
      <c r="A1991" s="3021">
        <v>96350</v>
      </c>
      <c r="B1991" s="3021">
        <v>96400</v>
      </c>
      <c r="C1991" s="3981">
        <v>20022</v>
      </c>
      <c r="D1991" s="3626">
        <v>15636</v>
      </c>
      <c r="E1991" s="3626">
        <v>20478</v>
      </c>
      <c r="F1991" s="3626">
        <v>18391</v>
      </c>
    </row>
    <row r="1992" spans="1:6" ht="15.75">
      <c r="A1992" s="3021">
        <v>96400</v>
      </c>
      <c r="B1992" s="3021">
        <v>96450</v>
      </c>
      <c r="C1992" s="3981">
        <v>20036</v>
      </c>
      <c r="D1992" s="3626">
        <v>15649</v>
      </c>
      <c r="E1992" s="3626">
        <v>20492</v>
      </c>
      <c r="F1992" s="3626">
        <v>18404</v>
      </c>
    </row>
    <row r="1993" spans="1:6" ht="15.75">
      <c r="A1993" s="3021">
        <v>96450</v>
      </c>
      <c r="B1993" s="3021">
        <v>96500</v>
      </c>
      <c r="C1993" s="3981">
        <v>20050</v>
      </c>
      <c r="D1993" s="3626">
        <v>15661</v>
      </c>
      <c r="E1993" s="3626">
        <v>20506</v>
      </c>
      <c r="F1993" s="3626">
        <v>18416</v>
      </c>
    </row>
    <row r="1994" spans="1:6" ht="15.75">
      <c r="A1994" s="3021">
        <v>96500</v>
      </c>
      <c r="B1994" s="3021">
        <v>96550</v>
      </c>
      <c r="C1994" s="3981">
        <v>20064</v>
      </c>
      <c r="D1994" s="3626">
        <v>15674</v>
      </c>
      <c r="E1994" s="3626">
        <v>20520</v>
      </c>
      <c r="F1994" s="3626">
        <v>18429</v>
      </c>
    </row>
    <row r="1995" spans="1:6" ht="15.75">
      <c r="A1995" s="3021">
        <v>96550</v>
      </c>
      <c r="B1995" s="3021">
        <v>96600</v>
      </c>
      <c r="C1995" s="3981">
        <v>20078</v>
      </c>
      <c r="D1995" s="3626">
        <v>15686</v>
      </c>
      <c r="E1995" s="3626">
        <v>20534</v>
      </c>
      <c r="F1995" s="3626">
        <v>18441</v>
      </c>
    </row>
    <row r="1996" spans="1:6" ht="15.75">
      <c r="A1996" s="3021">
        <v>96600</v>
      </c>
      <c r="B1996" s="3021">
        <v>96650</v>
      </c>
      <c r="C1996" s="3981">
        <v>20092</v>
      </c>
      <c r="D1996" s="3626">
        <v>15699</v>
      </c>
      <c r="E1996" s="3626">
        <v>20548</v>
      </c>
      <c r="F1996" s="3626">
        <v>18454</v>
      </c>
    </row>
    <row r="1997" spans="1:6" ht="15.75">
      <c r="A1997" s="3021">
        <v>96650</v>
      </c>
      <c r="B1997" s="3021">
        <v>96700</v>
      </c>
      <c r="C1997" s="3981">
        <v>20106</v>
      </c>
      <c r="D1997" s="3626">
        <v>15711</v>
      </c>
      <c r="E1997" s="3626">
        <v>20562</v>
      </c>
      <c r="F1997" s="3626">
        <v>18466</v>
      </c>
    </row>
    <row r="1998" spans="1:6" ht="15.75">
      <c r="A1998" s="3021">
        <v>96700</v>
      </c>
      <c r="B1998" s="3021">
        <v>96750</v>
      </c>
      <c r="C1998" s="3981">
        <v>20120</v>
      </c>
      <c r="D1998" s="3626">
        <v>15724</v>
      </c>
      <c r="E1998" s="3626">
        <v>20576</v>
      </c>
      <c r="F1998" s="3626">
        <v>18479</v>
      </c>
    </row>
    <row r="1999" spans="1:6" ht="15.75">
      <c r="A1999" s="3021">
        <v>96750</v>
      </c>
      <c r="B1999" s="3021">
        <v>96800</v>
      </c>
      <c r="C1999" s="3981">
        <v>20134</v>
      </c>
      <c r="D1999" s="3626">
        <v>15736</v>
      </c>
      <c r="E1999" s="3626">
        <v>20590</v>
      </c>
      <c r="F1999" s="3626">
        <v>18491</v>
      </c>
    </row>
    <row r="2000" spans="1:6" ht="15.75">
      <c r="A2000" s="3021">
        <v>96800</v>
      </c>
      <c r="B2000" s="3021">
        <v>96850</v>
      </c>
      <c r="C2000" s="3981">
        <v>20148</v>
      </c>
      <c r="D2000" s="3626">
        <v>15749</v>
      </c>
      <c r="E2000" s="3626">
        <v>20604</v>
      </c>
      <c r="F2000" s="3626">
        <v>18504</v>
      </c>
    </row>
    <row r="2001" spans="1:6" ht="15.75">
      <c r="A2001" s="3021">
        <v>96850</v>
      </c>
      <c r="B2001" s="3021">
        <v>96900</v>
      </c>
      <c r="C2001" s="3981">
        <v>20162</v>
      </c>
      <c r="D2001" s="3626">
        <v>15761</v>
      </c>
      <c r="E2001" s="3626">
        <v>20618</v>
      </c>
      <c r="F2001" s="3626">
        <v>18516</v>
      </c>
    </row>
    <row r="2002" spans="1:6" ht="15.75">
      <c r="A2002" s="3021">
        <v>96900</v>
      </c>
      <c r="B2002" s="3021">
        <v>96950</v>
      </c>
      <c r="C2002" s="3981">
        <v>20176</v>
      </c>
      <c r="D2002" s="3626">
        <v>15774</v>
      </c>
      <c r="E2002" s="3626">
        <v>20632</v>
      </c>
      <c r="F2002" s="3626">
        <v>18529</v>
      </c>
    </row>
    <row r="2003" spans="1:6" ht="15.75">
      <c r="A2003" s="3021">
        <v>96950</v>
      </c>
      <c r="B2003" s="3021">
        <v>97000</v>
      </c>
      <c r="C2003" s="3981">
        <v>20190</v>
      </c>
      <c r="D2003" s="3626">
        <v>15786</v>
      </c>
      <c r="E2003" s="3626">
        <v>20646</v>
      </c>
      <c r="F2003" s="3626">
        <v>18541</v>
      </c>
    </row>
    <row r="2004" spans="1:6" ht="15.75">
      <c r="A2004" s="3021">
        <v>97000</v>
      </c>
      <c r="B2004" s="3021">
        <v>97050</v>
      </c>
      <c r="C2004" s="3981">
        <v>20204</v>
      </c>
      <c r="D2004" s="3626">
        <v>15799</v>
      </c>
      <c r="E2004" s="3626">
        <v>20660</v>
      </c>
      <c r="F2004" s="3626">
        <v>18554</v>
      </c>
    </row>
    <row r="2005" spans="1:6" ht="15.75">
      <c r="A2005" s="3021">
        <v>97050</v>
      </c>
      <c r="B2005" s="3021">
        <v>97100</v>
      </c>
      <c r="C2005" s="3981">
        <v>20218</v>
      </c>
      <c r="D2005" s="3626">
        <v>15811</v>
      </c>
      <c r="E2005" s="3626">
        <v>20674</v>
      </c>
      <c r="F2005" s="3626">
        <v>18566</v>
      </c>
    </row>
    <row r="2006" spans="1:6" ht="15.75">
      <c r="A2006" s="3021">
        <v>97100</v>
      </c>
      <c r="B2006" s="3021">
        <v>97150</v>
      </c>
      <c r="C2006" s="3981">
        <v>20232</v>
      </c>
      <c r="D2006" s="3626">
        <v>15824</v>
      </c>
      <c r="E2006" s="3626">
        <v>20688</v>
      </c>
      <c r="F2006" s="3626">
        <v>18579</v>
      </c>
    </row>
    <row r="2007" spans="1:6" ht="15.75">
      <c r="A2007" s="3021">
        <v>97150</v>
      </c>
      <c r="B2007" s="3021">
        <v>97200</v>
      </c>
      <c r="C2007" s="3981">
        <v>20246</v>
      </c>
      <c r="D2007" s="3626">
        <v>15836</v>
      </c>
      <c r="E2007" s="3626">
        <v>20702</v>
      </c>
      <c r="F2007" s="3626">
        <v>18591</v>
      </c>
    </row>
    <row r="2008" spans="1:6" ht="15.75">
      <c r="A2008" s="3021">
        <v>97200</v>
      </c>
      <c r="B2008" s="3021">
        <v>97250</v>
      </c>
      <c r="C2008" s="3981">
        <v>20260</v>
      </c>
      <c r="D2008" s="3626">
        <v>15849</v>
      </c>
      <c r="E2008" s="3626">
        <v>20716</v>
      </c>
      <c r="F2008" s="3626">
        <v>18604</v>
      </c>
    </row>
    <row r="2009" spans="1:6" ht="15.75">
      <c r="A2009" s="3021">
        <v>97250</v>
      </c>
      <c r="B2009" s="3021">
        <v>97300</v>
      </c>
      <c r="C2009" s="3981">
        <v>20274</v>
      </c>
      <c r="D2009" s="3626">
        <v>15861</v>
      </c>
      <c r="E2009" s="3626">
        <v>20730</v>
      </c>
      <c r="F2009" s="3626">
        <v>18616</v>
      </c>
    </row>
    <row r="2010" spans="1:6" ht="15.75">
      <c r="A2010" s="3021">
        <v>97300</v>
      </c>
      <c r="B2010" s="3021">
        <v>97350</v>
      </c>
      <c r="C2010" s="3981">
        <v>20288</v>
      </c>
      <c r="D2010" s="3626">
        <v>15874</v>
      </c>
      <c r="E2010" s="3626">
        <v>20744</v>
      </c>
      <c r="F2010" s="3626">
        <v>18629</v>
      </c>
    </row>
    <row r="2011" spans="1:6" ht="15.75">
      <c r="A2011" s="3021">
        <v>97350</v>
      </c>
      <c r="B2011" s="3021">
        <v>97400</v>
      </c>
      <c r="C2011" s="3981">
        <v>20302</v>
      </c>
      <c r="D2011" s="3626">
        <v>15886</v>
      </c>
      <c r="E2011" s="3626">
        <v>20758</v>
      </c>
      <c r="F2011" s="3626">
        <v>18641</v>
      </c>
    </row>
    <row r="2012" spans="1:6" ht="15.75">
      <c r="A2012" s="3021">
        <v>97400</v>
      </c>
      <c r="B2012" s="3021">
        <v>97450</v>
      </c>
      <c r="C2012" s="3981">
        <v>20316</v>
      </c>
      <c r="D2012" s="3626">
        <v>15899</v>
      </c>
      <c r="E2012" s="3626">
        <v>20772</v>
      </c>
      <c r="F2012" s="3626">
        <v>18654</v>
      </c>
    </row>
    <row r="2013" spans="1:6" ht="15.75">
      <c r="A2013" s="3021">
        <v>97450</v>
      </c>
      <c r="B2013" s="3021">
        <v>97500</v>
      </c>
      <c r="C2013" s="3981">
        <v>20330</v>
      </c>
      <c r="D2013" s="3626">
        <v>15911</v>
      </c>
      <c r="E2013" s="3626">
        <v>20786</v>
      </c>
      <c r="F2013" s="3626">
        <v>18666</v>
      </c>
    </row>
    <row r="2014" spans="1:6" ht="15.75">
      <c r="A2014" s="3021">
        <v>97500</v>
      </c>
      <c r="B2014" s="3021">
        <v>97550</v>
      </c>
      <c r="C2014" s="3981">
        <v>20344</v>
      </c>
      <c r="D2014" s="3626">
        <v>15924</v>
      </c>
      <c r="E2014" s="3626">
        <v>20800</v>
      </c>
      <c r="F2014" s="3626">
        <v>18679</v>
      </c>
    </row>
    <row r="2015" spans="1:6" ht="15.75">
      <c r="A2015" s="3021">
        <v>97550</v>
      </c>
      <c r="B2015" s="3021">
        <v>97600</v>
      </c>
      <c r="C2015" s="3981">
        <v>20358</v>
      </c>
      <c r="D2015" s="3626">
        <v>15936</v>
      </c>
      <c r="E2015" s="3626">
        <v>20814</v>
      </c>
      <c r="F2015" s="3626">
        <v>18691</v>
      </c>
    </row>
    <row r="2016" spans="1:6" ht="15.75">
      <c r="A2016" s="3021">
        <v>97600</v>
      </c>
      <c r="B2016" s="3021">
        <v>97650</v>
      </c>
      <c r="C2016" s="3981">
        <v>20372</v>
      </c>
      <c r="D2016" s="3626">
        <v>15949</v>
      </c>
      <c r="E2016" s="3626">
        <v>20828</v>
      </c>
      <c r="F2016" s="3626">
        <v>18704</v>
      </c>
    </row>
    <row r="2017" spans="1:6" ht="15.75">
      <c r="A2017" s="3021">
        <v>97650</v>
      </c>
      <c r="B2017" s="3021">
        <v>97700</v>
      </c>
      <c r="C2017" s="3981">
        <v>20386</v>
      </c>
      <c r="D2017" s="3626">
        <v>15961</v>
      </c>
      <c r="E2017" s="3626">
        <v>20842</v>
      </c>
      <c r="F2017" s="3626">
        <v>18716</v>
      </c>
    </row>
    <row r="2018" spans="1:6" ht="15.75">
      <c r="A2018" s="3021">
        <v>97700</v>
      </c>
      <c r="B2018" s="3021">
        <v>97750</v>
      </c>
      <c r="C2018" s="3981">
        <v>20400</v>
      </c>
      <c r="D2018" s="3626">
        <v>15974</v>
      </c>
      <c r="E2018" s="3626">
        <v>20856</v>
      </c>
      <c r="F2018" s="3626">
        <v>18729</v>
      </c>
    </row>
    <row r="2019" spans="1:6" ht="15.75">
      <c r="A2019" s="3021">
        <v>97750</v>
      </c>
      <c r="B2019" s="3021">
        <v>97800</v>
      </c>
      <c r="C2019" s="3981">
        <v>20414</v>
      </c>
      <c r="D2019" s="3626">
        <v>15986</v>
      </c>
      <c r="E2019" s="3626">
        <v>20870</v>
      </c>
      <c r="F2019" s="3626">
        <v>18741</v>
      </c>
    </row>
    <row r="2020" spans="1:6" ht="15.75">
      <c r="A2020" s="3021">
        <v>97800</v>
      </c>
      <c r="B2020" s="3021">
        <v>97850</v>
      </c>
      <c r="C2020" s="3981">
        <v>20428</v>
      </c>
      <c r="D2020" s="3626">
        <v>15999</v>
      </c>
      <c r="E2020" s="3626">
        <v>20884</v>
      </c>
      <c r="F2020" s="3626">
        <v>18754</v>
      </c>
    </row>
    <row r="2021" spans="1:6" ht="15.75">
      <c r="A2021" s="3021">
        <v>97850</v>
      </c>
      <c r="B2021" s="3021">
        <v>97900</v>
      </c>
      <c r="C2021" s="3981">
        <v>20442</v>
      </c>
      <c r="D2021" s="3626">
        <v>16011</v>
      </c>
      <c r="E2021" s="3626">
        <v>20898</v>
      </c>
      <c r="F2021" s="3626">
        <v>18766</v>
      </c>
    </row>
    <row r="2022" spans="1:6" ht="15.75">
      <c r="A2022" s="3021">
        <v>97900</v>
      </c>
      <c r="B2022" s="3021">
        <v>97950</v>
      </c>
      <c r="C2022" s="3981">
        <v>20456</v>
      </c>
      <c r="D2022" s="3626">
        <v>16024</v>
      </c>
      <c r="E2022" s="3626">
        <v>20912</v>
      </c>
      <c r="F2022" s="3626">
        <v>18779</v>
      </c>
    </row>
    <row r="2023" spans="1:6" ht="15.75">
      <c r="A2023" s="3021">
        <v>97950</v>
      </c>
      <c r="B2023" s="3021">
        <v>98000</v>
      </c>
      <c r="C2023" s="3981">
        <v>20470</v>
      </c>
      <c r="D2023" s="3626">
        <v>16036</v>
      </c>
      <c r="E2023" s="3626">
        <v>20926</v>
      </c>
      <c r="F2023" s="3626">
        <v>18791</v>
      </c>
    </row>
    <row r="2024" spans="1:6" ht="15.75">
      <c r="A2024" s="3021">
        <v>98000</v>
      </c>
      <c r="B2024" s="3021">
        <v>98050</v>
      </c>
      <c r="C2024" s="3981">
        <v>20484</v>
      </c>
      <c r="D2024" s="3626">
        <v>16049</v>
      </c>
      <c r="E2024" s="3626">
        <v>20940</v>
      </c>
      <c r="F2024" s="3626">
        <v>18804</v>
      </c>
    </row>
    <row r="2025" spans="1:6" ht="15.75">
      <c r="A2025" s="3021">
        <v>98050</v>
      </c>
      <c r="B2025" s="3021">
        <v>98100</v>
      </c>
      <c r="C2025" s="3981">
        <v>20498</v>
      </c>
      <c r="D2025" s="3626">
        <v>16061</v>
      </c>
      <c r="E2025" s="3626">
        <v>20954</v>
      </c>
      <c r="F2025" s="3626">
        <v>18816</v>
      </c>
    </row>
    <row r="2026" spans="1:6" ht="15.75">
      <c r="A2026" s="3021">
        <v>98100</v>
      </c>
      <c r="B2026" s="3021">
        <v>98150</v>
      </c>
      <c r="C2026" s="3981">
        <v>20512</v>
      </c>
      <c r="D2026" s="3626">
        <v>16074</v>
      </c>
      <c r="E2026" s="3626">
        <v>20968</v>
      </c>
      <c r="F2026" s="3626">
        <v>18829</v>
      </c>
    </row>
    <row r="2027" spans="1:6" ht="15.75">
      <c r="A2027" s="3021">
        <v>98150</v>
      </c>
      <c r="B2027" s="3021">
        <v>98200</v>
      </c>
      <c r="C2027" s="3981">
        <v>20526</v>
      </c>
      <c r="D2027" s="3626">
        <v>16086</v>
      </c>
      <c r="E2027" s="3626">
        <v>20982</v>
      </c>
      <c r="F2027" s="3626">
        <v>18841</v>
      </c>
    </row>
    <row r="2028" spans="1:6" ht="15.75">
      <c r="A2028" s="3021">
        <v>98200</v>
      </c>
      <c r="B2028" s="3021">
        <v>98250</v>
      </c>
      <c r="C2028" s="3981">
        <v>20540</v>
      </c>
      <c r="D2028" s="3626">
        <v>16099</v>
      </c>
      <c r="E2028" s="3626">
        <v>20996</v>
      </c>
      <c r="F2028" s="3626">
        <v>18854</v>
      </c>
    </row>
    <row r="2029" spans="1:6" ht="15.75">
      <c r="A2029" s="3021">
        <v>98250</v>
      </c>
      <c r="B2029" s="3021">
        <v>98300</v>
      </c>
      <c r="C2029" s="3981">
        <v>20554</v>
      </c>
      <c r="D2029" s="3626">
        <v>16111</v>
      </c>
      <c r="E2029" s="3626">
        <v>21010</v>
      </c>
      <c r="F2029" s="3626">
        <v>18866</v>
      </c>
    </row>
    <row r="2030" spans="1:6" ht="15.75">
      <c r="A2030" s="3021">
        <v>98300</v>
      </c>
      <c r="B2030" s="3021">
        <v>98350</v>
      </c>
      <c r="C2030" s="3981">
        <v>20568</v>
      </c>
      <c r="D2030" s="3626">
        <v>16124</v>
      </c>
      <c r="E2030" s="3626">
        <v>21024</v>
      </c>
      <c r="F2030" s="3626">
        <v>18879</v>
      </c>
    </row>
    <row r="2031" spans="1:6" ht="15.75">
      <c r="A2031" s="3021">
        <v>98350</v>
      </c>
      <c r="B2031" s="3021">
        <v>98400</v>
      </c>
      <c r="C2031" s="3981">
        <v>20582</v>
      </c>
      <c r="D2031" s="3626">
        <v>16136</v>
      </c>
      <c r="E2031" s="3626">
        <v>21038</v>
      </c>
      <c r="F2031" s="3626">
        <v>18891</v>
      </c>
    </row>
    <row r="2032" spans="1:6" ht="15.75">
      <c r="A2032" s="3021">
        <v>98400</v>
      </c>
      <c r="B2032" s="3021">
        <v>98450</v>
      </c>
      <c r="C2032" s="3981">
        <v>20596</v>
      </c>
      <c r="D2032" s="3626">
        <v>16149</v>
      </c>
      <c r="E2032" s="3626">
        <v>21052</v>
      </c>
      <c r="F2032" s="3626">
        <v>18904</v>
      </c>
    </row>
    <row r="2033" spans="1:6" ht="15.75">
      <c r="A2033" s="3021">
        <v>98450</v>
      </c>
      <c r="B2033" s="3021">
        <v>98500</v>
      </c>
      <c r="C2033" s="3981">
        <v>20610</v>
      </c>
      <c r="D2033" s="3626">
        <v>16161</v>
      </c>
      <c r="E2033" s="3626">
        <v>21066</v>
      </c>
      <c r="F2033" s="3626">
        <v>18916</v>
      </c>
    </row>
    <row r="2034" spans="1:6" ht="15.75">
      <c r="A2034" s="3021">
        <v>98500</v>
      </c>
      <c r="B2034" s="3021">
        <v>98550</v>
      </c>
      <c r="C2034" s="3981">
        <v>20624</v>
      </c>
      <c r="D2034" s="3626">
        <v>16174</v>
      </c>
      <c r="E2034" s="3626">
        <v>21080</v>
      </c>
      <c r="F2034" s="3626">
        <v>18929</v>
      </c>
    </row>
    <row r="2035" spans="1:6" ht="15.75">
      <c r="A2035" s="3021">
        <v>98550</v>
      </c>
      <c r="B2035" s="3021">
        <v>98600</v>
      </c>
      <c r="C2035" s="3981">
        <v>20638</v>
      </c>
      <c r="D2035" s="3626">
        <v>16186</v>
      </c>
      <c r="E2035" s="3626">
        <v>21094</v>
      </c>
      <c r="F2035" s="3626">
        <v>18941</v>
      </c>
    </row>
    <row r="2036" spans="1:6" ht="15.75">
      <c r="A2036" s="3021">
        <v>98600</v>
      </c>
      <c r="B2036" s="3021">
        <v>98650</v>
      </c>
      <c r="C2036" s="3981">
        <v>20652</v>
      </c>
      <c r="D2036" s="3626">
        <v>16199</v>
      </c>
      <c r="E2036" s="3626">
        <v>21108</v>
      </c>
      <c r="F2036" s="3626">
        <v>18954</v>
      </c>
    </row>
    <row r="2037" spans="1:6" ht="15.75">
      <c r="A2037" s="3021">
        <v>98650</v>
      </c>
      <c r="B2037" s="3021">
        <v>98700</v>
      </c>
      <c r="C2037" s="3981">
        <v>20666</v>
      </c>
      <c r="D2037" s="3626">
        <v>16211</v>
      </c>
      <c r="E2037" s="3626">
        <v>21122</v>
      </c>
      <c r="F2037" s="3626">
        <v>18966</v>
      </c>
    </row>
    <row r="2038" spans="1:6" ht="15.75">
      <c r="A2038" s="3021">
        <v>98700</v>
      </c>
      <c r="B2038" s="3021">
        <v>98750</v>
      </c>
      <c r="C2038" s="3981">
        <v>20680</v>
      </c>
      <c r="D2038" s="3626">
        <v>16224</v>
      </c>
      <c r="E2038" s="3626">
        <v>21136</v>
      </c>
      <c r="F2038" s="3626">
        <v>18979</v>
      </c>
    </row>
    <row r="2039" spans="1:6" ht="15.75">
      <c r="A2039" s="3021">
        <v>98750</v>
      </c>
      <c r="B2039" s="3021">
        <v>98800</v>
      </c>
      <c r="C2039" s="3981">
        <v>20694</v>
      </c>
      <c r="D2039" s="3626">
        <v>16236</v>
      </c>
      <c r="E2039" s="3626">
        <v>21150</v>
      </c>
      <c r="F2039" s="3626">
        <v>18991</v>
      </c>
    </row>
    <row r="2040" spans="1:6" ht="15.75">
      <c r="A2040" s="3021">
        <v>98800</v>
      </c>
      <c r="B2040" s="3021">
        <v>98850</v>
      </c>
      <c r="C2040" s="3981">
        <v>20708</v>
      </c>
      <c r="D2040" s="3626">
        <v>16249</v>
      </c>
      <c r="E2040" s="3626">
        <v>21164</v>
      </c>
      <c r="F2040" s="3626">
        <v>19004</v>
      </c>
    </row>
    <row r="2041" spans="1:6" ht="15.75">
      <c r="A2041" s="3021">
        <v>98850</v>
      </c>
      <c r="B2041" s="3021">
        <v>98900</v>
      </c>
      <c r="C2041" s="3981">
        <v>20722</v>
      </c>
      <c r="D2041" s="3626">
        <v>16261</v>
      </c>
      <c r="E2041" s="3626">
        <v>21178</v>
      </c>
      <c r="F2041" s="3626">
        <v>19016</v>
      </c>
    </row>
    <row r="2042" spans="1:6" ht="15.75">
      <c r="A2042" s="3021">
        <v>98900</v>
      </c>
      <c r="B2042" s="3021">
        <v>98950</v>
      </c>
      <c r="C2042" s="3981">
        <v>20736</v>
      </c>
      <c r="D2042" s="3626">
        <v>16274</v>
      </c>
      <c r="E2042" s="3626">
        <v>21192</v>
      </c>
      <c r="F2042" s="3626">
        <v>19029</v>
      </c>
    </row>
    <row r="2043" spans="1:6" ht="15.75">
      <c r="A2043" s="3021">
        <v>98950</v>
      </c>
      <c r="B2043" s="3021">
        <v>99000</v>
      </c>
      <c r="C2043" s="3981">
        <v>20750</v>
      </c>
      <c r="D2043" s="3626">
        <v>16286</v>
      </c>
      <c r="E2043" s="3626">
        <v>21206</v>
      </c>
      <c r="F2043" s="3626">
        <v>19041</v>
      </c>
    </row>
    <row r="2044" spans="1:6" ht="15.75">
      <c r="A2044" s="3021">
        <v>99000</v>
      </c>
      <c r="B2044" s="3021">
        <v>99050</v>
      </c>
      <c r="C2044" s="3981">
        <v>20764</v>
      </c>
      <c r="D2044" s="3626">
        <v>16299</v>
      </c>
      <c r="E2044" s="3626">
        <v>21220</v>
      </c>
      <c r="F2044" s="3626">
        <v>19054</v>
      </c>
    </row>
    <row r="2045" spans="1:6" ht="15.75">
      <c r="A2045" s="3021">
        <v>99050</v>
      </c>
      <c r="B2045" s="3021">
        <v>99100</v>
      </c>
      <c r="C2045" s="3981">
        <v>20778</v>
      </c>
      <c r="D2045" s="3626">
        <v>16311</v>
      </c>
      <c r="E2045" s="3626">
        <v>21234</v>
      </c>
      <c r="F2045" s="3626">
        <v>19066</v>
      </c>
    </row>
    <row r="2046" spans="1:6" ht="15.75">
      <c r="A2046" s="3021">
        <v>99100</v>
      </c>
      <c r="B2046" s="3021">
        <v>99150</v>
      </c>
      <c r="C2046" s="3981">
        <v>20792</v>
      </c>
      <c r="D2046" s="3626">
        <v>16324</v>
      </c>
      <c r="E2046" s="3626">
        <v>21248</v>
      </c>
      <c r="F2046" s="3626">
        <v>19079</v>
      </c>
    </row>
    <row r="2047" spans="1:6" ht="15.75">
      <c r="A2047" s="3021">
        <v>99150</v>
      </c>
      <c r="B2047" s="3021">
        <v>99200</v>
      </c>
      <c r="C2047" s="3981">
        <v>20806</v>
      </c>
      <c r="D2047" s="3626">
        <v>16336</v>
      </c>
      <c r="E2047" s="3626">
        <v>21262</v>
      </c>
      <c r="F2047" s="3626">
        <v>19091</v>
      </c>
    </row>
    <row r="2048" spans="1:6" ht="15.75">
      <c r="A2048" s="3021">
        <v>99200</v>
      </c>
      <c r="B2048" s="3021">
        <v>99250</v>
      </c>
      <c r="C2048" s="3981">
        <v>20820</v>
      </c>
      <c r="D2048" s="3626">
        <v>16349</v>
      </c>
      <c r="E2048" s="3626">
        <v>21276</v>
      </c>
      <c r="F2048" s="3626">
        <v>19104</v>
      </c>
    </row>
    <row r="2049" spans="1:6" ht="15.75">
      <c r="A2049" s="3021">
        <v>99250</v>
      </c>
      <c r="B2049" s="3021">
        <v>99300</v>
      </c>
      <c r="C2049" s="3981">
        <v>20834</v>
      </c>
      <c r="D2049" s="3626">
        <v>16361</v>
      </c>
      <c r="E2049" s="3626">
        <v>21290</v>
      </c>
      <c r="F2049" s="3626">
        <v>19116</v>
      </c>
    </row>
    <row r="2050" spans="1:6" ht="15.75">
      <c r="A2050" s="3021">
        <v>99300</v>
      </c>
      <c r="B2050" s="3021">
        <v>99350</v>
      </c>
      <c r="C2050" s="3981">
        <v>20848</v>
      </c>
      <c r="D2050" s="3626">
        <v>16374</v>
      </c>
      <c r="E2050" s="3626">
        <v>21304</v>
      </c>
      <c r="F2050" s="3626">
        <v>19129</v>
      </c>
    </row>
    <row r="2051" spans="1:6" ht="15.75">
      <c r="A2051" s="3021">
        <v>99350</v>
      </c>
      <c r="B2051" s="3021">
        <v>99400</v>
      </c>
      <c r="C2051" s="3981">
        <v>20862</v>
      </c>
      <c r="D2051" s="3626">
        <v>16386</v>
      </c>
      <c r="E2051" s="3626">
        <v>21318</v>
      </c>
      <c r="F2051" s="3626">
        <v>19141</v>
      </c>
    </row>
    <row r="2052" spans="1:6" ht="15.75">
      <c r="A2052" s="3021">
        <v>99400</v>
      </c>
      <c r="B2052" s="3021">
        <v>99450</v>
      </c>
      <c r="C2052" s="3981">
        <v>20876</v>
      </c>
      <c r="D2052" s="3626">
        <v>16399</v>
      </c>
      <c r="E2052" s="3626">
        <v>21332</v>
      </c>
      <c r="F2052" s="3626">
        <v>19154</v>
      </c>
    </row>
    <row r="2053" spans="1:6" ht="15.75">
      <c r="A2053" s="3021">
        <v>99450</v>
      </c>
      <c r="B2053" s="3021">
        <v>99500</v>
      </c>
      <c r="C2053" s="3981">
        <v>20890</v>
      </c>
      <c r="D2053" s="3626">
        <v>16411</v>
      </c>
      <c r="E2053" s="3626">
        <v>21346</v>
      </c>
      <c r="F2053" s="3626">
        <v>19166</v>
      </c>
    </row>
    <row r="2054" spans="1:6" ht="15.75">
      <c r="A2054" s="3021">
        <v>99500</v>
      </c>
      <c r="B2054" s="3021">
        <v>99550</v>
      </c>
      <c r="C2054" s="3981">
        <v>20904</v>
      </c>
      <c r="D2054" s="3626">
        <v>16424</v>
      </c>
      <c r="E2054" s="3626">
        <v>21360</v>
      </c>
      <c r="F2054" s="3626">
        <v>19179</v>
      </c>
    </row>
    <row r="2055" spans="1:6" ht="15.75">
      <c r="A2055" s="3021">
        <v>99550</v>
      </c>
      <c r="B2055" s="3021">
        <v>99600</v>
      </c>
      <c r="C2055" s="3981">
        <v>20918</v>
      </c>
      <c r="D2055" s="3626">
        <v>16436</v>
      </c>
      <c r="E2055" s="3626">
        <v>21374</v>
      </c>
      <c r="F2055" s="3626">
        <v>19191</v>
      </c>
    </row>
    <row r="2056" spans="1:6" ht="15.75">
      <c r="A2056" s="3021">
        <v>99600</v>
      </c>
      <c r="B2056" s="3021">
        <v>99650</v>
      </c>
      <c r="C2056" s="3981">
        <v>20932</v>
      </c>
      <c r="D2056" s="3626">
        <v>16449</v>
      </c>
      <c r="E2056" s="3626">
        <v>21388</v>
      </c>
      <c r="F2056" s="3626">
        <v>19204</v>
      </c>
    </row>
    <row r="2057" spans="1:6" ht="15.75">
      <c r="A2057" s="3021">
        <v>99650</v>
      </c>
      <c r="B2057" s="3021">
        <v>99700</v>
      </c>
      <c r="C2057" s="3981">
        <v>20946</v>
      </c>
      <c r="D2057" s="3626">
        <v>16461</v>
      </c>
      <c r="E2057" s="3626">
        <v>21402</v>
      </c>
      <c r="F2057" s="3626">
        <v>19216</v>
      </c>
    </row>
    <row r="2058" spans="1:6" ht="15.75">
      <c r="A2058" s="3021">
        <v>99700</v>
      </c>
      <c r="B2058" s="3021">
        <v>99750</v>
      </c>
      <c r="C2058" s="3981">
        <v>20960</v>
      </c>
      <c r="D2058" s="3626">
        <v>16474</v>
      </c>
      <c r="E2058" s="3626">
        <v>21416</v>
      </c>
      <c r="F2058" s="3626">
        <v>19229</v>
      </c>
    </row>
    <row r="2059" spans="1:6" ht="15.75">
      <c r="A2059" s="3021">
        <v>99750</v>
      </c>
      <c r="B2059" s="3021">
        <v>99800</v>
      </c>
      <c r="C2059" s="3981">
        <v>20974</v>
      </c>
      <c r="D2059" s="3626">
        <v>16486</v>
      </c>
      <c r="E2059" s="3626">
        <v>21430</v>
      </c>
      <c r="F2059" s="3626">
        <v>19241</v>
      </c>
    </row>
    <row r="2060" spans="1:6" ht="15.75">
      <c r="A2060" s="3021">
        <v>99800</v>
      </c>
      <c r="B2060" s="3021">
        <v>99850</v>
      </c>
      <c r="C2060" s="3981">
        <v>20988</v>
      </c>
      <c r="D2060" s="3626">
        <v>16499</v>
      </c>
      <c r="E2060" s="3626">
        <v>21444</v>
      </c>
      <c r="F2060" s="3626">
        <v>19254</v>
      </c>
    </row>
    <row r="2061" spans="1:6" ht="15.75">
      <c r="A2061" s="3021">
        <v>99850</v>
      </c>
      <c r="B2061" s="3021">
        <v>99900</v>
      </c>
      <c r="C2061" s="3981">
        <v>21002</v>
      </c>
      <c r="D2061" s="3626">
        <v>16511</v>
      </c>
      <c r="E2061" s="3626">
        <v>21458</v>
      </c>
      <c r="F2061" s="3626">
        <v>19266</v>
      </c>
    </row>
    <row r="2062" spans="1:6" ht="15.75">
      <c r="A2062" s="3021">
        <v>99900</v>
      </c>
      <c r="B2062" s="3021">
        <v>99950</v>
      </c>
      <c r="C2062" s="3981">
        <v>21016</v>
      </c>
      <c r="D2062" s="3626">
        <v>16524</v>
      </c>
      <c r="E2062" s="3626">
        <v>21472</v>
      </c>
      <c r="F2062" s="3626">
        <v>19279</v>
      </c>
    </row>
    <row r="2063" spans="1:6" ht="15.75">
      <c r="A2063" s="3021">
        <v>99950</v>
      </c>
      <c r="B2063" s="3021">
        <v>100000</v>
      </c>
      <c r="C2063" s="3981">
        <v>21030</v>
      </c>
      <c r="D2063" s="3626">
        <v>16536</v>
      </c>
      <c r="E2063" s="3626">
        <v>21486</v>
      </c>
      <c r="F2063" s="3626">
        <v>19291</v>
      </c>
    </row>
    <row r="2064" spans="1:6">
      <c r="A2064" s="3019"/>
      <c r="B2064" s="3627"/>
      <c r="C2064" s="3628"/>
      <c r="D2064" s="3628"/>
      <c r="E2064" s="3628"/>
      <c r="F2064" s="3628"/>
    </row>
  </sheetData>
  <sheetProtection password="F07E" sheet="1" objects="1" scenarios="1"/>
  <phoneticPr fontId="12" type="noConversion"/>
  <pageMargins left="0.75" right="0.75" top="0.43" bottom="0.57999999999999996" header="0.37" footer="0.5"/>
  <pageSetup orientation="portrait" horizontalDpi="4294967292" r:id="rId1"/>
  <headerFooter alignWithMargins="0"/>
  <rowBreaks count="51" manualBreakCount="51">
    <brk id="43" max="5" man="1"/>
    <brk id="83" max="5" man="1"/>
    <brk id="123" max="5" man="1"/>
    <brk id="163" max="5" man="1"/>
    <brk id="203" max="5" man="1"/>
    <brk id="243" max="5" man="1"/>
    <brk id="283" max="5" man="1"/>
    <brk id="323" max="5" man="1"/>
    <brk id="363" max="5" man="1"/>
    <brk id="403" max="5" man="1"/>
    <brk id="443" max="5" man="1"/>
    <brk id="483" max="5" man="1"/>
    <brk id="523" max="5" man="1"/>
    <brk id="563" max="5" man="1"/>
    <brk id="603" max="5" man="1"/>
    <brk id="643" max="5" man="1"/>
    <brk id="683" max="5" man="1"/>
    <brk id="723" max="5" man="1"/>
    <brk id="763" max="5" man="1"/>
    <brk id="803" max="5" man="1"/>
    <brk id="843" max="5" man="1"/>
    <brk id="883" max="5" man="1"/>
    <brk id="923" max="5" man="1"/>
    <brk id="963" max="5" man="1"/>
    <brk id="1003" max="5" man="1"/>
    <brk id="1043" max="5" man="1"/>
    <brk id="1083" max="5" man="1"/>
    <brk id="1123" max="5" man="1"/>
    <brk id="1163" max="5" man="1"/>
    <brk id="1203" max="5" man="1"/>
    <brk id="1243" max="5" man="1"/>
    <brk id="1283" max="5" man="1"/>
    <brk id="1323" max="5" man="1"/>
    <brk id="1363" max="5" man="1"/>
    <brk id="1403" max="5" man="1"/>
    <brk id="1443" max="5" man="1"/>
    <brk id="1483" max="5" man="1"/>
    <brk id="1523" max="5" man="1"/>
    <brk id="1563" max="5" man="1"/>
    <brk id="1603" max="5" man="1"/>
    <brk id="1643" max="5" man="1"/>
    <brk id="1683" max="5" man="1"/>
    <brk id="1723" max="5" man="1"/>
    <brk id="1763" max="5" man="1"/>
    <brk id="1803" max="5" man="1"/>
    <brk id="1843" max="5" man="1"/>
    <brk id="1883" max="5" man="1"/>
    <brk id="1923" max="5" man="1"/>
    <brk id="1963" max="5" man="1"/>
    <brk id="2003" max="5" man="1"/>
    <brk id="2043" max="5"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31" workbookViewId="0">
      <selection activeCell="A56" sqref="A56"/>
    </sheetView>
  </sheetViews>
  <sheetFormatPr defaultColWidth="9.140625" defaultRowHeight="12.75"/>
  <cols>
    <col min="1" max="1" width="24.28515625" style="3687" customWidth="1"/>
    <col min="2" max="2" width="18" style="2912" customWidth="1"/>
    <col min="3" max="3" width="76.42578125" style="2911" customWidth="1"/>
    <col min="4" max="4" width="30.7109375" style="2911" customWidth="1"/>
    <col min="5" max="16384" width="9.140625" style="2911"/>
  </cols>
  <sheetData>
    <row r="1" spans="1:4" s="3109" customFormat="1" ht="15" customHeight="1" thickBot="1">
      <c r="A1" s="3686" t="s">
        <v>3133</v>
      </c>
      <c r="B1" s="2913" t="s">
        <v>319</v>
      </c>
      <c r="C1" s="2914" t="s">
        <v>320</v>
      </c>
      <c r="D1" s="2915" t="s">
        <v>366</v>
      </c>
    </row>
    <row r="2" spans="1:4">
      <c r="A2" s="3687">
        <v>42735.416666666664</v>
      </c>
      <c r="B2" s="3000" t="s">
        <v>3163</v>
      </c>
      <c r="C2" s="3001" t="s">
        <v>3351</v>
      </c>
    </row>
    <row r="3" spans="1:4" ht="25.5">
      <c r="A3" s="3687">
        <v>42370.400694444441</v>
      </c>
      <c r="B3" s="3000" t="s">
        <v>3358</v>
      </c>
      <c r="C3" s="3001" t="s">
        <v>3359</v>
      </c>
    </row>
    <row r="4" spans="1:4">
      <c r="A4" s="3687">
        <v>42370.400694444441</v>
      </c>
      <c r="B4" s="3000" t="s">
        <v>3360</v>
      </c>
      <c r="C4" s="3001" t="s">
        <v>3373</v>
      </c>
    </row>
    <row r="5" spans="1:4" ht="42.75" customHeight="1">
      <c r="A5" s="3687">
        <v>42370.805555555555</v>
      </c>
      <c r="B5" s="3000" t="s">
        <v>3371</v>
      </c>
      <c r="C5" s="3001" t="s">
        <v>3372</v>
      </c>
    </row>
    <row r="6" spans="1:4" ht="38.25">
      <c r="A6" s="3687">
        <v>42737.385416666664</v>
      </c>
      <c r="B6" s="3000" t="s">
        <v>3377</v>
      </c>
      <c r="C6" s="3001" t="s">
        <v>3378</v>
      </c>
    </row>
    <row r="7" spans="1:4">
      <c r="A7" s="3687">
        <v>42738.496527777781</v>
      </c>
      <c r="B7" s="2912">
        <v>1040</v>
      </c>
      <c r="C7" s="3001" t="s">
        <v>3379</v>
      </c>
    </row>
    <row r="8" spans="1:4">
      <c r="A8" s="3687">
        <v>42739.684027777781</v>
      </c>
      <c r="B8" s="2912">
        <v>6251</v>
      </c>
      <c r="C8" s="2911" t="s">
        <v>3380</v>
      </c>
    </row>
    <row r="9" spans="1:4" ht="25.5">
      <c r="A9" s="3687">
        <v>42743.588888888888</v>
      </c>
      <c r="B9" s="2912">
        <v>8960</v>
      </c>
      <c r="C9" s="3001" t="s">
        <v>3383</v>
      </c>
    </row>
    <row r="10" spans="1:4">
      <c r="A10" s="3687">
        <v>42748.375</v>
      </c>
      <c r="B10" s="3000" t="s">
        <v>3384</v>
      </c>
      <c r="C10" s="3001" t="s">
        <v>3385</v>
      </c>
    </row>
    <row r="11" spans="1:4" ht="25.5">
      <c r="A11" s="3687">
        <v>42748.375</v>
      </c>
      <c r="B11" s="3000" t="s">
        <v>3387</v>
      </c>
      <c r="C11" s="3001" t="s">
        <v>3388</v>
      </c>
    </row>
    <row r="12" spans="1:4" ht="38.25">
      <c r="A12" s="3687">
        <v>42748.979166666664</v>
      </c>
      <c r="B12" s="3000" t="s">
        <v>3384</v>
      </c>
      <c r="C12" s="3001" t="s">
        <v>3389</v>
      </c>
    </row>
    <row r="13" spans="1:4" ht="25.5">
      <c r="A13" s="3687">
        <v>42751.229166666664</v>
      </c>
      <c r="B13" s="3000" t="s">
        <v>3390</v>
      </c>
      <c r="C13" s="3001" t="s">
        <v>3391</v>
      </c>
    </row>
    <row r="14" spans="1:4" ht="25.5">
      <c r="A14" s="3687">
        <v>42754.875</v>
      </c>
      <c r="B14" s="3000" t="s">
        <v>3387</v>
      </c>
      <c r="C14" s="3001" t="s">
        <v>3392</v>
      </c>
    </row>
    <row r="15" spans="1:4" ht="25.5">
      <c r="A15" s="3687">
        <v>42756.46875</v>
      </c>
      <c r="B15" s="3000" t="s">
        <v>3399</v>
      </c>
      <c r="C15" s="3001" t="s">
        <v>3400</v>
      </c>
    </row>
    <row r="16" spans="1:4">
      <c r="A16" s="3687">
        <v>42756.625</v>
      </c>
      <c r="B16" s="3000" t="s">
        <v>3387</v>
      </c>
      <c r="C16" s="2911" t="s">
        <v>3402</v>
      </c>
    </row>
    <row r="17" spans="1:3" s="4181" customFormat="1" ht="25.5">
      <c r="A17" s="3687">
        <v>42756.652777777781</v>
      </c>
      <c r="B17" s="3000" t="s">
        <v>3387</v>
      </c>
      <c r="C17" s="3001" t="s">
        <v>3403</v>
      </c>
    </row>
    <row r="18" spans="1:3" ht="25.5">
      <c r="A18" s="4182">
        <v>42756.885416666664</v>
      </c>
      <c r="B18" s="3000" t="s">
        <v>3360</v>
      </c>
      <c r="C18" s="3001" t="s">
        <v>3404</v>
      </c>
    </row>
    <row r="19" spans="1:3" ht="25.5">
      <c r="A19" s="4182">
        <v>42757.784722222219</v>
      </c>
      <c r="B19" s="3000" t="s">
        <v>3399</v>
      </c>
      <c r="C19" s="3001" t="s">
        <v>3405</v>
      </c>
    </row>
    <row r="20" spans="1:3">
      <c r="A20" s="3687">
        <v>42762.479166666664</v>
      </c>
      <c r="B20" s="2912">
        <v>1040</v>
      </c>
      <c r="C20" s="3001" t="s">
        <v>3406</v>
      </c>
    </row>
    <row r="21" spans="1:3" ht="25.5">
      <c r="A21" s="3687">
        <v>42764.09375</v>
      </c>
      <c r="B21" s="2912">
        <v>8962</v>
      </c>
      <c r="C21" s="3001" t="s">
        <v>3407</v>
      </c>
    </row>
    <row r="22" spans="1:3">
      <c r="A22" s="3687">
        <v>42764.364583333336</v>
      </c>
      <c r="B22" s="2912">
        <v>6251</v>
      </c>
      <c r="C22" s="3001" t="s">
        <v>3408</v>
      </c>
    </row>
    <row r="23" spans="1:3" ht="25.5">
      <c r="A23" s="3687">
        <v>42764.625</v>
      </c>
      <c r="B23" s="2912">
        <v>6251</v>
      </c>
      <c r="C23" s="3001" t="s">
        <v>3409</v>
      </c>
    </row>
    <row r="24" spans="1:3" ht="25.5">
      <c r="A24" s="3687">
        <v>42770.760416666664</v>
      </c>
      <c r="B24" s="3000" t="s">
        <v>3387</v>
      </c>
      <c r="C24" s="3001" t="s">
        <v>3410</v>
      </c>
    </row>
    <row r="25" spans="1:3" ht="25.5">
      <c r="A25" s="3687">
        <v>42772.211805555555</v>
      </c>
      <c r="B25" s="3000">
        <v>2555</v>
      </c>
      <c r="C25" s="3001" t="s">
        <v>3411</v>
      </c>
    </row>
    <row r="26" spans="1:3">
      <c r="A26" s="3687">
        <v>42781.020833333336</v>
      </c>
      <c r="B26" s="3000" t="s">
        <v>3360</v>
      </c>
      <c r="C26" s="3001" t="s">
        <v>3416</v>
      </c>
    </row>
    <row r="27" spans="1:3" ht="25.5">
      <c r="A27" s="3687">
        <v>42781.340277777781</v>
      </c>
      <c r="B27" s="2912">
        <v>8960</v>
      </c>
      <c r="C27" s="3001" t="s">
        <v>3418</v>
      </c>
    </row>
    <row r="28" spans="1:3" ht="25.5">
      <c r="A28" s="3687">
        <v>42781.5625</v>
      </c>
      <c r="B28" s="2912" t="s">
        <v>3384</v>
      </c>
      <c r="C28" s="2911" t="s">
        <v>3419</v>
      </c>
    </row>
    <row r="29" spans="1:3" ht="25.5">
      <c r="A29" s="3687">
        <v>42786.75</v>
      </c>
      <c r="B29" s="3000" t="s">
        <v>3422</v>
      </c>
      <c r="C29" s="3001" t="s">
        <v>3423</v>
      </c>
    </row>
    <row r="30" spans="1:3" ht="25.5">
      <c r="A30" s="3687">
        <v>42789.204861111109</v>
      </c>
      <c r="B30" s="3000" t="s">
        <v>3424</v>
      </c>
      <c r="C30" s="3001" t="s">
        <v>3425</v>
      </c>
    </row>
    <row r="31" spans="1:3" s="4196" customFormat="1" ht="25.5">
      <c r="A31" s="3687">
        <v>42789.204861111109</v>
      </c>
      <c r="B31" s="3000">
        <v>1040</v>
      </c>
      <c r="C31" s="3001" t="s">
        <v>3428</v>
      </c>
    </row>
    <row r="32" spans="1:3" ht="25.5">
      <c r="A32" s="3687">
        <v>42801.875</v>
      </c>
      <c r="B32" s="3000" t="s">
        <v>3429</v>
      </c>
      <c r="C32" s="3001" t="s">
        <v>3430</v>
      </c>
    </row>
    <row r="33" spans="1:3" ht="38.25">
      <c r="A33" s="3687">
        <v>42828.166666666664</v>
      </c>
      <c r="B33" s="2912">
        <v>6251</v>
      </c>
      <c r="C33" s="3001" t="s">
        <v>3760</v>
      </c>
    </row>
    <row r="34" spans="1:3" ht="25.5">
      <c r="A34" s="3687">
        <v>42828.166666666664</v>
      </c>
      <c r="B34" s="2912">
        <v>2441</v>
      </c>
      <c r="C34" s="3001" t="s">
        <v>3761</v>
      </c>
    </row>
    <row r="35" spans="1:3" s="4512" customFormat="1" ht="25.5">
      <c r="A35" s="3687">
        <v>42828.413194444445</v>
      </c>
      <c r="B35" s="2912">
        <v>1040</v>
      </c>
      <c r="C35" s="3001" t="s">
        <v>3792</v>
      </c>
    </row>
    <row r="36" spans="1:3" s="4508" customFormat="1">
      <c r="A36" s="4506">
        <v>42834.6875</v>
      </c>
      <c r="B36" s="4507">
        <v>2210</v>
      </c>
      <c r="C36" s="4508" t="s">
        <v>3793</v>
      </c>
    </row>
    <row r="37" spans="1:3" ht="25.5">
      <c r="A37" s="3687">
        <v>42835.739583333336</v>
      </c>
      <c r="B37" s="2912">
        <v>2210</v>
      </c>
      <c r="C37" s="3001" t="s">
        <v>3783</v>
      </c>
    </row>
    <row r="38" spans="1:3">
      <c r="A38" s="3687">
        <v>42836.75</v>
      </c>
      <c r="B38" s="2912">
        <v>2210</v>
      </c>
      <c r="C38" s="2911" t="s">
        <v>3784</v>
      </c>
    </row>
    <row r="39" spans="1:3" ht="25.5">
      <c r="A39" s="3687">
        <v>42838.270833333336</v>
      </c>
      <c r="B39" s="2912">
        <v>1040</v>
      </c>
      <c r="C39" s="2911" t="s">
        <v>3785</v>
      </c>
    </row>
    <row r="40" spans="1:3">
      <c r="A40" s="3687">
        <v>42840.659722222219</v>
      </c>
      <c r="B40" s="2912">
        <v>6251</v>
      </c>
      <c r="C40" s="3001" t="s">
        <v>3786</v>
      </c>
    </row>
    <row r="41" spans="1:3">
      <c r="A41" s="3687">
        <v>42842.274305555555</v>
      </c>
      <c r="B41" s="2912">
        <v>8962</v>
      </c>
      <c r="C41" s="3001" t="s">
        <v>3788</v>
      </c>
    </row>
    <row r="42" spans="1:3" ht="25.5">
      <c r="A42" s="3687">
        <v>42842.274305555555</v>
      </c>
      <c r="B42" s="2912">
        <v>8962</v>
      </c>
      <c r="C42" s="3001" t="s">
        <v>3787</v>
      </c>
    </row>
    <row r="43" spans="1:3" s="4511" customFormat="1" ht="38.25">
      <c r="A43" s="3687">
        <v>42843.715277777781</v>
      </c>
      <c r="B43" s="4510" t="s">
        <v>3429</v>
      </c>
      <c r="C43" s="3001" t="s">
        <v>3789</v>
      </c>
    </row>
    <row r="44" spans="1:3" s="4511" customFormat="1" ht="25.5">
      <c r="A44" s="3687">
        <v>42843.506944444445</v>
      </c>
      <c r="B44" s="2912" t="s">
        <v>3790</v>
      </c>
      <c r="C44" s="3001" t="s">
        <v>3791</v>
      </c>
    </row>
    <row r="45" spans="1:3">
      <c r="A45" s="3687">
        <v>42847.5</v>
      </c>
      <c r="B45" s="2912">
        <v>2210</v>
      </c>
      <c r="C45" s="3001" t="s">
        <v>3794</v>
      </c>
    </row>
    <row r="46" spans="1:3">
      <c r="A46" s="3687">
        <v>42865.354166666664</v>
      </c>
      <c r="B46" s="2912">
        <v>2210</v>
      </c>
      <c r="C46" s="3001" t="s">
        <v>3795</v>
      </c>
    </row>
    <row r="47" spans="1:3" ht="25.5">
      <c r="A47" s="3687">
        <v>43082.5625</v>
      </c>
      <c r="B47" s="4518" t="s">
        <v>3424</v>
      </c>
      <c r="C47" s="3001" t="s">
        <v>3796</v>
      </c>
    </row>
    <row r="48" spans="1:3" s="4519" customFormat="1" ht="25.5">
      <c r="A48" s="3687">
        <v>43082.5625</v>
      </c>
      <c r="B48" s="4518" t="s">
        <v>3424</v>
      </c>
      <c r="C48" s="3001" t="s">
        <v>3797</v>
      </c>
    </row>
    <row r="49" spans="1:3" s="4519" customFormat="1" ht="25.5">
      <c r="A49" s="3687">
        <v>43082.5625</v>
      </c>
      <c r="B49" s="4518" t="s">
        <v>3424</v>
      </c>
      <c r="C49" s="3001" t="s">
        <v>3798</v>
      </c>
    </row>
    <row r="50" spans="1:3">
      <c r="A50" s="3687">
        <v>43083.520833333336</v>
      </c>
      <c r="B50" s="2912">
        <v>1040</v>
      </c>
      <c r="C50" s="3001" t="s">
        <v>3799</v>
      </c>
    </row>
    <row r="51" spans="1:3">
      <c r="A51" s="3687">
        <v>43083.534722222219</v>
      </c>
      <c r="B51" s="2912">
        <v>6251</v>
      </c>
      <c r="C51" s="3001" t="s">
        <v>3800</v>
      </c>
    </row>
    <row r="52" spans="1:3" ht="25.5">
      <c r="A52" s="3687">
        <v>43083.534722222219</v>
      </c>
      <c r="B52" s="2912">
        <v>2210</v>
      </c>
      <c r="C52" s="3001" t="s">
        <v>3801</v>
      </c>
    </row>
    <row r="53" spans="1:3" ht="25.5">
      <c r="A53" s="3687">
        <v>43087.5</v>
      </c>
      <c r="B53" s="4523" t="s">
        <v>3377</v>
      </c>
      <c r="C53" s="3001" t="s">
        <v>3802</v>
      </c>
    </row>
    <row r="54" spans="1:3">
      <c r="A54" s="3687">
        <v>43135.652777777781</v>
      </c>
      <c r="B54" s="2912">
        <v>6251</v>
      </c>
      <c r="C54" s="3001" t="s">
        <v>3806</v>
      </c>
    </row>
    <row r="55" spans="1:3" ht="25.5">
      <c r="A55" s="3687">
        <v>43140.90625</v>
      </c>
      <c r="B55" s="2912">
        <v>2210</v>
      </c>
      <c r="C55" s="3001" t="s">
        <v>3807</v>
      </c>
    </row>
    <row r="56" spans="1:3">
      <c r="C56" s="3001"/>
    </row>
    <row r="57" spans="1:3">
      <c r="C57" s="3001"/>
    </row>
    <row r="58" spans="1:3">
      <c r="C58" s="3001"/>
    </row>
    <row r="59" spans="1:3">
      <c r="C59" s="3001"/>
    </row>
    <row r="60" spans="1:3">
      <c r="C60" s="3001"/>
    </row>
    <row r="61" spans="1:3" ht="409.6">
      <c r="C61" s="3001"/>
    </row>
    <row r="62" spans="1:3">
      <c r="C62" s="3001"/>
    </row>
    <row r="63" spans="1:3">
      <c r="C63" s="3001"/>
    </row>
    <row r="64" spans="1:3">
      <c r="A64" s="3688"/>
      <c r="B64" s="3102"/>
      <c r="C64" s="3001"/>
    </row>
    <row r="65" spans="1:3">
      <c r="A65" s="3688"/>
      <c r="B65" s="3102"/>
      <c r="C65" s="3001"/>
    </row>
    <row r="66" spans="1:3">
      <c r="A66" s="3688"/>
      <c r="B66" s="3102"/>
      <c r="C66" s="3103"/>
    </row>
  </sheetData>
  <sheetProtection password="F07E" sheet="1" objects="1" scenarios="1"/>
  <hyperlinks>
    <hyperlink ref="D1" r:id="rId1"/>
  </hyperlinks>
  <pageMargins left="0.7" right="0.7" top="0.75" bottom="0.75" header="0.3" footer="0.3"/>
  <pageSetup orientation="landscape" horizontalDpi="4294967293" vertic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41"/>
  <sheetViews>
    <sheetView zoomScaleNormal="100" workbookViewId="0">
      <pane ySplit="1" topLeftCell="A2" activePane="bottomLeft" state="frozen"/>
      <selection activeCell="D26" sqref="D26"/>
      <selection pane="bottomLeft" activeCell="D8" sqref="D8"/>
    </sheetView>
  </sheetViews>
  <sheetFormatPr defaultColWidth="9.140625" defaultRowHeight="12.75"/>
  <cols>
    <col min="1" max="1" width="2.5703125" style="35" customWidth="1"/>
    <col min="2" max="2" width="4.42578125" style="57" customWidth="1"/>
    <col min="3" max="3" width="37.28515625" style="35" customWidth="1"/>
    <col min="4" max="4" width="17" style="35" customWidth="1"/>
    <col min="5" max="5" width="3.85546875" style="35" customWidth="1"/>
    <col min="6" max="6" width="19.42578125" style="35" customWidth="1"/>
    <col min="7" max="7" width="3.7109375" style="35" customWidth="1"/>
    <col min="8" max="8" width="12.7109375" style="35" customWidth="1"/>
    <col min="9" max="9" width="2" style="35" customWidth="1"/>
    <col min="10" max="10" width="2.42578125" style="35" customWidth="1"/>
    <col min="11" max="11" width="13.42578125" style="35" customWidth="1"/>
    <col min="12" max="12" width="9.140625" style="35"/>
    <col min="13" max="16384" width="9.140625" style="64"/>
  </cols>
  <sheetData>
    <row r="1" spans="2:9" s="1386" customFormat="1" ht="36.75" customHeight="1" thickBot="1">
      <c r="B1" s="1398" t="s">
        <v>430</v>
      </c>
    </row>
    <row r="2" spans="2:9" ht="41.25" customHeight="1" thickBot="1">
      <c r="B2" s="1387">
        <v>1</v>
      </c>
      <c r="C2" s="2605" t="str">
        <f>IF(Name_1st_Yours="","Enter your name on Form 1040",NameYours)</f>
        <v>Enter your name on Form 1040</v>
      </c>
      <c r="D2" s="1413"/>
    </row>
    <row r="3" spans="2:9" ht="13.5" customHeight="1">
      <c r="B3" s="661">
        <v>3</v>
      </c>
      <c r="C3" s="664" t="str">
        <f>"Benefits Paid in "&amp;TaxYear</f>
        <v>Benefits Paid in 2016</v>
      </c>
      <c r="D3" s="4203"/>
    </row>
    <row r="4" spans="2:9" ht="13.5" customHeight="1">
      <c r="B4" s="662">
        <v>4</v>
      </c>
      <c r="C4" s="665" t="str">
        <f>"Benefits Repaid in "&amp;TaxYear</f>
        <v>Benefits Repaid in 2016</v>
      </c>
      <c r="D4" s="3803"/>
    </row>
    <row r="5" spans="2:9" ht="13.5" customHeight="1">
      <c r="B5" s="662">
        <v>5</v>
      </c>
      <c r="C5" s="665" t="str">
        <f>"Net Benefits for "&amp;TaxYear&amp;" (Box 3 minus Box 4)"</f>
        <v>Net Benefits for 2016 (Box 3 minus Box 4)</v>
      </c>
      <c r="D5" s="706">
        <f>SUM(D3,-D4)</f>
        <v>0</v>
      </c>
    </row>
    <row r="6" spans="2:9" ht="13.5" thickBot="1">
      <c r="B6" s="663">
        <v>6</v>
      </c>
      <c r="C6" s="666" t="s">
        <v>431</v>
      </c>
      <c r="D6" s="3804"/>
    </row>
    <row r="7" spans="2:9" ht="48" customHeight="1" thickBot="1">
      <c r="B7" s="1388">
        <v>1</v>
      </c>
      <c r="C7" s="2606" t="str">
        <f>IF(Name_1st_Sp="","Enter spouse's name on Form 1040",NameSpouse)</f>
        <v>Enter spouse's name on Form 1040</v>
      </c>
      <c r="D7" s="675"/>
    </row>
    <row r="8" spans="2:9" ht="13.5" customHeight="1">
      <c r="B8" s="661">
        <v>3</v>
      </c>
      <c r="C8" s="664" t="str">
        <f>"Benefits Paid in "&amp;TaxYear</f>
        <v>Benefits Paid in 2016</v>
      </c>
      <c r="D8" s="3802"/>
    </row>
    <row r="9" spans="2:9" ht="13.5" customHeight="1">
      <c r="B9" s="662">
        <v>4</v>
      </c>
      <c r="C9" s="665" t="str">
        <f>"Benefits Repaid in "&amp;TaxYear</f>
        <v>Benefits Repaid in 2016</v>
      </c>
      <c r="D9" s="3803"/>
    </row>
    <row r="10" spans="2:9" ht="13.5" customHeight="1">
      <c r="B10" s="662">
        <v>5</v>
      </c>
      <c r="C10" s="665" t="str">
        <f>"Net Benefits for "&amp;TaxYear&amp;" (Box 3 minus Box 4)"</f>
        <v>Net Benefits for 2016 (Box 3 minus Box 4)</v>
      </c>
      <c r="D10" s="706">
        <f>SUM(D8,-D9)</f>
        <v>0</v>
      </c>
    </row>
    <row r="11" spans="2:9" ht="13.5" thickBot="1">
      <c r="B11" s="663">
        <v>6</v>
      </c>
      <c r="C11" s="666" t="s">
        <v>431</v>
      </c>
      <c r="D11" s="3804"/>
    </row>
    <row r="13" spans="2:9" ht="13.5" customHeight="1"/>
    <row r="14" spans="2:9" ht="13.5" thickBot="1"/>
    <row r="15" spans="2:9" ht="22.5" customHeight="1">
      <c r="B15" s="661"/>
      <c r="C15" s="709" t="s">
        <v>220</v>
      </c>
      <c r="D15" s="1391"/>
      <c r="E15" s="46"/>
      <c r="F15" s="1392"/>
      <c r="G15" s="46"/>
      <c r="H15" s="1392" t="s">
        <v>293</v>
      </c>
      <c r="I15" s="134"/>
    </row>
    <row r="16" spans="2:9" ht="16.5" thickBot="1">
      <c r="B16" s="662"/>
      <c r="C16" s="43" t="s">
        <v>221</v>
      </c>
      <c r="D16" s="1393"/>
      <c r="E16" s="52"/>
      <c r="F16" s="1394"/>
      <c r="G16" s="52"/>
      <c r="H16" s="1394" t="s">
        <v>637</v>
      </c>
      <c r="I16" s="135"/>
    </row>
    <row r="17" spans="1:12">
      <c r="B17" s="662"/>
      <c r="C17" s="55" t="s">
        <v>222</v>
      </c>
      <c r="D17" s="44"/>
      <c r="E17" s="44"/>
      <c r="F17" s="44"/>
      <c r="G17" s="44"/>
      <c r="H17" s="44"/>
      <c r="I17" s="135"/>
    </row>
    <row r="18" spans="1:12" ht="8.25" customHeight="1">
      <c r="B18" s="662"/>
      <c r="C18" s="44"/>
      <c r="D18" s="44"/>
      <c r="E18" s="44"/>
      <c r="F18" s="44"/>
      <c r="G18" s="44"/>
      <c r="H18" s="44"/>
      <c r="I18" s="135"/>
    </row>
    <row r="19" spans="1:12" s="1389" customFormat="1" ht="76.5">
      <c r="A19" s="579"/>
      <c r="B19" s="1395"/>
      <c r="C19" s="1396" t="str">
        <f>"If your social security and/or SSI
(supplemental security income)
benefits were your only source of
income for "&amp;TaxYear&amp;", you probably will
not have to file a federal income 
tax return."</f>
        <v>If your social security and/or SSI
(supplemental security income)
benefits were your only source of
income for 2016, you probably will
not have to file a federal income 
tax return.</v>
      </c>
      <c r="D19" s="1396" t="str">
        <f>"Fill in lines A through E below
to see if any of your benefits
may be taxable for "&amp;TaxYear&amp;"."</f>
        <v>Fill in lines A through E below
to see if any of your benefits
may be taxable for 2016.</v>
      </c>
      <c r="E19" s="1181"/>
      <c r="F19" s="1396" t="s">
        <v>223</v>
      </c>
      <c r="G19" s="139"/>
      <c r="H19" s="139"/>
      <c r="I19" s="1009"/>
      <c r="J19" s="579"/>
      <c r="K19" s="1524" t="s">
        <v>970</v>
      </c>
      <c r="L19" s="579"/>
    </row>
    <row r="20" spans="1:12">
      <c r="B20" s="662"/>
      <c r="C20" s="44"/>
      <c r="D20" s="44"/>
      <c r="E20" s="44"/>
      <c r="F20" s="44"/>
      <c r="G20" s="44"/>
      <c r="H20" s="44"/>
      <c r="I20" s="135"/>
      <c r="K20" s="523"/>
    </row>
    <row r="21" spans="1:12">
      <c r="B21" s="662" t="s">
        <v>235</v>
      </c>
      <c r="C21" s="178" t="s">
        <v>968</v>
      </c>
      <c r="D21" s="44"/>
      <c r="E21" s="73" t="s">
        <v>235</v>
      </c>
      <c r="F21" s="1268">
        <f>IF(K21&lt;&gt;"",K21,ROUND(SUM(D5,D10),0))</f>
        <v>0</v>
      </c>
      <c r="G21" s="44"/>
      <c r="H21" s="44"/>
      <c r="I21" s="135"/>
      <c r="K21" s="1399"/>
    </row>
    <row r="22" spans="1:12">
      <c r="B22" s="662" t="s">
        <v>462</v>
      </c>
      <c r="C22" s="44" t="s">
        <v>463</v>
      </c>
      <c r="D22" s="44"/>
      <c r="E22" s="44"/>
      <c r="F22" s="44"/>
      <c r="G22" s="73" t="s">
        <v>462</v>
      </c>
      <c r="H22" s="1268">
        <f>IF(K22&lt;&gt;"",K22,ROUND(F21/2,0))</f>
        <v>0</v>
      </c>
      <c r="I22" s="135"/>
      <c r="K22" s="1399"/>
    </row>
    <row r="23" spans="1:12" s="1390" customFormat="1" ht="52.5" customHeight="1">
      <c r="A23" s="1401"/>
      <c r="B23" s="1395" t="s">
        <v>236</v>
      </c>
      <c r="C23" s="4556" t="s">
        <v>967</v>
      </c>
      <c r="D23" s="4557"/>
      <c r="E23" s="4557"/>
      <c r="F23" s="4557"/>
      <c r="G23" s="73" t="s">
        <v>236</v>
      </c>
      <c r="H23" s="1414">
        <f>IF(K23&lt;&gt;"",K23,(Wages+'1040'!AB39+'1040'!AB41+SUM('1040'!AB43:AB47)+'1040'!AB48+'1040'!AB49+SUM('1040'!AB50:AB52)+'1040'!AB54))</f>
        <v>0</v>
      </c>
      <c r="I23" s="1400"/>
      <c r="J23" s="1401"/>
      <c r="K23" s="1399"/>
      <c r="L23" s="1401"/>
    </row>
    <row r="24" spans="1:12">
      <c r="B24" s="1395" t="s">
        <v>465</v>
      </c>
      <c r="C24" s="44" t="s">
        <v>464</v>
      </c>
      <c r="D24" s="44"/>
      <c r="E24" s="44"/>
      <c r="F24" s="44"/>
      <c r="G24" s="73" t="s">
        <v>465</v>
      </c>
      <c r="H24" s="1414">
        <f>IF(K24&lt;&gt;"",K24,'1040'!V40)</f>
        <v>0</v>
      </c>
      <c r="I24" s="135"/>
      <c r="K24" s="1399"/>
    </row>
    <row r="25" spans="1:12">
      <c r="B25" s="662" t="s">
        <v>593</v>
      </c>
      <c r="C25" s="178" t="s">
        <v>969</v>
      </c>
      <c r="D25" s="44"/>
      <c r="E25" s="44"/>
      <c r="F25" s="44"/>
      <c r="G25" s="73" t="s">
        <v>593</v>
      </c>
      <c r="H25" s="1415">
        <f>SUM(H22,H23,H24)</f>
        <v>0</v>
      </c>
      <c r="I25" s="135"/>
      <c r="K25" s="523"/>
    </row>
    <row r="26" spans="1:12">
      <c r="B26" s="662"/>
      <c r="C26" s="63"/>
      <c r="D26" s="63"/>
      <c r="E26" s="63"/>
      <c r="F26" s="63"/>
      <c r="G26" s="63"/>
      <c r="H26" s="63"/>
      <c r="I26" s="135"/>
      <c r="K26" s="523"/>
    </row>
    <row r="27" spans="1:12">
      <c r="B27" s="662"/>
      <c r="C27" s="21" t="s">
        <v>794</v>
      </c>
      <c r="D27" s="44"/>
      <c r="E27" s="44"/>
      <c r="F27" s="44"/>
      <c r="G27" s="44"/>
      <c r="H27" s="78" t="b">
        <f>IF(AND(OR(File_Head&lt;&gt;"",File_Qual_Widow&lt;&gt;"",File_Single&lt;&gt;""),H25&gt;H28),TRUE,IF(AND(File_Marr_Joint&lt;&gt;"",H25&gt;H29),TRUE,IF(AND(File_Marr_Sep&lt;&gt;"",'Line 20'!O8,H25&gt;0),TRUE,IF(AND(File_Marr_Sep&lt;&gt;"",'Line 20'!O6,H25&gt;H29),TRUE,FALSE))))</f>
        <v>0</v>
      </c>
      <c r="I27" s="135"/>
      <c r="K27" s="523"/>
    </row>
    <row r="28" spans="1:12" ht="38.25">
      <c r="B28" s="662"/>
      <c r="C28" s="1397" t="str">
        <f>"Part of your social security
benefits may be taxable if, for
"&amp;TaxYear&amp;", you were:"</f>
        <v>Part of your social security
benefits may be taxable if, for
2016, you were:</v>
      </c>
      <c r="D28" s="4557" t="s">
        <v>512</v>
      </c>
      <c r="E28" s="4558"/>
      <c r="F28" s="4558"/>
      <c r="G28" s="44"/>
      <c r="H28" s="21">
        <v>25000</v>
      </c>
      <c r="I28" s="135"/>
      <c r="K28" s="523"/>
    </row>
    <row r="29" spans="1:12" ht="25.5">
      <c r="B29" s="662"/>
      <c r="C29" s="1397" t="str">
        <f>"1. Single, and line E above is
more than "&amp;TEXT(H28,"$0,000")&amp;"."</f>
        <v>1. Single, and line E above is
more than $25,000.</v>
      </c>
      <c r="D29" s="4558"/>
      <c r="E29" s="4558"/>
      <c r="F29" s="4558"/>
      <c r="G29" s="44"/>
      <c r="H29" s="21">
        <v>32000</v>
      </c>
      <c r="I29" s="135"/>
      <c r="K29" s="523"/>
    </row>
    <row r="30" spans="1:12" s="1389" customFormat="1" ht="137.25" customHeight="1">
      <c r="A30" s="579"/>
      <c r="B30" s="1395"/>
      <c r="C30" s="1397" t="str">
        <f>"2. Married, and
a. You would file jointly, and
line E above is more than
"&amp;TEXT(H29,"$0,000")&amp;"; or
b. You would file separately,
and line E above is more than
zero (more than "&amp;TEXT(H28,"$0,000")&amp;" if you
lived apart from your spouse for
all of "&amp;TaxYear&amp;")."</f>
        <v>2. Married, and
a. You would file jointly, and
line E above is more than
$32,000; or
b. You would file separately,
and line E above is more than
zero (more than $25,000 if you
lived apart from your spouse for
all of 2016).</v>
      </c>
      <c r="D30" s="4558"/>
      <c r="E30" s="4558"/>
      <c r="F30" s="4558"/>
      <c r="G30" s="139"/>
      <c r="H30" s="139"/>
      <c r="I30" s="1009"/>
      <c r="J30" s="579"/>
      <c r="K30" s="523"/>
      <c r="L30" s="579"/>
    </row>
    <row r="31" spans="1:12" s="1389" customFormat="1" ht="112.5" customHeight="1">
      <c r="A31" s="579"/>
      <c r="B31" s="1395"/>
      <c r="C31" s="1397" t="s">
        <v>402</v>
      </c>
      <c r="D31" s="4557" t="str">
        <f>"Note. If your figures show that
part of your benefits may be
taxable and you received
benefits in "&amp;TaxYear&amp;" that were for a
prior year, see Pub. 915 for rules
on a special election you can
make that may reduce the
amount of your taxable benefits."</f>
        <v>Note. If your figures show that
part of your benefits may be
taxable and you received
benefits in 2016 that were for a
prior year, see Pub. 915 for rules
on a special election you can
make that may reduce the
amount of your taxable benefits.</v>
      </c>
      <c r="E31" s="4559"/>
      <c r="F31" s="4559"/>
      <c r="G31" s="139"/>
      <c r="H31" s="139"/>
      <c r="I31" s="1009"/>
      <c r="J31" s="579"/>
      <c r="K31" s="523"/>
      <c r="L31" s="579"/>
    </row>
    <row r="32" spans="1:12" s="1389" customFormat="1" ht="88.5" customHeight="1" thickBot="1">
      <c r="A32" s="579"/>
      <c r="B32" s="1410"/>
      <c r="C32" s="1411" t="str">
        <f>"If you file separately and you
lived apart from your spouse for
all of "&amp;TaxYear&amp;", enter “D” to the right
of the word “benefits” on Form
1040, line 20a, or Form 1040A,
line 14a."</f>
        <v>If you file separately and you
lived apart from your spouse for
all of 2016, enter “D” to the right
of the word “benefits” on Form
1040, line 20a, or Form 1040A,
line 14a.</v>
      </c>
      <c r="D32" s="4560"/>
      <c r="E32" s="4561"/>
      <c r="F32" s="4561"/>
      <c r="G32" s="1129"/>
      <c r="H32" s="1129"/>
      <c r="I32" s="1412"/>
      <c r="J32" s="579"/>
      <c r="K32" s="523"/>
      <c r="L32" s="579"/>
    </row>
    <row r="41" spans="3:3">
      <c r="C41" s="1401"/>
    </row>
  </sheetData>
  <sheetProtection password="F07E" sheet="1" objects="1" scenarios="1"/>
  <mergeCells count="4">
    <mergeCell ref="C23:F23"/>
    <mergeCell ref="D28:F30"/>
    <mergeCell ref="D31:F31"/>
    <mergeCell ref="D32:F32"/>
  </mergeCells>
  <phoneticPr fontId="0" type="noConversion"/>
  <conditionalFormatting sqref="C27">
    <cfRule type="expression" dxfId="1949" priority="6" stopIfTrue="1">
      <formula>IF(H27,1,0)</formula>
    </cfRule>
  </conditionalFormatting>
  <conditionalFormatting sqref="D3:D4">
    <cfRule type="expression" dxfId="1948" priority="5">
      <formula>IF(NoColor,1,0)</formula>
    </cfRule>
  </conditionalFormatting>
  <conditionalFormatting sqref="D8:D9">
    <cfRule type="expression" dxfId="1947" priority="3">
      <formula>IF(NoColor,1,0)</formula>
    </cfRule>
  </conditionalFormatting>
  <conditionalFormatting sqref="D6">
    <cfRule type="expression" dxfId="1946" priority="2">
      <formula>IF(NoColor,1,0)</formula>
    </cfRule>
  </conditionalFormatting>
  <conditionalFormatting sqref="D11">
    <cfRule type="expression" dxfId="1945" priority="1">
      <formula>IF(NoColor,1,0)</formula>
    </cfRule>
  </conditionalFormatting>
  <printOptions gridLines="1" gridLinesSet="0"/>
  <pageMargins left="0.51" right="0.35" top="0.52" bottom="0.77" header="0.28000000000000003" footer="0.5"/>
  <pageSetup scale="94" fitToHeight="0" orientation="portrait" horizontalDpi="360" verticalDpi="360" r:id="rId1"/>
  <headerFooter alignWithMargins="0">
    <oddHeader>&amp;A</oddHeader>
    <oddFooter>Page &amp;P</oddFooter>
  </headerFooter>
  <rowBreaks count="1" manualBreakCount="1">
    <brk id="13"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M168"/>
  <sheetViews>
    <sheetView zoomScaleNormal="100" workbookViewId="0">
      <selection activeCell="C2" sqref="C2"/>
    </sheetView>
  </sheetViews>
  <sheetFormatPr defaultRowHeight="12.75"/>
  <cols>
    <col min="1" max="1" width="3" customWidth="1"/>
    <col min="2" max="2" width="2.5703125" customWidth="1"/>
    <col min="3" max="3" width="13" customWidth="1"/>
    <col min="4" max="4" width="3.5703125" customWidth="1"/>
    <col min="5" max="5" width="1.85546875" customWidth="1"/>
    <col min="6" max="6" width="2.5703125" customWidth="1"/>
    <col min="7" max="7" width="9" customWidth="1"/>
    <col min="8" max="8" width="3.85546875" customWidth="1"/>
    <col min="9" max="9" width="2.7109375" customWidth="1"/>
    <col min="10" max="10" width="3.5703125" customWidth="1"/>
    <col min="11" max="11" width="3.140625" customWidth="1"/>
    <col min="12" max="12" width="2.7109375" customWidth="1"/>
    <col min="13" max="13" width="5.5703125" customWidth="1"/>
    <col min="14" max="14" width="3.85546875" customWidth="1"/>
    <col min="15" max="15" width="3.5703125" customWidth="1"/>
    <col min="16" max="16" width="2.7109375" customWidth="1"/>
    <col min="17" max="17" width="2.85546875" customWidth="1"/>
    <col min="18" max="18" width="5.140625" customWidth="1"/>
    <col min="19" max="19" width="2.5703125" customWidth="1"/>
    <col min="20" max="20" width="4.28515625" customWidth="1"/>
    <col min="21" max="21" width="2.42578125" customWidth="1"/>
    <col min="22" max="22" width="2.85546875" customWidth="1"/>
    <col min="23" max="23" width="3.7109375" customWidth="1"/>
    <col min="24" max="24" width="5.42578125" customWidth="1"/>
    <col min="25" max="25" width="3" customWidth="1"/>
    <col min="26" max="26" width="3.7109375" customWidth="1"/>
    <col min="27" max="27" width="4.5703125" customWidth="1"/>
    <col min="28" max="28" width="3.28515625" customWidth="1"/>
    <col min="29" max="30" width="3" customWidth="1"/>
    <col min="31" max="31" width="4.5703125" customWidth="1"/>
    <col min="32" max="32" width="4.7109375" customWidth="1"/>
    <col min="33" max="33" width="4.42578125" customWidth="1"/>
    <col min="34" max="34" width="2.85546875" customWidth="1"/>
    <col min="35" max="35" width="5.28515625" customWidth="1"/>
    <col min="36" max="36" width="2.85546875" customWidth="1"/>
    <col min="37" max="37" width="7.85546875" customWidth="1"/>
    <col min="38" max="41" width="15.85546875" customWidth="1"/>
    <col min="42" max="42" width="2.5703125" customWidth="1"/>
    <col min="43" max="52" width="11.5703125" hidden="1" customWidth="1"/>
    <col min="57" max="91" width="9.140625" style="4189"/>
  </cols>
  <sheetData>
    <row r="1" spans="1:56" ht="15" customHeight="1">
      <c r="A1" s="857"/>
      <c r="B1" s="857"/>
      <c r="C1" s="3689">
        <v>43140</v>
      </c>
      <c r="D1" s="111"/>
      <c r="E1" s="112"/>
      <c r="F1" s="1132" t="s">
        <v>492</v>
      </c>
      <c r="G1" s="1133"/>
      <c r="H1" s="1133"/>
      <c r="I1" s="1133"/>
      <c r="J1" s="1133"/>
      <c r="K1" s="1133"/>
      <c r="L1" s="1133"/>
      <c r="M1" s="1133"/>
      <c r="N1" s="1133"/>
      <c r="O1" s="1133"/>
      <c r="P1" s="1134"/>
      <c r="Q1" s="1134"/>
      <c r="R1" s="1134"/>
      <c r="S1" s="1134"/>
      <c r="T1" s="1135"/>
      <c r="U1" s="1135"/>
      <c r="V1" s="1135"/>
      <c r="W1" s="1135"/>
      <c r="X1" s="1135"/>
      <c r="Y1" s="114"/>
      <c r="Z1" s="114"/>
      <c r="AA1" s="114"/>
      <c r="AB1" s="115"/>
      <c r="AC1" s="115"/>
      <c r="AD1" s="115"/>
      <c r="AE1" s="115"/>
      <c r="AF1" s="115"/>
      <c r="AG1" s="116"/>
      <c r="AH1" s="117"/>
      <c r="AI1" s="358"/>
      <c r="AJ1" s="358"/>
      <c r="AK1" s="358"/>
      <c r="AL1" s="2117"/>
      <c r="AM1" s="2117"/>
      <c r="AN1" s="2117"/>
      <c r="AO1" s="2117"/>
      <c r="AP1" s="2117"/>
      <c r="AS1" s="64"/>
      <c r="AT1" s="64"/>
      <c r="AU1" s="64"/>
      <c r="AV1" s="64"/>
      <c r="AW1" s="64"/>
      <c r="AX1" s="64"/>
      <c r="AY1" s="64"/>
      <c r="BA1" s="2070"/>
      <c r="BB1" s="2070"/>
      <c r="BC1" s="2070"/>
      <c r="BD1" s="2070"/>
    </row>
    <row r="2" spans="1:56" ht="15.75" customHeight="1" thickBot="1">
      <c r="A2" s="857"/>
      <c r="B2" s="857"/>
      <c r="C2" s="3114">
        <v>0.90625</v>
      </c>
      <c r="D2" s="356"/>
      <c r="E2" s="130"/>
      <c r="F2" s="4823" t="s">
        <v>366</v>
      </c>
      <c r="G2" s="4724"/>
      <c r="H2" s="4724"/>
      <c r="I2" s="4724"/>
      <c r="J2" s="4724"/>
      <c r="K2" s="4724"/>
      <c r="L2" s="4724"/>
      <c r="M2" s="4724"/>
      <c r="N2" s="4724"/>
      <c r="O2" s="4724"/>
      <c r="P2" s="1134"/>
      <c r="Q2" s="1134"/>
      <c r="R2" s="1134"/>
      <c r="S2" s="357"/>
      <c r="T2" s="113"/>
      <c r="U2" s="113"/>
      <c r="V2" s="113"/>
      <c r="W2" s="113"/>
      <c r="X2" s="758" t="s">
        <v>468</v>
      </c>
      <c r="Y2" s="916"/>
      <c r="Z2" s="916"/>
      <c r="AA2" s="916"/>
      <c r="AB2" s="916"/>
      <c r="AC2" s="916"/>
      <c r="AD2" s="916"/>
      <c r="AE2" s="916"/>
      <c r="AF2" s="916"/>
      <c r="AG2" s="116" t="s">
        <v>3386</v>
      </c>
      <c r="AH2" s="916"/>
      <c r="AI2" s="358"/>
      <c r="AJ2" s="4882" t="b">
        <f>IF(AJ3&lt;&gt;"",TRUE,FALSE)</f>
        <v>0</v>
      </c>
      <c r="AK2" s="4714"/>
      <c r="AL2" s="3807">
        <f>DATEVALUE("1-JAN-"&amp;TaxYear)</f>
        <v>42370</v>
      </c>
      <c r="AM2" s="3823" t="b">
        <f>IF(AM3&gt;365,TRUE,FALSE)</f>
        <v>1</v>
      </c>
      <c r="AN2" s="2399"/>
      <c r="AO2" s="2399"/>
      <c r="AP2" s="2399"/>
      <c r="AQ2" s="2622" t="s">
        <v>2231</v>
      </c>
      <c r="AR2" s="2622" t="s">
        <v>2232</v>
      </c>
      <c r="AS2" s="304"/>
      <c r="AT2" s="304"/>
      <c r="AU2" s="304"/>
      <c r="AV2" s="304"/>
      <c r="AW2" s="304"/>
      <c r="AX2" s="304"/>
      <c r="AY2" s="304"/>
      <c r="BA2" s="2070"/>
      <c r="BB2" s="2070"/>
      <c r="BC2" s="2070"/>
      <c r="BD2" s="2070"/>
    </row>
    <row r="3" spans="1:56" ht="12.75" customHeight="1">
      <c r="A3" s="857"/>
      <c r="B3" s="4792" t="s">
        <v>114</v>
      </c>
      <c r="C3" s="4794">
        <v>1040</v>
      </c>
      <c r="D3" s="4795"/>
      <c r="E3" s="2172" t="s">
        <v>2089</v>
      </c>
      <c r="F3" s="2172"/>
      <c r="G3" s="2173"/>
      <c r="H3" s="2173"/>
      <c r="I3" s="2173"/>
      <c r="J3" s="2173"/>
      <c r="K3" s="2173"/>
      <c r="L3" s="2173"/>
      <c r="M3" s="2173"/>
      <c r="N3" s="2173"/>
      <c r="O3" s="2174"/>
      <c r="P3" s="2174"/>
      <c r="Q3" s="4785">
        <v>2016</v>
      </c>
      <c r="R3" s="4786"/>
      <c r="S3" s="4787"/>
      <c r="T3" s="4788"/>
      <c r="U3" s="2172"/>
      <c r="V3" s="2175"/>
      <c r="W3" s="2176"/>
      <c r="X3" s="2177"/>
      <c r="Y3" s="4801"/>
      <c r="Z3" s="4802"/>
      <c r="AA3" s="4802"/>
      <c r="AB3" s="4802"/>
      <c r="AC3" s="4802"/>
      <c r="AD3" s="4802"/>
      <c r="AE3" s="4802"/>
      <c r="AF3" s="4802"/>
      <c r="AG3" s="4802"/>
      <c r="AH3" s="947"/>
      <c r="AI3" s="358"/>
      <c r="AJ3" s="2398"/>
      <c r="AK3" s="2405"/>
      <c r="AL3" s="3807">
        <f>DATEVALUE("1-JAN-"&amp;TaxYear+1)-1</f>
        <v>42735</v>
      </c>
      <c r="AM3" s="3823">
        <f>EndOfTaxYear+1-BeginningOfTaxYear</f>
        <v>366</v>
      </c>
      <c r="AN3" s="2117"/>
      <c r="AO3" s="2117"/>
      <c r="AP3" s="2117"/>
      <c r="AQ3" s="4038" t="b">
        <f>IF(ISERROR(FIND("ALASKA",B13)),FALSE,TRUE)</f>
        <v>0</v>
      </c>
      <c r="AR3" s="4039" t="b">
        <f>IF(ISERROR(FIND("HAWAII",B13)),FALSE,TRUE)</f>
        <v>0</v>
      </c>
      <c r="AS3" s="64"/>
      <c r="AT3" s="64"/>
      <c r="AU3" s="304"/>
      <c r="AV3" s="304"/>
      <c r="AW3" s="304"/>
      <c r="AX3" s="304"/>
      <c r="AY3" s="304"/>
      <c r="BA3" s="2070"/>
      <c r="BB3" s="2070"/>
      <c r="BC3" s="2070"/>
      <c r="BD3" s="2070"/>
    </row>
    <row r="4" spans="1:56" ht="18.75" customHeight="1" thickBot="1">
      <c r="A4" s="857"/>
      <c r="B4" s="4793"/>
      <c r="C4" s="4796"/>
      <c r="D4" s="4795"/>
      <c r="E4" s="3767" t="s">
        <v>248</v>
      </c>
      <c r="F4" s="2178"/>
      <c r="G4" s="2178"/>
      <c r="H4" s="2178"/>
      <c r="I4" s="2178"/>
      <c r="J4" s="2178"/>
      <c r="K4" s="2178"/>
      <c r="L4" s="2178"/>
      <c r="M4" s="2178"/>
      <c r="N4" s="2178"/>
      <c r="O4" s="2178"/>
      <c r="P4" s="2178"/>
      <c r="Q4" s="4789"/>
      <c r="R4" s="4790"/>
      <c r="S4" s="4790"/>
      <c r="T4" s="4791"/>
      <c r="U4" s="2179" t="s">
        <v>249</v>
      </c>
      <c r="V4" s="2180"/>
      <c r="W4" s="2181"/>
      <c r="X4" s="2182"/>
      <c r="Y4" s="4775" t="s">
        <v>2088</v>
      </c>
      <c r="Z4" s="4776"/>
      <c r="AA4" s="4776"/>
      <c r="AB4" s="4776"/>
      <c r="AC4" s="4776"/>
      <c r="AD4" s="4776"/>
      <c r="AE4" s="4776"/>
      <c r="AF4" s="4776"/>
      <c r="AG4" s="4776"/>
      <c r="AH4" s="948"/>
      <c r="AI4" s="498"/>
      <c r="AJ4" s="2499" t="s">
        <v>1405</v>
      </c>
      <c r="AK4" s="2406"/>
      <c r="AL4" s="2117"/>
      <c r="AM4" s="2117"/>
      <c r="AN4" s="2117"/>
      <c r="AO4" s="2117"/>
      <c r="AP4" s="2117"/>
      <c r="AQ4" s="4040" t="b">
        <f>IF(ISERROR(FIND(", AK",B13)),FALSE,TRUE)</f>
        <v>0</v>
      </c>
      <c r="AR4" s="4041" t="b">
        <f>IF(ISERROR(FIND(", HI",B13)),FALSE,TRUE)</f>
        <v>0</v>
      </c>
      <c r="AS4" s="64"/>
      <c r="AT4" s="64"/>
      <c r="AU4" s="64"/>
      <c r="AV4" s="64"/>
      <c r="AW4" s="64"/>
      <c r="AX4" s="64"/>
      <c r="AY4" s="64"/>
      <c r="BA4" s="2070"/>
      <c r="BB4" s="2070"/>
      <c r="BC4" s="2070"/>
      <c r="BD4" s="2070"/>
    </row>
    <row r="5" spans="1:56" ht="14.25" customHeight="1" thickTop="1">
      <c r="A5" s="857"/>
      <c r="B5" s="540"/>
      <c r="C5" s="541" t="str">
        <f>"For the year Jan. 1--Dec. 31, "&amp;TaxYear&amp;", or other tax year beginning"</f>
        <v>For the year Jan. 1--Dec. 31, 2016, or other tax year beginning</v>
      </c>
      <c r="D5" s="1536"/>
      <c r="E5" s="540"/>
      <c r="F5" s="541"/>
      <c r="G5" s="540"/>
      <c r="H5" s="540"/>
      <c r="I5" s="540"/>
      <c r="J5" s="540"/>
      <c r="K5" s="4799"/>
      <c r="L5" s="4800"/>
      <c r="M5" s="4800"/>
      <c r="N5" s="4800"/>
      <c r="O5" s="4800"/>
      <c r="P5" s="4800"/>
      <c r="Q5" s="4800"/>
      <c r="R5" s="4803" t="str">
        <f>","&amp;TaxYear&amp;", ending"</f>
        <v>,2016, ending</v>
      </c>
      <c r="S5" s="4804"/>
      <c r="T5" s="4804"/>
      <c r="U5" s="4805"/>
      <c r="V5" s="4806"/>
      <c r="W5" s="4806"/>
      <c r="X5" s="4807"/>
      <c r="Y5" s="4779" t="s">
        <v>1021</v>
      </c>
      <c r="Z5" s="4780"/>
      <c r="AA5" s="4781"/>
      <c r="AB5" s="4781"/>
      <c r="AC5" s="4781"/>
      <c r="AD5" s="4781"/>
      <c r="AE5" s="4781"/>
      <c r="AF5" s="4781"/>
      <c r="AG5" s="4781"/>
      <c r="AH5" s="130"/>
      <c r="AI5" s="44"/>
      <c r="AJ5" s="2500" t="s">
        <v>1406</v>
      </c>
      <c r="AK5" s="44"/>
      <c r="AL5" s="2117"/>
      <c r="AM5" s="2400"/>
      <c r="AN5" s="2117"/>
      <c r="AO5" s="2117"/>
      <c r="AP5" s="2117"/>
      <c r="AQ5" s="4042" t="b">
        <f>IF(ISERROR(FIND("Alaska",B13)),FALSE,TRUE)</f>
        <v>0</v>
      </c>
      <c r="AR5" s="4043" t="b">
        <f>IF(ISERROR(FIND("Hawaii",B13)),FALSE,TRUE)</f>
        <v>0</v>
      </c>
      <c r="AS5" s="64"/>
      <c r="AT5" s="64"/>
      <c r="AU5" s="305"/>
      <c r="AV5" s="305"/>
      <c r="AW5" s="305"/>
      <c r="AX5" s="305"/>
      <c r="AY5" s="305"/>
      <c r="BA5" s="2070"/>
      <c r="BB5" s="2070"/>
      <c r="BC5" s="2070"/>
      <c r="BD5" s="2070"/>
    </row>
    <row r="6" spans="1:56" ht="11.25" customHeight="1" thickBot="1">
      <c r="A6" s="857"/>
      <c r="B6" s="83"/>
      <c r="C6" s="54" t="s">
        <v>741</v>
      </c>
      <c r="D6" s="1539"/>
      <c r="E6" s="83"/>
      <c r="F6" s="54"/>
      <c r="G6" s="539"/>
      <c r="H6" s="539"/>
      <c r="I6" s="1537"/>
      <c r="J6" s="542" t="s">
        <v>285</v>
      </c>
      <c r="K6" s="539"/>
      <c r="L6" s="539"/>
      <c r="M6" s="539"/>
      <c r="N6" s="539"/>
      <c r="O6" s="54"/>
      <c r="P6" s="539"/>
      <c r="Q6" s="539"/>
      <c r="R6" s="539"/>
      <c r="S6" s="54"/>
      <c r="T6" s="54"/>
      <c r="U6" s="54"/>
      <c r="V6" s="539"/>
      <c r="W6" s="539"/>
      <c r="X6" s="539"/>
      <c r="Y6" s="4824" t="s">
        <v>148</v>
      </c>
      <c r="Z6" s="4825"/>
      <c r="AA6" s="4826"/>
      <c r="AB6" s="4826"/>
      <c r="AC6" s="4826"/>
      <c r="AD6" s="4826"/>
      <c r="AE6" s="4826"/>
      <c r="AF6" s="4826"/>
      <c r="AG6" s="4826"/>
      <c r="AH6" s="130"/>
      <c r="AI6" s="44"/>
      <c r="AJ6" s="44"/>
      <c r="AK6" s="44"/>
      <c r="AL6" s="2117"/>
      <c r="AM6" s="2117"/>
      <c r="AN6" s="2117"/>
      <c r="AO6" s="2117"/>
      <c r="AP6" s="2117"/>
      <c r="AQ6" s="4044" t="b">
        <f>OR(AQ3,AQ4,AQ5)</f>
        <v>0</v>
      </c>
      <c r="AR6" s="4045" t="b">
        <f>OR(AR3,AR4,AR5)</f>
        <v>0</v>
      </c>
      <c r="AS6" s="64"/>
      <c r="AT6" s="64"/>
      <c r="AU6" s="64"/>
      <c r="AV6" s="64"/>
      <c r="AW6" s="64"/>
      <c r="AX6" s="64"/>
      <c r="AY6" s="64"/>
      <c r="BA6" s="2070"/>
      <c r="BB6" s="2070"/>
      <c r="BC6" s="2070"/>
      <c r="BD6" s="2070"/>
    </row>
    <row r="7" spans="1:56" ht="17.25" customHeight="1">
      <c r="A7" s="857"/>
      <c r="B7" s="4846"/>
      <c r="C7" s="4846"/>
      <c r="D7" s="4847"/>
      <c r="E7" s="4847"/>
      <c r="F7" s="4847"/>
      <c r="G7" s="4847"/>
      <c r="H7" s="4847"/>
      <c r="I7" s="4848"/>
      <c r="J7" s="4774"/>
      <c r="K7" s="4770"/>
      <c r="L7" s="4770"/>
      <c r="M7" s="4770"/>
      <c r="N7" s="4770"/>
      <c r="O7" s="4770"/>
      <c r="P7" s="4770"/>
      <c r="Q7" s="4770"/>
      <c r="R7" s="4770"/>
      <c r="S7" s="4770"/>
      <c r="T7" s="4770"/>
      <c r="U7" s="4770"/>
      <c r="V7" s="4770"/>
      <c r="W7" s="4770"/>
      <c r="X7" s="4771"/>
      <c r="Y7" s="4777"/>
      <c r="Z7" s="4778"/>
      <c r="AA7" s="4778"/>
      <c r="AB7" s="4778"/>
      <c r="AC7" s="4778"/>
      <c r="AD7" s="4778"/>
      <c r="AE7" s="4778"/>
      <c r="AF7" s="4778"/>
      <c r="AG7" s="4778"/>
      <c r="AH7" s="72"/>
      <c r="AI7" s="45"/>
      <c r="AJ7" s="45"/>
      <c r="AK7" s="45"/>
      <c r="AL7" s="2610" t="str">
        <f>Name_1st_Yours&amp;" "&amp;Name_Last_Yours</f>
        <v xml:space="preserve"> </v>
      </c>
      <c r="AM7" s="2610" t="str">
        <f>Name_1st_Sp&amp;" "&amp;Name_Last_Sp</f>
        <v xml:space="preserve"> </v>
      </c>
      <c r="AN7" s="2117"/>
      <c r="AO7" s="2117"/>
      <c r="AP7" s="2117"/>
      <c r="AQ7" s="2613"/>
      <c r="AR7" s="2613"/>
      <c r="AS7" s="64"/>
      <c r="AT7" s="64"/>
      <c r="AU7" s="64"/>
      <c r="AV7" s="64"/>
      <c r="AW7" s="64"/>
      <c r="AX7" s="64"/>
      <c r="AY7" s="64"/>
      <c r="BA7" s="2070"/>
      <c r="BB7" s="2070"/>
      <c r="BC7" s="2070"/>
      <c r="BD7" s="2070"/>
    </row>
    <row r="8" spans="1:56" ht="11.25" customHeight="1" thickBot="1">
      <c r="A8" s="857"/>
      <c r="B8" s="1538"/>
      <c r="C8" s="54" t="s">
        <v>191</v>
      </c>
      <c r="D8" s="1539"/>
      <c r="E8" s="83"/>
      <c r="F8" s="54"/>
      <c r="G8" s="54"/>
      <c r="H8" s="54"/>
      <c r="I8" s="538"/>
      <c r="J8" s="542" t="s">
        <v>285</v>
      </c>
      <c r="K8" s="45"/>
      <c r="L8" s="45"/>
      <c r="M8" s="45"/>
      <c r="N8" s="45"/>
      <c r="O8" s="54"/>
      <c r="P8" s="45"/>
      <c r="Q8" s="45"/>
      <c r="R8" s="45"/>
      <c r="S8" s="54"/>
      <c r="T8" s="45"/>
      <c r="U8" s="45"/>
      <c r="V8" s="45"/>
      <c r="W8" s="45"/>
      <c r="X8" s="45"/>
      <c r="Y8" s="4782" t="s">
        <v>629</v>
      </c>
      <c r="Z8" s="4783"/>
      <c r="AA8" s="4784"/>
      <c r="AB8" s="4784"/>
      <c r="AC8" s="4784"/>
      <c r="AD8" s="4784"/>
      <c r="AE8" s="4784"/>
      <c r="AF8" s="4784"/>
      <c r="AG8" s="4784"/>
      <c r="AH8" s="72"/>
      <c r="AI8" s="2146"/>
      <c r="AJ8" s="45"/>
      <c r="AK8" s="45"/>
      <c r="AL8" s="2117"/>
      <c r="AM8" s="2117"/>
      <c r="AN8" s="2117"/>
      <c r="AO8" s="2117"/>
      <c r="AP8" s="2117"/>
      <c r="AQ8" s="2613"/>
      <c r="AR8" s="2613"/>
      <c r="AS8" s="64"/>
      <c r="AT8" s="64"/>
      <c r="AU8" s="64"/>
      <c r="AV8" s="64"/>
      <c r="AW8" s="64"/>
      <c r="AX8" s="64"/>
      <c r="AY8" s="64"/>
      <c r="BA8" s="2070"/>
      <c r="BB8" s="2070"/>
      <c r="BC8" s="2070"/>
      <c r="BD8" s="2070"/>
    </row>
    <row r="9" spans="1:56" ht="17.25" customHeight="1">
      <c r="A9" s="857"/>
      <c r="B9" s="4770"/>
      <c r="C9" s="4770"/>
      <c r="D9" s="4770"/>
      <c r="E9" s="4770"/>
      <c r="F9" s="4770"/>
      <c r="G9" s="4770"/>
      <c r="H9" s="4770"/>
      <c r="I9" s="4771"/>
      <c r="J9" s="4774"/>
      <c r="K9" s="4770"/>
      <c r="L9" s="4770"/>
      <c r="M9" s="4770"/>
      <c r="N9" s="4770"/>
      <c r="O9" s="4770"/>
      <c r="P9" s="4770"/>
      <c r="Q9" s="4770"/>
      <c r="R9" s="4770"/>
      <c r="S9" s="4770"/>
      <c r="T9" s="4770"/>
      <c r="U9" s="4770"/>
      <c r="V9" s="4770"/>
      <c r="W9" s="4770"/>
      <c r="X9" s="4771"/>
      <c r="Y9" s="4777"/>
      <c r="Z9" s="4778"/>
      <c r="AA9" s="4778"/>
      <c r="AB9" s="4778"/>
      <c r="AC9" s="4778"/>
      <c r="AD9" s="4778"/>
      <c r="AE9" s="4778"/>
      <c r="AF9" s="4778"/>
      <c r="AG9" s="4778"/>
      <c r="AH9" s="949"/>
      <c r="AI9" s="2817"/>
      <c r="AJ9" s="4027"/>
      <c r="AK9" s="4129" t="str">
        <f>IF(AND(File_Marr_Joint&lt;&gt;"",AQ11,AQ13),"Birthdates",IF(File_Marr_Joint&lt;&gt;"","Enter your birthdate and your spouse's birthdate.",IF(AQ11,"Birthdate","Enter your birthdate.")))</f>
        <v>Enter your birthdate.</v>
      </c>
      <c r="AL9" s="4028"/>
      <c r="AM9" s="2595"/>
      <c r="AN9" s="2595"/>
      <c r="AO9" s="2595"/>
      <c r="AP9" s="2596"/>
      <c r="AQ9" s="1473"/>
      <c r="AR9" s="2613"/>
      <c r="AS9" s="64"/>
      <c r="AT9" s="64"/>
      <c r="AU9" s="64"/>
      <c r="AV9" s="64"/>
      <c r="AW9" s="64"/>
      <c r="AX9" s="64"/>
      <c r="AY9" s="64"/>
      <c r="BA9" s="2070"/>
      <c r="BB9" s="2070"/>
      <c r="BC9" s="2070"/>
      <c r="BD9" s="2070"/>
    </row>
    <row r="10" spans="1:56" ht="14.25" customHeight="1" thickBot="1">
      <c r="A10" s="857"/>
      <c r="B10" s="399"/>
      <c r="C10" s="45" t="s">
        <v>782</v>
      </c>
      <c r="D10" s="1535"/>
      <c r="E10" s="44"/>
      <c r="F10" s="45"/>
      <c r="G10" s="45"/>
      <c r="H10" s="45"/>
      <c r="I10" s="45"/>
      <c r="J10" s="54"/>
      <c r="K10" s="54"/>
      <c r="L10" s="54"/>
      <c r="M10" s="54"/>
      <c r="N10" s="54"/>
      <c r="O10" s="54"/>
      <c r="P10" s="54"/>
      <c r="Q10" s="54"/>
      <c r="R10" s="54"/>
      <c r="S10" s="54"/>
      <c r="T10" s="54"/>
      <c r="U10" s="54"/>
      <c r="V10" s="542" t="s">
        <v>284</v>
      </c>
      <c r="W10" s="54"/>
      <c r="X10" s="538"/>
      <c r="Y10" s="2183"/>
      <c r="Z10" s="2183"/>
      <c r="AA10" s="4828" t="s">
        <v>781</v>
      </c>
      <c r="AB10" s="4828"/>
      <c r="AC10" s="4829"/>
      <c r="AD10" s="4829"/>
      <c r="AE10" s="4829"/>
      <c r="AF10" s="4829"/>
      <c r="AG10" s="4830"/>
      <c r="AH10" s="935"/>
      <c r="AI10" s="4023"/>
      <c r="AJ10" s="4029"/>
      <c r="AK10" s="4023"/>
      <c r="AL10" s="4024"/>
      <c r="AM10" s="4024" t="s">
        <v>3164</v>
      </c>
      <c r="AN10" s="4024" t="s">
        <v>3165</v>
      </c>
      <c r="AO10" s="4024" t="s">
        <v>3166</v>
      </c>
      <c r="AP10" s="3510"/>
      <c r="AQ10" s="2613"/>
      <c r="AR10" s="2613"/>
      <c r="AS10" s="437"/>
      <c r="AT10" s="64"/>
      <c r="AU10" s="64"/>
      <c r="AV10" s="64"/>
      <c r="AW10" s="64"/>
      <c r="AX10" s="64"/>
      <c r="AY10" s="64"/>
      <c r="AZ10" s="64"/>
      <c r="BA10" s="2117"/>
      <c r="BB10" s="2117"/>
      <c r="BC10" s="2070"/>
      <c r="BD10" s="2070"/>
    </row>
    <row r="11" spans="1:56" ht="15" customHeight="1" thickBot="1">
      <c r="A11" s="857"/>
      <c r="B11" s="4770"/>
      <c r="C11" s="4770"/>
      <c r="D11" s="4770"/>
      <c r="E11" s="4770"/>
      <c r="F11" s="4770"/>
      <c r="G11" s="4770"/>
      <c r="H11" s="4770"/>
      <c r="I11" s="4770"/>
      <c r="J11" s="4770"/>
      <c r="K11" s="4770"/>
      <c r="L11" s="4770"/>
      <c r="M11" s="4770"/>
      <c r="N11" s="4770"/>
      <c r="O11" s="4770"/>
      <c r="P11" s="4770"/>
      <c r="Q11" s="4770"/>
      <c r="R11" s="4770"/>
      <c r="S11" s="4770"/>
      <c r="T11" s="4770"/>
      <c r="U11" s="4771"/>
      <c r="V11" s="4808"/>
      <c r="W11" s="4809"/>
      <c r="X11" s="4810"/>
      <c r="Y11" s="2171"/>
      <c r="Z11" s="2171"/>
      <c r="AA11" s="4831"/>
      <c r="AB11" s="4831"/>
      <c r="AC11" s="4831"/>
      <c r="AD11" s="4831"/>
      <c r="AE11" s="4831"/>
      <c r="AF11" s="4831"/>
      <c r="AG11" s="4832"/>
      <c r="AH11" s="935"/>
      <c r="AI11" s="4047"/>
      <c r="AJ11" s="4036"/>
      <c r="AK11" s="3833"/>
      <c r="AL11" s="4024" t="s">
        <v>3337</v>
      </c>
      <c r="AM11" s="4037"/>
      <c r="AN11" s="4037"/>
      <c r="AO11" s="4037"/>
      <c r="AP11" s="4030"/>
      <c r="AQ11" s="1473" t="b">
        <f>IF(OR(YourBirthMonth="",YourBirthDay="",YourBirthYear=""),FALSE,TRUE)</f>
        <v>0</v>
      </c>
      <c r="AR11" s="1473" t="str">
        <f>IF(OR(YourBirthMonth="",YourBirthDay="",YourBirthYear=""),"",IF(AT42,"Your birthdate appears to be in error.",IF(AQ12,"For IRS purposes, you were "&amp;YourAge&amp;" years old on December 31, "&amp;TaxYear&amp;".","You were "&amp;YourAge&amp;" years old on December 31, "&amp;TaxYear&amp;".")))</f>
        <v/>
      </c>
      <c r="AS11" s="437"/>
      <c r="AT11" s="64"/>
      <c r="AU11" s="64"/>
      <c r="AV11" s="64"/>
      <c r="AW11" s="64"/>
      <c r="AX11" s="64"/>
      <c r="AY11" s="64"/>
      <c r="AZ11" s="64"/>
      <c r="BA11" s="2117"/>
      <c r="BB11" s="2117"/>
      <c r="BC11" s="2070"/>
      <c r="BD11" s="2070"/>
    </row>
    <row r="12" spans="1:56" ht="12" customHeight="1" thickBot="1">
      <c r="A12" s="857"/>
      <c r="B12" s="599"/>
      <c r="C12" s="54" t="s">
        <v>1018</v>
      </c>
      <c r="D12" s="1540"/>
      <c r="E12" s="83"/>
      <c r="F12" s="54"/>
      <c r="G12" s="54"/>
      <c r="H12" s="54"/>
      <c r="I12" s="54"/>
      <c r="J12" s="54"/>
      <c r="K12" s="54"/>
      <c r="L12" s="54"/>
      <c r="M12" s="54"/>
      <c r="N12" s="54"/>
      <c r="O12" s="54"/>
      <c r="P12" s="54"/>
      <c r="Q12" s="54"/>
      <c r="R12" s="54"/>
      <c r="S12" s="54"/>
      <c r="T12" s="54"/>
      <c r="U12" s="54"/>
      <c r="V12" s="54"/>
      <c r="W12" s="54"/>
      <c r="X12" s="538"/>
      <c r="Y12" s="4837" t="s">
        <v>1022</v>
      </c>
      <c r="Z12" s="4838"/>
      <c r="AA12" s="4838"/>
      <c r="AB12" s="4838"/>
      <c r="AC12" s="4838"/>
      <c r="AD12" s="4838"/>
      <c r="AE12" s="4838"/>
      <c r="AF12" s="4838"/>
      <c r="AG12" s="4838"/>
      <c r="AH12" s="935"/>
      <c r="AI12" s="4025"/>
      <c r="AJ12" s="4031"/>
      <c r="AK12" s="4025"/>
      <c r="AL12" s="4024"/>
      <c r="AM12" s="2146" t="str">
        <f>AR11</f>
        <v/>
      </c>
      <c r="AN12" s="4025"/>
      <c r="AO12" s="4025"/>
      <c r="AP12" s="4032"/>
      <c r="AQ12" s="1473" t="b">
        <f>IF(AND(YourBirthMonth=1,YourBirthDay=1),TRUE,FALSE)</f>
        <v>0</v>
      </c>
      <c r="AR12" s="2613"/>
      <c r="AS12" s="437"/>
      <c r="AT12" s="64"/>
      <c r="AU12" s="64"/>
      <c r="AV12" s="64"/>
      <c r="AW12" s="64"/>
      <c r="AX12" s="64"/>
      <c r="AY12" s="64"/>
      <c r="AZ12" s="64"/>
      <c r="BA12" s="2117"/>
      <c r="BB12" s="2117"/>
      <c r="BC12" s="2070"/>
      <c r="BD12" s="2070"/>
    </row>
    <row r="13" spans="1:56" ht="15" customHeight="1" thickBot="1">
      <c r="A13" s="857"/>
      <c r="B13" s="4770"/>
      <c r="C13" s="4770"/>
      <c r="D13" s="4770"/>
      <c r="E13" s="4770"/>
      <c r="F13" s="4770"/>
      <c r="G13" s="4770"/>
      <c r="H13" s="4770"/>
      <c r="I13" s="4770"/>
      <c r="J13" s="4770"/>
      <c r="K13" s="4770"/>
      <c r="L13" s="4770"/>
      <c r="M13" s="4770"/>
      <c r="N13" s="4770"/>
      <c r="O13" s="4770"/>
      <c r="P13" s="4770"/>
      <c r="Q13" s="4770"/>
      <c r="R13" s="4770"/>
      <c r="S13" s="4770"/>
      <c r="T13" s="4770"/>
      <c r="U13" s="4770"/>
      <c r="V13" s="4770"/>
      <c r="W13" s="4770"/>
      <c r="X13" s="4771"/>
      <c r="Y13" s="4910" t="s">
        <v>1023</v>
      </c>
      <c r="Z13" s="4911"/>
      <c r="AA13" s="4911"/>
      <c r="AB13" s="4911"/>
      <c r="AC13" s="4911"/>
      <c r="AD13" s="4911"/>
      <c r="AE13" s="4911"/>
      <c r="AF13" s="4911"/>
      <c r="AG13" s="4911"/>
      <c r="AH13" s="935"/>
      <c r="AI13" s="4047"/>
      <c r="AJ13" s="4036"/>
      <c r="AK13" s="3833"/>
      <c r="AL13" s="4024" t="str">
        <f>IF(File_Marr_Joint&lt;&gt;"","Your Spouse","")</f>
        <v/>
      </c>
      <c r="AM13" s="4037"/>
      <c r="AN13" s="4037"/>
      <c r="AO13" s="4037"/>
      <c r="AP13" s="4030"/>
      <c r="AQ13" s="1473" t="b">
        <f>IF(OR(File_Marr_Joint="",SpouseBirthMonth="",SpouseBirthDay="",SpouseBirthYear=""),FALSE,TRUE)</f>
        <v>0</v>
      </c>
      <c r="AR13" s="1473" t="str">
        <f>IF(OR(File_Marr_Joint="",SpouseBirthMonth="",SpouseBirthDay="",SpouseBirthYear=""),"",IF(AT57,"Your birthdate appears to be in error.",IF(AQ14,"For IRS purposes, you were "&amp;SpouseAge&amp;" years old on December 31, "&amp;TaxYear&amp;".","Your spouse was "&amp;SpouseAge&amp;" years old on December 31, "&amp;TaxYear&amp;".")))</f>
        <v/>
      </c>
      <c r="AS13" s="437"/>
      <c r="AT13" s="64"/>
      <c r="AU13" s="64"/>
      <c r="AV13" s="64"/>
      <c r="AW13" s="64"/>
      <c r="AX13" s="64"/>
      <c r="AY13" s="64"/>
      <c r="AZ13" s="64"/>
      <c r="BA13" s="2117"/>
      <c r="BB13" s="2117"/>
      <c r="BC13" s="2070"/>
      <c r="BD13" s="2070"/>
    </row>
    <row r="14" spans="1:56" ht="19.5" customHeight="1" thickBot="1">
      <c r="A14" s="857"/>
      <c r="B14" s="859"/>
      <c r="C14" s="1543" t="s">
        <v>1019</v>
      </c>
      <c r="D14" s="1933"/>
      <c r="E14" s="44"/>
      <c r="F14" s="1934"/>
      <c r="G14" s="1934"/>
      <c r="H14" s="1934"/>
      <c r="I14" s="1934"/>
      <c r="J14" s="1934"/>
      <c r="K14" s="1934"/>
      <c r="L14" s="1934"/>
      <c r="M14" s="1934"/>
      <c r="N14" s="1544" t="s">
        <v>1402</v>
      </c>
      <c r="O14" s="54"/>
      <c r="P14" s="1935"/>
      <c r="Q14" s="1935"/>
      <c r="R14" s="1935"/>
      <c r="S14" s="1936"/>
      <c r="T14" s="1544" t="s">
        <v>1020</v>
      </c>
      <c r="U14" s="1935"/>
      <c r="V14" s="1935"/>
      <c r="W14" s="1541"/>
      <c r="X14" s="1542"/>
      <c r="Y14" s="4912"/>
      <c r="Z14" s="4913"/>
      <c r="AA14" s="4913"/>
      <c r="AB14" s="4913"/>
      <c r="AC14" s="4913"/>
      <c r="AD14" s="4913"/>
      <c r="AE14" s="4913"/>
      <c r="AF14" s="4913"/>
      <c r="AG14" s="4913"/>
      <c r="AH14" s="950"/>
      <c r="AI14" s="4026"/>
      <c r="AJ14" s="4033"/>
      <c r="AK14" s="4034"/>
      <c r="AL14" s="4034"/>
      <c r="AM14" s="4130" t="str">
        <f>AR13</f>
        <v/>
      </c>
      <c r="AN14" s="4034"/>
      <c r="AO14" s="4034"/>
      <c r="AP14" s="4035"/>
      <c r="AQ14" s="1473" t="b">
        <f>IF(AND(SpouseBirthMonth=1,SpouseBirthDay=1),TRUE,FALSE)</f>
        <v>0</v>
      </c>
      <c r="AR14" s="2613"/>
      <c r="AS14" s="437"/>
      <c r="AT14" s="64"/>
      <c r="AU14" s="64"/>
      <c r="AV14" s="64"/>
      <c r="AW14" s="64"/>
      <c r="AX14" s="64"/>
      <c r="AY14" s="64"/>
      <c r="AZ14" s="64"/>
      <c r="BA14" s="2117"/>
      <c r="BB14" s="2117"/>
      <c r="BC14" s="2070"/>
      <c r="BD14" s="2070"/>
    </row>
    <row r="15" spans="1:56" ht="12.75" customHeight="1">
      <c r="A15" s="857"/>
      <c r="B15" s="4893"/>
      <c r="C15" s="4894"/>
      <c r="D15" s="4894"/>
      <c r="E15" s="4894"/>
      <c r="F15" s="4894"/>
      <c r="G15" s="4894"/>
      <c r="H15" s="4894"/>
      <c r="I15" s="4894"/>
      <c r="J15" s="4894"/>
      <c r="K15" s="4894"/>
      <c r="L15" s="4894"/>
      <c r="M15" s="4895"/>
      <c r="N15" s="4898"/>
      <c r="O15" s="4899"/>
      <c r="P15" s="4899"/>
      <c r="Q15" s="4899"/>
      <c r="R15" s="4899"/>
      <c r="S15" s="4900"/>
      <c r="T15" s="4904"/>
      <c r="U15" s="4905"/>
      <c r="V15" s="4905"/>
      <c r="W15" s="4905"/>
      <c r="X15" s="4906"/>
      <c r="Y15" s="2184" t="s">
        <v>1024</v>
      </c>
      <c r="Z15" s="2185"/>
      <c r="AA15" s="2185"/>
      <c r="AB15" s="2118"/>
      <c r="AC15" s="2187" t="s">
        <v>510</v>
      </c>
      <c r="AD15" s="2185"/>
      <c r="AE15" s="2118"/>
      <c r="AF15" s="2187" t="s">
        <v>511</v>
      </c>
      <c r="AG15" s="2189"/>
      <c r="AH15" s="951"/>
      <c r="AI15" s="2900" t="b">
        <f>IF(OR(File_Single=CHAR(32),File_Marr_Joint=CHAR(32),File_Head=CHAR(32),File_Qual_Widow=CHAR(32),File_Marr_Sep=CHAR(32)),TRUE,FALSE)</f>
        <v>0</v>
      </c>
      <c r="AJ15" s="646"/>
      <c r="AK15" s="4046"/>
      <c r="AL15" s="2117"/>
      <c r="AM15" s="2117"/>
      <c r="AN15" s="2117"/>
      <c r="AO15" s="2117"/>
      <c r="AP15" s="2117"/>
      <c r="AQ15" s="2117"/>
      <c r="AR15" s="2117"/>
      <c r="AS15" s="2117"/>
      <c r="AT15" s="2117"/>
      <c r="AU15" s="2117"/>
      <c r="AV15" s="2117"/>
      <c r="AW15" s="2117"/>
      <c r="AX15" s="2117"/>
      <c r="AY15" s="2117"/>
      <c r="AZ15" s="2070"/>
      <c r="BA15" s="2070"/>
      <c r="BB15" s="2070"/>
      <c r="BC15" s="2070"/>
      <c r="BD15" s="2070"/>
    </row>
    <row r="16" spans="1:56" ht="6" customHeight="1">
      <c r="A16" s="857"/>
      <c r="B16" s="4896"/>
      <c r="C16" s="4896"/>
      <c r="D16" s="4896"/>
      <c r="E16" s="4896"/>
      <c r="F16" s="4896"/>
      <c r="G16" s="4896"/>
      <c r="H16" s="4896"/>
      <c r="I16" s="4896"/>
      <c r="J16" s="4896"/>
      <c r="K16" s="4896"/>
      <c r="L16" s="4896"/>
      <c r="M16" s="4897"/>
      <c r="N16" s="4901"/>
      <c r="O16" s="4902"/>
      <c r="P16" s="4902"/>
      <c r="Q16" s="4902"/>
      <c r="R16" s="4902"/>
      <c r="S16" s="4903"/>
      <c r="T16" s="4907"/>
      <c r="U16" s="4908"/>
      <c r="V16" s="4908"/>
      <c r="W16" s="4908"/>
      <c r="X16" s="4909"/>
      <c r="Y16" s="2186"/>
      <c r="Z16" s="2186"/>
      <c r="AA16" s="2186"/>
      <c r="AB16" s="2188"/>
      <c r="AC16" s="2188"/>
      <c r="AD16" s="2188"/>
      <c r="AE16" s="2188"/>
      <c r="AF16" s="2188"/>
      <c r="AG16" s="2190"/>
      <c r="AH16" s="951"/>
      <c r="AI16" s="646"/>
      <c r="AJ16" s="646"/>
      <c r="AK16" s="646"/>
      <c r="AL16" s="2117"/>
      <c r="AM16" s="2117"/>
      <c r="AN16" s="2117"/>
      <c r="AO16" s="2117"/>
      <c r="AP16" s="2117"/>
      <c r="AQ16" s="2117"/>
      <c r="AR16" s="2117"/>
      <c r="AS16" s="2117"/>
      <c r="AT16" s="2117"/>
      <c r="AU16" s="2117"/>
      <c r="AV16" s="2117"/>
      <c r="AW16" s="2117"/>
      <c r="AX16" s="2117"/>
      <c r="AY16" s="2117"/>
      <c r="AZ16" s="2070"/>
      <c r="BA16" s="2070"/>
      <c r="BB16" s="2070"/>
      <c r="BC16" s="2070"/>
      <c r="BD16" s="2070"/>
    </row>
    <row r="17" spans="1:56" ht="6" customHeight="1">
      <c r="A17" s="857"/>
      <c r="B17" s="389"/>
      <c r="C17" s="45"/>
      <c r="D17" s="2160"/>
      <c r="E17" s="2169"/>
      <c r="F17" s="2172"/>
      <c r="G17" s="2172"/>
      <c r="H17" s="2172"/>
      <c r="I17" s="2172"/>
      <c r="J17" s="2172"/>
      <c r="K17" s="2172"/>
      <c r="L17" s="2172"/>
      <c r="M17" s="2172"/>
      <c r="N17" s="2172"/>
      <c r="O17" s="2172"/>
      <c r="P17" s="2172"/>
      <c r="Q17" s="2172"/>
      <c r="R17" s="2172"/>
      <c r="S17" s="2172"/>
      <c r="T17" s="2172"/>
      <c r="U17" s="2191"/>
      <c r="V17" s="2172"/>
      <c r="W17" s="2172"/>
      <c r="X17" s="2192"/>
      <c r="Y17" s="2193"/>
      <c r="Z17" s="2193"/>
      <c r="AA17" s="2193"/>
      <c r="AB17" s="2194"/>
      <c r="AC17" s="2194"/>
      <c r="AD17" s="2194"/>
      <c r="AE17" s="2194"/>
      <c r="AF17" s="2194"/>
      <c r="AG17" s="2195"/>
      <c r="AH17" s="951"/>
      <c r="AI17" s="646"/>
      <c r="AJ17" s="646"/>
      <c r="AK17" s="646"/>
      <c r="AL17" s="2117"/>
      <c r="AM17" s="2117"/>
      <c r="AN17" s="2117"/>
      <c r="AO17" s="2117"/>
      <c r="AP17" s="2117"/>
      <c r="AQ17" s="2117"/>
      <c r="AR17" s="2117"/>
      <c r="AS17" s="2117"/>
      <c r="AT17" s="2117"/>
      <c r="AU17" s="2117"/>
      <c r="AV17" s="2117"/>
      <c r="AW17" s="2117"/>
      <c r="AX17" s="2117"/>
      <c r="AY17" s="2117"/>
      <c r="AZ17" s="2070"/>
      <c r="BA17" s="2070"/>
      <c r="BB17" s="2070"/>
      <c r="BC17" s="2070"/>
      <c r="BD17" s="2070"/>
    </row>
    <row r="18" spans="1:56" ht="10.5" customHeight="1">
      <c r="A18" s="857"/>
      <c r="B18" s="4797" t="s">
        <v>125</v>
      </c>
      <c r="C18" s="4798"/>
      <c r="D18" s="2196">
        <v>1</v>
      </c>
      <c r="E18" s="2119"/>
      <c r="F18" s="2155" t="s">
        <v>124</v>
      </c>
      <c r="G18" s="2155"/>
      <c r="H18" s="2155"/>
      <c r="I18" s="2155"/>
      <c r="J18" s="2155"/>
      <c r="K18" s="2155"/>
      <c r="L18" s="2155"/>
      <c r="M18" s="2201" t="str">
        <f>IF(SpaceUsed_1040,"ERROR: DO NOT use a space. Use 'Delete'.",IF(AI22=0,"CHECK ONE BOX  ( Use 'X' )",IF(AI22&gt;1,"CHECK ONLY ONE BOX","")))</f>
        <v>CHECK ONE BOX  ( Use 'X' )</v>
      </c>
      <c r="N18" s="2201"/>
      <c r="O18" s="2155"/>
      <c r="P18" s="2155"/>
      <c r="Q18" s="2155"/>
      <c r="R18" s="2155"/>
      <c r="S18" s="2155"/>
      <c r="T18" s="2196">
        <v>4</v>
      </c>
      <c r="U18" s="2119"/>
      <c r="V18" s="2155" t="s">
        <v>783</v>
      </c>
      <c r="W18" s="2155"/>
      <c r="X18" s="2209"/>
      <c r="Y18" s="2210"/>
      <c r="Z18" s="2210"/>
      <c r="AA18" s="2210"/>
      <c r="AB18" s="2215"/>
      <c r="AC18" s="2215"/>
      <c r="AD18" s="2215"/>
      <c r="AE18" s="2215"/>
      <c r="AF18" s="2215"/>
      <c r="AG18" s="2216"/>
      <c r="AH18" s="959">
        <f>IF(File_Single&lt;&gt;"",1,0)</f>
        <v>0</v>
      </c>
      <c r="AI18" s="650">
        <f>IF(File_Head&lt;&gt;"",1,0)</f>
        <v>0</v>
      </c>
      <c r="AJ18" s="648"/>
      <c r="AK18" s="647"/>
      <c r="AL18" s="2117"/>
      <c r="AM18" s="2117"/>
      <c r="AN18" s="2117"/>
      <c r="AO18" s="2117"/>
      <c r="AP18" s="2117"/>
      <c r="AQ18" s="2117"/>
      <c r="AR18" s="2117"/>
      <c r="AS18" s="2117"/>
      <c r="AT18" s="2117"/>
      <c r="AU18" s="2117"/>
      <c r="AV18" s="2117"/>
      <c r="AW18" s="2117"/>
      <c r="AX18" s="2117"/>
      <c r="AY18" s="2117"/>
      <c r="AZ18" s="2070"/>
      <c r="BA18" s="2070"/>
      <c r="BB18" s="2070"/>
      <c r="BC18" s="2070"/>
      <c r="BD18" s="2070"/>
    </row>
    <row r="19" spans="1:56" ht="5.25" customHeight="1">
      <c r="A19" s="857"/>
      <c r="B19" s="4797"/>
      <c r="C19" s="4798"/>
      <c r="D19" s="2152"/>
      <c r="E19" s="2198"/>
      <c r="F19" s="2155"/>
      <c r="G19" s="2155"/>
      <c r="H19" s="2155"/>
      <c r="I19" s="2155"/>
      <c r="J19" s="2155"/>
      <c r="K19" s="2155"/>
      <c r="L19" s="2155"/>
      <c r="M19" s="2155"/>
      <c r="N19" s="2202"/>
      <c r="O19" s="2155"/>
      <c r="P19" s="2155"/>
      <c r="Q19" s="2155"/>
      <c r="R19" s="2155"/>
      <c r="S19" s="2155"/>
      <c r="T19" s="2162"/>
      <c r="U19" s="2208"/>
      <c r="V19" s="2155"/>
      <c r="W19" s="2155"/>
      <c r="X19" s="2209"/>
      <c r="Y19" s="2210"/>
      <c r="Z19" s="2210"/>
      <c r="AA19" s="2210"/>
      <c r="AB19" s="2215"/>
      <c r="AC19" s="2215"/>
      <c r="AD19" s="2215"/>
      <c r="AE19" s="2215"/>
      <c r="AF19" s="2215"/>
      <c r="AG19" s="2216"/>
      <c r="AH19" s="959"/>
      <c r="AI19" s="650"/>
      <c r="AJ19" s="648"/>
      <c r="AK19" s="647"/>
      <c r="AL19" s="2117"/>
      <c r="AM19" s="2117"/>
      <c r="AN19" s="2117"/>
      <c r="AO19" s="2117"/>
      <c r="AP19" s="2117"/>
      <c r="AQ19" s="2117"/>
      <c r="AR19" s="2117"/>
      <c r="AS19" s="2117"/>
      <c r="AT19" s="2117"/>
      <c r="AU19" s="2117"/>
      <c r="AV19" s="2117"/>
      <c r="AW19" s="2117"/>
      <c r="AX19" s="2117"/>
      <c r="AY19" s="2117"/>
      <c r="AZ19" s="2070"/>
      <c r="BA19" s="2070"/>
      <c r="BB19" s="2070"/>
      <c r="BC19" s="2070"/>
      <c r="BD19" s="2070"/>
    </row>
    <row r="20" spans="1:56" ht="10.5" customHeight="1">
      <c r="A20" s="857"/>
      <c r="B20" s="389"/>
      <c r="C20" s="55"/>
      <c r="D20" s="2196">
        <v>2</v>
      </c>
      <c r="E20" s="2119"/>
      <c r="F20" s="2155" t="s">
        <v>310</v>
      </c>
      <c r="G20" s="2155"/>
      <c r="H20" s="2155"/>
      <c r="I20" s="2155"/>
      <c r="J20" s="2155"/>
      <c r="K20" s="2155"/>
      <c r="L20" s="2155"/>
      <c r="M20" s="2155"/>
      <c r="N20" s="2155"/>
      <c r="O20" s="2155"/>
      <c r="P20" s="2155"/>
      <c r="Q20" s="2155"/>
      <c r="R20" s="2155"/>
      <c r="S20" s="2155"/>
      <c r="T20" s="2163"/>
      <c r="U20" s="2163"/>
      <c r="V20" s="2155" t="s">
        <v>80</v>
      </c>
      <c r="W20" s="2155"/>
      <c r="X20" s="2163"/>
      <c r="Y20" s="2210"/>
      <c r="Z20" s="2210"/>
      <c r="AA20" s="2210"/>
      <c r="AB20" s="2217"/>
      <c r="AC20" s="2217"/>
      <c r="AD20" s="2217"/>
      <c r="AE20" s="2217"/>
      <c r="AF20" s="2217"/>
      <c r="AG20" s="2216"/>
      <c r="AH20" s="959">
        <f>IF(File_Marr_Joint&lt;&gt;"",1,0)</f>
        <v>0</v>
      </c>
      <c r="AI20" s="650">
        <f>IF(File_Qual_Widow&lt;&gt;"",1,0)</f>
        <v>0</v>
      </c>
      <c r="AJ20" s="648"/>
      <c r="AK20" s="2699" t="b">
        <f>IF(AND(File_Marr_Joint="",NumFileStatusBoxes=1),TRUE,FALSE)</f>
        <v>0</v>
      </c>
      <c r="AL20" s="2117"/>
      <c r="AM20" s="2117"/>
      <c r="AN20" s="2117"/>
      <c r="AO20" s="2117"/>
      <c r="AP20" s="2117"/>
      <c r="AQ20" s="2117"/>
      <c r="AR20" s="2117"/>
      <c r="AS20" s="2117"/>
      <c r="AT20" s="2117"/>
      <c r="AU20" s="2117"/>
      <c r="AV20" s="2117"/>
      <c r="AW20" s="2117"/>
      <c r="AX20" s="2117"/>
      <c r="AY20" s="2117"/>
      <c r="AZ20" s="2070"/>
      <c r="BA20" s="2070"/>
      <c r="BB20" s="2070"/>
      <c r="BC20" s="2070"/>
      <c r="BD20" s="2070"/>
    </row>
    <row r="21" spans="1:56" ht="4.5" customHeight="1">
      <c r="A21" s="857"/>
      <c r="B21" s="389"/>
      <c r="C21" s="55"/>
      <c r="D21" s="2162"/>
      <c r="E21" s="2198"/>
      <c r="F21" s="2155"/>
      <c r="G21" s="2155"/>
      <c r="H21" s="2155"/>
      <c r="I21" s="2155"/>
      <c r="J21" s="2155"/>
      <c r="K21" s="2155"/>
      <c r="L21" s="2155"/>
      <c r="M21" s="2155"/>
      <c r="N21" s="2155"/>
      <c r="O21" s="2155"/>
      <c r="P21" s="2155"/>
      <c r="Q21" s="2155"/>
      <c r="R21" s="2155"/>
      <c r="S21" s="2155"/>
      <c r="T21" s="2163"/>
      <c r="U21" s="2163"/>
      <c r="V21" s="2155"/>
      <c r="W21" s="2155"/>
      <c r="X21" s="2163"/>
      <c r="Y21" s="2210"/>
      <c r="Z21" s="2210"/>
      <c r="AA21" s="2210"/>
      <c r="AB21" s="2217"/>
      <c r="AC21" s="2217"/>
      <c r="AD21" s="2217"/>
      <c r="AE21" s="2217"/>
      <c r="AF21" s="2217"/>
      <c r="AG21" s="2216"/>
      <c r="AH21" s="959"/>
      <c r="AI21" s="650"/>
      <c r="AJ21" s="648"/>
      <c r="AK21" s="647"/>
      <c r="AL21" s="2117"/>
      <c r="AM21" s="2117"/>
      <c r="AN21" s="2117"/>
      <c r="AO21" s="2117"/>
      <c r="AP21" s="2117"/>
      <c r="AQ21" s="2117"/>
      <c r="AR21" s="2117"/>
      <c r="AS21" s="2117"/>
      <c r="AT21" s="2117"/>
      <c r="AU21" s="2117"/>
      <c r="AV21" s="2117"/>
      <c r="AW21" s="2117"/>
      <c r="AX21" s="2117"/>
      <c r="AY21" s="2117"/>
      <c r="AZ21" s="2070"/>
      <c r="BA21" s="2070"/>
      <c r="BB21" s="2070"/>
      <c r="BC21" s="2070"/>
      <c r="BD21" s="2070"/>
    </row>
    <row r="22" spans="1:56" ht="10.5" customHeight="1" thickBot="1">
      <c r="A22" s="857"/>
      <c r="B22" s="85" t="s">
        <v>788</v>
      </c>
      <c r="C22" s="85"/>
      <c r="D22" s="2196">
        <v>3</v>
      </c>
      <c r="E22" s="2119"/>
      <c r="F22" s="2199" t="s">
        <v>435</v>
      </c>
      <c r="G22" s="2199"/>
      <c r="H22" s="2199"/>
      <c r="I22" s="2199"/>
      <c r="J22" s="2199"/>
      <c r="K22" s="2199"/>
      <c r="L22" s="2199"/>
      <c r="M22" s="2199"/>
      <c r="N22" s="2199"/>
      <c r="O22" s="2199"/>
      <c r="P22" s="2199"/>
      <c r="Q22" s="2199"/>
      <c r="R22" s="2199"/>
      <c r="S22" s="2199"/>
      <c r="T22" s="2163"/>
      <c r="U22" s="2163"/>
      <c r="V22" s="2155" t="s">
        <v>409</v>
      </c>
      <c r="W22" s="2155"/>
      <c r="X22" s="2163"/>
      <c r="Y22" s="2211"/>
      <c r="Z22" s="2211"/>
      <c r="AA22" s="4638"/>
      <c r="AB22" s="4839"/>
      <c r="AC22" s="4839"/>
      <c r="AD22" s="4839"/>
      <c r="AE22" s="4839"/>
      <c r="AF22" s="4839"/>
      <c r="AG22" s="4839"/>
      <c r="AH22" s="959">
        <f>IF(File_Marr_Sep&lt;&gt;"",1,0)</f>
        <v>0</v>
      </c>
      <c r="AI22" s="650">
        <f>SUM(AH18,AH20,AH22,AI18,AI20)</f>
        <v>0</v>
      </c>
      <c r="AJ22" s="648"/>
      <c r="AK22" s="647"/>
      <c r="AL22" s="2117"/>
      <c r="AM22" s="2117"/>
      <c r="AN22" s="2117"/>
      <c r="AO22" s="2117"/>
      <c r="AP22" s="2117"/>
      <c r="AQ22" s="2117"/>
      <c r="AR22" s="2117"/>
      <c r="AS22" s="2117"/>
      <c r="AT22" s="2117"/>
      <c r="AU22" s="2117"/>
      <c r="AV22" s="2117"/>
      <c r="AW22" s="2117"/>
      <c r="AX22" s="2117"/>
      <c r="AY22" s="2117"/>
      <c r="AZ22" s="2070"/>
      <c r="BA22" s="2070"/>
      <c r="BB22" s="2070"/>
      <c r="BC22" s="2070"/>
      <c r="BD22" s="2070"/>
    </row>
    <row r="23" spans="1:56" ht="12" customHeight="1">
      <c r="A23" s="857"/>
      <c r="B23" s="85" t="s">
        <v>789</v>
      </c>
      <c r="C23" s="85"/>
      <c r="D23" s="2162"/>
      <c r="E23" s="2162"/>
      <c r="F23" s="2199" t="s">
        <v>208</v>
      </c>
      <c r="G23" s="2199"/>
      <c r="H23" s="2199"/>
      <c r="I23" s="2200"/>
      <c r="J23" s="4827"/>
      <c r="K23" s="4827"/>
      <c r="L23" s="4827"/>
      <c r="M23" s="4827"/>
      <c r="N23" s="4827"/>
      <c r="O23" s="4827"/>
      <c r="P23" s="4827"/>
      <c r="Q23" s="4827"/>
      <c r="R23" s="4827"/>
      <c r="S23" s="4827"/>
      <c r="T23" s="2196">
        <v>5</v>
      </c>
      <c r="U23" s="2693"/>
      <c r="V23" s="2155" t="s">
        <v>784</v>
      </c>
      <c r="W23" s="2155"/>
      <c r="X23" s="2163"/>
      <c r="Y23" s="2163"/>
      <c r="Z23" s="2163"/>
      <c r="AA23" s="2212"/>
      <c r="AB23" s="2213"/>
      <c r="AC23" s="2213"/>
      <c r="AD23" s="2213"/>
      <c r="AE23" s="2213"/>
      <c r="AF23" s="2213"/>
      <c r="AG23" s="2214"/>
      <c r="AH23" s="952"/>
      <c r="AI23" s="13" t="b">
        <f>IF(OR(NumFileStatusBoxes=0,NumFileStatusBoxes&gt;1),TRUE,FALSE)</f>
        <v>1</v>
      </c>
      <c r="AJ23" s="4879" t="s">
        <v>3335</v>
      </c>
      <c r="AK23" s="4880"/>
      <c r="AL23" s="4880"/>
      <c r="AM23" s="2595"/>
      <c r="AN23" s="2595"/>
      <c r="AO23" s="2595"/>
      <c r="AP23" s="2595"/>
      <c r="AQ23" s="2595"/>
      <c r="AR23" s="2595"/>
      <c r="AS23" s="2595"/>
      <c r="AT23" s="2595"/>
      <c r="AU23" s="2595"/>
      <c r="AV23" s="2595"/>
      <c r="AW23" s="2595"/>
      <c r="AX23" s="2595"/>
      <c r="AY23" s="2595"/>
      <c r="AZ23" s="2595"/>
      <c r="BA23" s="2595"/>
      <c r="BB23" s="2595"/>
      <c r="BC23" s="2595"/>
      <c r="BD23" s="2596"/>
    </row>
    <row r="24" spans="1:56" ht="4.5" customHeight="1">
      <c r="A24" s="857"/>
      <c r="B24" s="862"/>
      <c r="C24" s="465"/>
      <c r="D24" s="2197"/>
      <c r="E24" s="2197"/>
      <c r="F24" s="2171"/>
      <c r="G24" s="2171"/>
      <c r="H24" s="2171"/>
      <c r="I24" s="2171"/>
      <c r="J24" s="2171"/>
      <c r="K24" s="2171"/>
      <c r="L24" s="2171"/>
      <c r="M24" s="2171"/>
      <c r="N24" s="2171"/>
      <c r="O24" s="2171"/>
      <c r="P24" s="2171"/>
      <c r="Q24" s="2171"/>
      <c r="R24" s="2171"/>
      <c r="S24" s="2171"/>
      <c r="T24" s="2171"/>
      <c r="U24" s="2171"/>
      <c r="V24" s="2171"/>
      <c r="W24" s="2171"/>
      <c r="X24" s="2203"/>
      <c r="Y24" s="2204"/>
      <c r="Z24" s="2204"/>
      <c r="AA24" s="2205"/>
      <c r="AB24" s="2206"/>
      <c r="AC24" s="2206"/>
      <c r="AD24" s="2206"/>
      <c r="AE24" s="2206"/>
      <c r="AF24" s="2206"/>
      <c r="AG24" s="2207"/>
      <c r="AH24" s="952"/>
      <c r="AI24" s="13"/>
      <c r="AJ24" s="4881"/>
      <c r="AK24" s="4563"/>
      <c r="AL24" s="4563"/>
      <c r="AM24" s="2399"/>
      <c r="AN24" s="2399"/>
      <c r="AO24" s="2399"/>
      <c r="AP24" s="2399"/>
      <c r="AQ24" s="2399"/>
      <c r="AR24" s="2399"/>
      <c r="AS24" s="2399"/>
      <c r="AT24" s="2399"/>
      <c r="AU24" s="2399"/>
      <c r="AV24" s="2399"/>
      <c r="AW24" s="2399"/>
      <c r="AX24" s="2399"/>
      <c r="AY24" s="2399"/>
      <c r="AZ24" s="2399"/>
      <c r="BA24" s="2399"/>
      <c r="BB24" s="2399"/>
      <c r="BC24" s="2399"/>
      <c r="BD24" s="2477"/>
    </row>
    <row r="25" spans="1:56" ht="8.25" customHeight="1" thickBot="1">
      <c r="A25" s="857"/>
      <c r="B25" s="389"/>
      <c r="C25" s="51"/>
      <c r="D25" s="2157"/>
      <c r="E25" s="2197"/>
      <c r="F25" s="2155"/>
      <c r="G25" s="2155"/>
      <c r="H25" s="2155"/>
      <c r="I25" s="2155"/>
      <c r="J25" s="2155"/>
      <c r="K25" s="2155"/>
      <c r="L25" s="2155"/>
      <c r="M25" s="2155"/>
      <c r="N25" s="2155"/>
      <c r="O25" s="2155"/>
      <c r="P25" s="2155"/>
      <c r="Q25" s="2155"/>
      <c r="R25" s="2155"/>
      <c r="S25" s="2155"/>
      <c r="T25" s="2155"/>
      <c r="U25" s="2155"/>
      <c r="V25" s="2155"/>
      <c r="W25" s="2155"/>
      <c r="X25" s="2218"/>
      <c r="Y25" s="2219"/>
      <c r="Z25" s="2219"/>
      <c r="AA25" s="2220"/>
      <c r="AB25" s="4833" t="s">
        <v>1025</v>
      </c>
      <c r="AC25" s="4834"/>
      <c r="AD25" s="4834"/>
      <c r="AE25" s="4834"/>
      <c r="AF25" s="4834"/>
      <c r="AG25" s="2238"/>
      <c r="AH25" s="952"/>
      <c r="AI25" s="13"/>
      <c r="AJ25" s="4018"/>
      <c r="AK25" s="4019"/>
      <c r="AL25" s="2399"/>
      <c r="AM25" s="2399"/>
      <c r="AN25" s="2399"/>
      <c r="AO25" s="2399"/>
      <c r="AP25" s="2399"/>
      <c r="AQ25" s="2399"/>
      <c r="AR25" s="2399"/>
      <c r="AS25" s="2399"/>
      <c r="AT25" s="2399"/>
      <c r="AU25" s="2399"/>
      <c r="AV25" s="2399"/>
      <c r="AW25" s="2399"/>
      <c r="AX25" s="2399"/>
      <c r="AY25" s="2399"/>
      <c r="AZ25" s="2399"/>
      <c r="BA25" s="2399"/>
      <c r="BB25" s="2399"/>
      <c r="BC25" s="2399"/>
      <c r="BD25" s="2477"/>
    </row>
    <row r="26" spans="1:56" ht="12" customHeight="1" thickBot="1">
      <c r="A26" s="857"/>
      <c r="B26" s="389"/>
      <c r="C26" s="55"/>
      <c r="D26" s="2162" t="s">
        <v>693</v>
      </c>
      <c r="E26" s="2710" t="str">
        <f>IF(DependentYOU&lt;&gt;"","",IF(M18="",IF(OR(File_Single&lt;&gt;"",File_Marr_Joint&lt;&gt;"",File_Marr_Sep&lt;&gt;"",File_Head&lt;&gt;"",File_Qual_Widow&lt;&gt;""),"X",""),""))</f>
        <v/>
      </c>
      <c r="F26" s="2306" t="s">
        <v>1584</v>
      </c>
      <c r="G26" s="2221"/>
      <c r="H26" s="2199" t="s">
        <v>785</v>
      </c>
      <c r="I26" s="2221"/>
      <c r="J26" s="2221"/>
      <c r="K26" s="2221"/>
      <c r="L26" s="2221"/>
      <c r="M26" s="2221"/>
      <c r="N26" s="2221"/>
      <c r="O26" s="2221"/>
      <c r="P26" s="2221"/>
      <c r="Q26" s="2221"/>
      <c r="R26" s="2221"/>
      <c r="S26" s="2221"/>
      <c r="T26" s="2163"/>
      <c r="U26" s="2163"/>
      <c r="V26" s="2163"/>
      <c r="W26" s="2163"/>
      <c r="X26" s="2163"/>
      <c r="Y26" s="2163"/>
      <c r="Z26" s="2163"/>
      <c r="AA26" s="2222"/>
      <c r="AB26" s="4835"/>
      <c r="AC26" s="4836"/>
      <c r="AD26" s="4836"/>
      <c r="AE26" s="4836"/>
      <c r="AF26" s="4836"/>
      <c r="AG26" s="2633">
        <f>IF(AND(E26&lt;&gt;"",E28&lt;&gt;""),2,IF(OR(E26&lt;&gt;"",E28&lt;&gt;""),1,0))</f>
        <v>0</v>
      </c>
      <c r="AH26" s="952"/>
      <c r="AI26" s="3990"/>
      <c r="AJ26" s="4018"/>
      <c r="AK26" s="4173"/>
      <c r="AL26" s="4022" t="s">
        <v>3336</v>
      </c>
      <c r="AM26" s="2399"/>
      <c r="AN26" s="2399"/>
      <c r="AO26" s="2399"/>
      <c r="AP26" s="2399"/>
      <c r="AQ26" s="2399"/>
      <c r="AR26" s="2399"/>
      <c r="AS26" s="2399"/>
      <c r="AT26" s="2399"/>
      <c r="AU26" s="2399"/>
      <c r="AV26" s="2399"/>
      <c r="AW26" s="2399"/>
      <c r="AX26" s="2399"/>
      <c r="AY26" s="2399"/>
      <c r="AZ26" s="2399"/>
      <c r="BA26" s="2399"/>
      <c r="BB26" s="2399"/>
      <c r="BC26" s="2399"/>
      <c r="BD26" s="2477"/>
    </row>
    <row r="27" spans="1:56" ht="9.75" customHeight="1" thickBot="1">
      <c r="A27" s="857"/>
      <c r="B27" s="419"/>
      <c r="C27" s="466"/>
      <c r="D27" s="2163"/>
      <c r="E27" s="2163"/>
      <c r="F27" s="2199"/>
      <c r="G27" s="2199"/>
      <c r="H27" s="2199"/>
      <c r="I27" s="2199"/>
      <c r="J27" s="2199"/>
      <c r="K27" s="2199"/>
      <c r="L27" s="2199"/>
      <c r="M27" s="2199"/>
      <c r="N27" s="2199"/>
      <c r="O27" s="2199"/>
      <c r="P27" s="2199"/>
      <c r="Q27" s="2199"/>
      <c r="R27" s="2199"/>
      <c r="S27" s="2199"/>
      <c r="T27" s="2223"/>
      <c r="U27" s="2223"/>
      <c r="V27" s="2223"/>
      <c r="W27" s="2223"/>
      <c r="X27" s="2223"/>
      <c r="Y27" s="2224"/>
      <c r="Z27" s="2224"/>
      <c r="AA27" s="2193" t="s">
        <v>623</v>
      </c>
      <c r="AB27" s="4920" t="s">
        <v>859</v>
      </c>
      <c r="AC27" s="4921"/>
      <c r="AD27" s="4921"/>
      <c r="AE27" s="4921"/>
      <c r="AF27" s="2646"/>
      <c r="AG27" s="2153"/>
      <c r="AH27" s="953"/>
      <c r="AI27" s="21"/>
      <c r="AJ27" s="4018"/>
      <c r="AK27" s="4019"/>
      <c r="AL27" s="2399"/>
      <c r="AM27" s="2399"/>
      <c r="AN27" s="2399"/>
      <c r="AO27" s="2399"/>
      <c r="AP27" s="2399"/>
      <c r="AQ27" s="2399"/>
      <c r="AR27" s="2399"/>
      <c r="AS27" s="2399"/>
      <c r="AT27" s="2399"/>
      <c r="AU27" s="2399"/>
      <c r="AV27" s="2399"/>
      <c r="AW27" s="2399"/>
      <c r="AX27" s="2399"/>
      <c r="AY27" s="2399"/>
      <c r="AZ27" s="2399"/>
      <c r="BA27" s="2399"/>
      <c r="BB27" s="2399"/>
      <c r="BC27" s="2399"/>
      <c r="BD27" s="2477"/>
    </row>
    <row r="28" spans="1:56" ht="12.75" customHeight="1" thickBot="1">
      <c r="A28" s="857"/>
      <c r="B28" s="419" t="s">
        <v>263</v>
      </c>
      <c r="C28" s="61"/>
      <c r="D28" s="2162" t="s">
        <v>84</v>
      </c>
      <c r="E28" s="4513" t="str">
        <f>IF(OR(M18&lt;&gt;"",DependentSPOUSE&lt;&gt;""),"",IF(File_Marr_Joint&lt;&gt;"","X",""))</f>
        <v/>
      </c>
      <c r="F28" s="2649" t="s">
        <v>47</v>
      </c>
      <c r="G28" s="2225"/>
      <c r="H28" s="2225"/>
      <c r="I28" s="2225"/>
      <c r="J28" s="2225"/>
      <c r="K28" s="2225"/>
      <c r="L28" s="2225"/>
      <c r="M28" s="2225"/>
      <c r="N28" s="2225"/>
      <c r="O28" s="2225"/>
      <c r="P28" s="2225"/>
      <c r="Q28" s="2225"/>
      <c r="R28" s="2225"/>
      <c r="S28" s="2225"/>
      <c r="T28" s="2169"/>
      <c r="U28" s="2153"/>
      <c r="V28" s="2163"/>
      <c r="W28" s="2163"/>
      <c r="X28" s="2169"/>
      <c r="Y28" s="2169"/>
      <c r="Z28" s="2169"/>
      <c r="AA28" s="2226" t="s">
        <v>623</v>
      </c>
      <c r="AB28" s="4921"/>
      <c r="AC28" s="4921"/>
      <c r="AD28" s="4921"/>
      <c r="AE28" s="4921"/>
      <c r="AF28" s="2646"/>
      <c r="AG28" s="4914"/>
      <c r="AH28" s="952"/>
      <c r="AI28" s="3990"/>
      <c r="AJ28" s="4018"/>
      <c r="AK28" s="4521"/>
      <c r="AL28" s="2757" t="str">
        <f>IF(File_Marr_Joint&lt;&gt;""," Check here if YOUR SPOUSE is claimed as a dependent on someone elses return.","")</f>
        <v/>
      </c>
      <c r="AM28" s="2399"/>
      <c r="AN28" s="2399"/>
      <c r="AO28" s="2399"/>
      <c r="AP28" s="2399"/>
      <c r="AQ28" s="2399"/>
      <c r="AR28" s="2399"/>
      <c r="AS28" s="2399"/>
      <c r="AT28" s="2399"/>
      <c r="AU28" s="2399"/>
      <c r="AV28" s="2399"/>
      <c r="AW28" s="2399"/>
      <c r="AX28" s="2399"/>
      <c r="AY28" s="2399"/>
      <c r="AZ28" s="2399"/>
      <c r="BA28" s="2399"/>
      <c r="BB28" s="2399"/>
      <c r="BC28" s="2399"/>
      <c r="BD28" s="2477"/>
    </row>
    <row r="29" spans="1:56" ht="11.25" customHeight="1" thickBot="1">
      <c r="A29" s="857"/>
      <c r="B29" s="389"/>
      <c r="C29" s="61"/>
      <c r="D29" s="2162" t="s">
        <v>85</v>
      </c>
      <c r="E29" s="2839" t="s">
        <v>1583</v>
      </c>
      <c r="F29" s="2155"/>
      <c r="G29" s="2155"/>
      <c r="H29" s="2155"/>
      <c r="I29" s="2155"/>
      <c r="J29" s="2155"/>
      <c r="K29" s="2155"/>
      <c r="L29" s="2155"/>
      <c r="M29" s="2155"/>
      <c r="N29" s="2155"/>
      <c r="O29" s="4840" t="s">
        <v>291</v>
      </c>
      <c r="P29" s="4841"/>
      <c r="Q29" s="4842"/>
      <c r="R29" s="4843"/>
      <c r="S29" s="2227"/>
      <c r="T29" s="2840" t="s">
        <v>840</v>
      </c>
      <c r="U29" s="2228"/>
      <c r="V29" s="2229"/>
      <c r="W29" s="4840" t="s">
        <v>2216</v>
      </c>
      <c r="X29" s="4842"/>
      <c r="Y29" s="4842"/>
      <c r="Z29" s="4842"/>
      <c r="AA29" s="4842"/>
      <c r="AB29" s="2644" t="s">
        <v>1581</v>
      </c>
      <c r="AC29" s="2645"/>
      <c r="AD29" s="2645"/>
      <c r="AE29" s="2645"/>
      <c r="AF29" s="2645"/>
      <c r="AG29" s="4915"/>
      <c r="AH29" s="954"/>
      <c r="AI29" s="65"/>
      <c r="AJ29" s="4020"/>
      <c r="AK29" s="4021"/>
      <c r="AL29" s="2603"/>
      <c r="AM29" s="2603"/>
      <c r="AN29" s="2603"/>
      <c r="AO29" s="2603"/>
      <c r="AP29" s="2603"/>
      <c r="AQ29" s="2603"/>
      <c r="AR29" s="2603"/>
      <c r="AS29" s="2603"/>
      <c r="AT29" s="2603"/>
      <c r="AU29" s="2603"/>
      <c r="AV29" s="2603"/>
      <c r="AW29" s="2603"/>
      <c r="AX29" s="2603"/>
      <c r="AY29" s="2603"/>
      <c r="AZ29" s="2603"/>
      <c r="BA29" s="2603"/>
      <c r="BB29" s="2603"/>
      <c r="BC29" s="2603"/>
      <c r="BD29" s="2604"/>
    </row>
    <row r="30" spans="1:56" ht="11.25" customHeight="1" thickBot="1">
      <c r="A30" s="857"/>
      <c r="B30" s="389"/>
      <c r="C30" s="61"/>
      <c r="D30" s="2162"/>
      <c r="E30" s="2221"/>
      <c r="F30" s="2155"/>
      <c r="G30" s="2155"/>
      <c r="H30" s="2155"/>
      <c r="I30" s="2155"/>
      <c r="J30" s="2155"/>
      <c r="K30" s="2155"/>
      <c r="L30" s="2155"/>
      <c r="M30" s="2155"/>
      <c r="N30" s="2155"/>
      <c r="O30" s="4812" t="s">
        <v>167</v>
      </c>
      <c r="P30" s="4813"/>
      <c r="Q30" s="4814"/>
      <c r="R30" s="4815"/>
      <c r="S30" s="2230"/>
      <c r="T30" s="2231" t="s">
        <v>841</v>
      </c>
      <c r="U30" s="2231"/>
      <c r="V30" s="2232"/>
      <c r="W30" s="4844" t="s">
        <v>787</v>
      </c>
      <c r="X30" s="4845"/>
      <c r="Y30" s="4845"/>
      <c r="Z30" s="4845"/>
      <c r="AA30" s="4845"/>
      <c r="AB30" s="2645" t="s">
        <v>1582</v>
      </c>
      <c r="AC30" s="2645"/>
      <c r="AD30" s="2645"/>
      <c r="AE30" s="2645"/>
      <c r="AF30" s="2645"/>
      <c r="AG30" s="2239"/>
      <c r="AH30" s="952"/>
      <c r="AI30" s="13"/>
      <c r="AJ30" s="65"/>
      <c r="AK30" s="13"/>
      <c r="AL30" s="13"/>
      <c r="AM30" s="2117"/>
      <c r="AN30" s="2117"/>
      <c r="AO30" s="2117"/>
      <c r="AP30" s="2117"/>
      <c r="AQ30" s="2117"/>
      <c r="AR30" s="2117"/>
      <c r="AS30" s="2117"/>
      <c r="AT30" s="2117"/>
      <c r="AU30" s="2117"/>
      <c r="AV30" s="2117"/>
      <c r="AW30" s="2117"/>
      <c r="AX30" s="2117"/>
      <c r="AY30" s="2117"/>
      <c r="AZ30" s="2070"/>
      <c r="BA30" s="2070"/>
      <c r="BB30" s="2070"/>
      <c r="BC30" s="2070"/>
      <c r="BD30" s="2070"/>
    </row>
    <row r="31" spans="1:56" ht="11.25" customHeight="1" thickBot="1">
      <c r="A31" s="857"/>
      <c r="B31" s="4772" t="s">
        <v>264</v>
      </c>
      <c r="C31" s="4773"/>
      <c r="D31" s="2162"/>
      <c r="E31" s="2233" t="s">
        <v>76</v>
      </c>
      <c r="F31" s="2155"/>
      <c r="G31" s="2155"/>
      <c r="H31" s="2155" t="s">
        <v>742</v>
      </c>
      <c r="I31" s="2155"/>
      <c r="J31" s="2155"/>
      <c r="K31" s="2155"/>
      <c r="L31" s="2155"/>
      <c r="M31" s="2155"/>
      <c r="N31" s="2155"/>
      <c r="O31" s="4816" t="s">
        <v>77</v>
      </c>
      <c r="P31" s="4817"/>
      <c r="Q31" s="4749"/>
      <c r="R31" s="4818"/>
      <c r="S31" s="2230"/>
      <c r="T31" s="2231" t="s">
        <v>842</v>
      </c>
      <c r="U31" s="2231"/>
      <c r="V31" s="2232"/>
      <c r="W31" s="2234"/>
      <c r="X31" s="2235"/>
      <c r="Y31" s="2235" t="s">
        <v>2090</v>
      </c>
      <c r="Z31" s="2155"/>
      <c r="AA31" s="2155"/>
      <c r="AB31" s="4918" t="s">
        <v>910</v>
      </c>
      <c r="AC31" s="4919"/>
      <c r="AD31" s="4919"/>
      <c r="AE31" s="4919"/>
      <c r="AF31" s="2647"/>
      <c r="AG31" s="2240"/>
      <c r="AH31" s="952"/>
      <c r="AI31" s="13"/>
      <c r="AJ31" s="630" t="str">
        <f>IF(AND(OR(O32&lt;&gt;"",O33&lt;&gt;"",O34&lt;&gt;"",O35&lt;&gt;""),Qual_Child_Count=0), "IMPORTANT!","")</f>
        <v/>
      </c>
      <c r="AK31" s="1142"/>
      <c r="AL31" s="1143"/>
      <c r="AM31" s="4048"/>
      <c r="AN31" s="4048"/>
      <c r="AO31" s="4048"/>
      <c r="AP31" s="4048"/>
      <c r="AQ31" s="4048"/>
      <c r="AR31" s="4048"/>
      <c r="AS31" s="4048"/>
      <c r="AT31" s="4048"/>
      <c r="AU31" s="4048"/>
      <c r="AV31" s="4048"/>
      <c r="AW31" s="4048"/>
      <c r="AX31" s="4048"/>
      <c r="AY31" s="4048"/>
      <c r="AZ31" s="2070"/>
      <c r="BA31" s="2070"/>
      <c r="BB31" s="2070"/>
      <c r="BC31" s="2070"/>
      <c r="BD31" s="2070"/>
    </row>
    <row r="32" spans="1:56" ht="13.5" customHeight="1" thickBot="1">
      <c r="A32" s="857"/>
      <c r="B32" s="4772" t="s">
        <v>505</v>
      </c>
      <c r="C32" s="4773"/>
      <c r="D32" s="2162"/>
      <c r="E32" s="4819"/>
      <c r="F32" s="4819"/>
      <c r="G32" s="4819"/>
      <c r="H32" s="4819"/>
      <c r="I32" s="4819"/>
      <c r="J32" s="4819"/>
      <c r="K32" s="4819"/>
      <c r="L32" s="4819"/>
      <c r="M32" s="4819"/>
      <c r="N32" s="4820"/>
      <c r="O32" s="4754"/>
      <c r="P32" s="4768"/>
      <c r="Q32" s="4769"/>
      <c r="R32" s="4756"/>
      <c r="S32" s="4754"/>
      <c r="T32" s="4755"/>
      <c r="U32" s="4755"/>
      <c r="V32" s="4756"/>
      <c r="W32" s="2129"/>
      <c r="X32" s="2130"/>
      <c r="Y32" s="2120"/>
      <c r="Z32" s="2131"/>
      <c r="AA32" s="2133">
        <f>IF(Y32&lt;&gt;"",1,0)</f>
        <v>0</v>
      </c>
      <c r="AB32" s="4919"/>
      <c r="AC32" s="4919"/>
      <c r="AD32" s="4919"/>
      <c r="AE32" s="4919"/>
      <c r="AF32" s="2647"/>
      <c r="AG32" s="2122"/>
      <c r="AH32" s="952"/>
      <c r="AI32" s="13"/>
      <c r="AJ32" s="631" t="str">
        <f>IF($AJ$31&lt;&gt;"", "DO NOT overlook","")</f>
        <v/>
      </c>
      <c r="AK32" s="13"/>
      <c r="AL32" s="1144"/>
      <c r="AM32" s="4048"/>
      <c r="AN32" s="4048"/>
      <c r="AO32" s="4048"/>
      <c r="AP32" s="4048"/>
      <c r="AQ32" s="4048"/>
      <c r="AR32" s="4048"/>
      <c r="AS32" s="4048"/>
      <c r="AT32" s="4048"/>
      <c r="AU32" s="4048"/>
      <c r="AV32" s="4048"/>
      <c r="AW32" s="4048"/>
      <c r="AX32" s="4048"/>
      <c r="AY32" s="4048"/>
      <c r="AZ32" s="2070"/>
      <c r="BA32" s="2070"/>
      <c r="BB32" s="2070"/>
      <c r="BC32" s="2070"/>
      <c r="BD32" s="2070"/>
    </row>
    <row r="33" spans="1:56" ht="13.5" thickBot="1">
      <c r="A33" s="857"/>
      <c r="B33" s="4772" t="s">
        <v>786</v>
      </c>
      <c r="C33" s="4773"/>
      <c r="D33" s="2162"/>
      <c r="E33" s="4819"/>
      <c r="F33" s="4819"/>
      <c r="G33" s="4819"/>
      <c r="H33" s="4819"/>
      <c r="I33" s="4819"/>
      <c r="J33" s="4819"/>
      <c r="K33" s="4819"/>
      <c r="L33" s="4819"/>
      <c r="M33" s="4819"/>
      <c r="N33" s="4820"/>
      <c r="O33" s="4754"/>
      <c r="P33" s="4768"/>
      <c r="Q33" s="4769"/>
      <c r="R33" s="4756"/>
      <c r="S33" s="4754"/>
      <c r="T33" s="4755"/>
      <c r="U33" s="4755"/>
      <c r="V33" s="4756"/>
      <c r="W33" s="2129"/>
      <c r="X33" s="2130"/>
      <c r="Y33" s="2120"/>
      <c r="Z33" s="2132"/>
      <c r="AA33" s="2133">
        <f>IF(Y33&lt;&gt;"",1,0)</f>
        <v>0</v>
      </c>
      <c r="AB33" s="4919"/>
      <c r="AC33" s="4919"/>
      <c r="AD33" s="4919"/>
      <c r="AE33" s="4919"/>
      <c r="AF33" s="2647"/>
      <c r="AG33" s="2241"/>
      <c r="AH33" s="952"/>
      <c r="AI33" s="13"/>
      <c r="AJ33" s="631" t="str">
        <f>IF($AJ$31&lt;&gt;"", "the Child Tax Credit!","")</f>
        <v/>
      </c>
      <c r="AK33" s="13"/>
      <c r="AL33" s="1144"/>
      <c r="AM33" s="4048"/>
      <c r="AN33" s="4048"/>
      <c r="AO33" s="4048"/>
      <c r="AP33" s="4048"/>
      <c r="AQ33" s="4048"/>
      <c r="AR33" s="4048"/>
      <c r="AS33" s="4048"/>
      <c r="AT33" s="4048"/>
      <c r="AU33" s="4048"/>
      <c r="AV33" s="4048"/>
      <c r="AW33" s="4048"/>
      <c r="AX33" s="4048"/>
      <c r="AY33" s="4048"/>
      <c r="AZ33" s="2070"/>
      <c r="BA33" s="2070"/>
      <c r="BB33" s="2070"/>
      <c r="BC33" s="2070"/>
      <c r="BD33" s="2070"/>
    </row>
    <row r="34" spans="1:56" ht="13.5" thickBot="1">
      <c r="A34" s="857"/>
      <c r="B34" s="4772" t="s">
        <v>168</v>
      </c>
      <c r="C34" s="4811"/>
      <c r="D34" s="2121"/>
      <c r="E34" s="4819"/>
      <c r="F34" s="4819"/>
      <c r="G34" s="4819"/>
      <c r="H34" s="4819"/>
      <c r="I34" s="4819"/>
      <c r="J34" s="4819"/>
      <c r="K34" s="4819"/>
      <c r="L34" s="4819"/>
      <c r="M34" s="4819"/>
      <c r="N34" s="4820"/>
      <c r="O34" s="4754"/>
      <c r="P34" s="4768"/>
      <c r="Q34" s="4769"/>
      <c r="R34" s="4756"/>
      <c r="S34" s="4754"/>
      <c r="T34" s="4755"/>
      <c r="U34" s="4755"/>
      <c r="V34" s="4756"/>
      <c r="W34" s="2129"/>
      <c r="X34" s="2130"/>
      <c r="Y34" s="2120"/>
      <c r="Z34" s="2132"/>
      <c r="AA34" s="2133">
        <f>IF(Y34&lt;&gt;"",1,0)</f>
        <v>0</v>
      </c>
      <c r="AB34" s="4733" t="s">
        <v>911</v>
      </c>
      <c r="AC34" s="4734"/>
      <c r="AD34" s="4734"/>
      <c r="AE34" s="4734"/>
      <c r="AF34" s="2647"/>
      <c r="AG34" s="4922"/>
      <c r="AH34" s="952"/>
      <c r="AI34" s="1530"/>
      <c r="AJ34" s="632" t="str">
        <f>IF($AJ$31&lt;&gt;"", "See instructions!","")</f>
        <v/>
      </c>
      <c r="AK34" s="1145"/>
      <c r="AL34" s="1146"/>
      <c r="AM34" s="4048"/>
      <c r="AN34" s="4048"/>
      <c r="AO34" s="4048"/>
      <c r="AP34" s="4048"/>
      <c r="AQ34" s="4048"/>
      <c r="AR34" s="4048"/>
      <c r="AS34" s="4048"/>
      <c r="AT34" s="4048"/>
      <c r="AU34" s="4048"/>
      <c r="AV34" s="4048"/>
      <c r="AW34" s="4048"/>
      <c r="AX34" s="4048"/>
      <c r="AY34" s="4048"/>
      <c r="AZ34" s="2070"/>
      <c r="BA34" s="2070"/>
      <c r="BB34" s="2070"/>
      <c r="BC34" s="2070"/>
      <c r="BD34" s="2070"/>
    </row>
    <row r="35" spans="1:56" ht="13.5" thickBot="1">
      <c r="A35" s="857"/>
      <c r="B35" s="389"/>
      <c r="C35" s="51"/>
      <c r="D35" s="2162"/>
      <c r="E35" s="4819"/>
      <c r="F35" s="4819"/>
      <c r="G35" s="4819"/>
      <c r="H35" s="4819"/>
      <c r="I35" s="4819"/>
      <c r="J35" s="4819"/>
      <c r="K35" s="4819"/>
      <c r="L35" s="4819"/>
      <c r="M35" s="4819"/>
      <c r="N35" s="4820"/>
      <c r="O35" s="4754"/>
      <c r="P35" s="4768"/>
      <c r="Q35" s="4769"/>
      <c r="R35" s="4756"/>
      <c r="S35" s="4754"/>
      <c r="T35" s="4755"/>
      <c r="U35" s="4755"/>
      <c r="V35" s="4756"/>
      <c r="W35" s="2129"/>
      <c r="X35" s="2130"/>
      <c r="Y35" s="2120"/>
      <c r="Z35" s="2132"/>
      <c r="AA35" s="2133">
        <f>IF(Y35&lt;&gt;"",1,0)</f>
        <v>0</v>
      </c>
      <c r="AB35" s="4734"/>
      <c r="AC35" s="4734"/>
      <c r="AD35" s="4734"/>
      <c r="AE35" s="4734"/>
      <c r="AF35" s="2648"/>
      <c r="AG35" s="4595"/>
      <c r="AH35" s="952"/>
      <c r="AI35" s="4723" t="s">
        <v>195</v>
      </c>
      <c r="AJ35" s="4724"/>
      <c r="AK35" s="4725"/>
      <c r="AL35" s="4876" t="s">
        <v>3382</v>
      </c>
      <c r="AM35" s="2117"/>
      <c r="AN35" s="2117"/>
      <c r="AO35" s="2117"/>
      <c r="AP35" s="2117"/>
      <c r="AQ35" s="4049"/>
      <c r="AR35" s="2117"/>
      <c r="AS35" s="2117"/>
      <c r="AT35" s="2117"/>
      <c r="AU35" s="2117"/>
      <c r="AV35" s="2117"/>
      <c r="AW35" s="2117"/>
      <c r="AX35" s="2117"/>
      <c r="AY35" s="2117"/>
      <c r="AZ35" s="2070"/>
      <c r="BA35" s="2070"/>
      <c r="BB35" s="2070"/>
      <c r="BC35" s="2070"/>
      <c r="BD35" s="2070"/>
    </row>
    <row r="36" spans="1:56" ht="3" customHeight="1" thickBot="1">
      <c r="A36" s="857"/>
      <c r="B36" s="389"/>
      <c r="C36" s="51"/>
      <c r="D36" s="2162"/>
      <c r="E36" s="2243"/>
      <c r="F36" s="2243"/>
      <c r="G36" s="2243"/>
      <c r="H36" s="2243"/>
      <c r="I36" s="2243"/>
      <c r="J36" s="2243"/>
      <c r="K36" s="2243"/>
      <c r="L36" s="2243"/>
      <c r="M36" s="2243"/>
      <c r="N36" s="2243"/>
      <c r="O36" s="2244"/>
      <c r="P36" s="2244"/>
      <c r="Q36" s="2244"/>
      <c r="R36" s="2244"/>
      <c r="S36" s="2244"/>
      <c r="T36" s="2244"/>
      <c r="U36" s="2244"/>
      <c r="V36" s="2244"/>
      <c r="W36" s="2245"/>
      <c r="X36" s="2245"/>
      <c r="Y36" s="2244"/>
      <c r="Z36" s="2245"/>
      <c r="AA36" s="2246"/>
      <c r="AB36" s="2236"/>
      <c r="AC36" s="2236"/>
      <c r="AD36" s="2236"/>
      <c r="AE36" s="2236"/>
      <c r="AF36" s="2236"/>
      <c r="AG36" s="2242"/>
      <c r="AH36" s="952"/>
      <c r="AI36" s="1345"/>
      <c r="AJ36" s="13"/>
      <c r="AK36" s="1347"/>
      <c r="AL36" s="4877"/>
      <c r="AM36" s="2117"/>
      <c r="AN36" s="2117"/>
      <c r="AO36" s="2117"/>
      <c r="AP36" s="2117"/>
      <c r="AQ36" s="4049"/>
      <c r="AR36" s="2117"/>
      <c r="AS36" s="2117"/>
      <c r="AT36" s="2117"/>
      <c r="AU36" s="2117"/>
      <c r="AV36" s="2117"/>
      <c r="AW36" s="2117"/>
      <c r="AX36" s="2117"/>
      <c r="AY36" s="2117"/>
      <c r="AZ36" s="2070"/>
      <c r="BA36" s="2070"/>
      <c r="BB36" s="2070"/>
      <c r="BC36" s="2070"/>
      <c r="BD36" s="2070"/>
    </row>
    <row r="37" spans="1:56" ht="18.75" customHeight="1" thickTop="1" thickBot="1">
      <c r="A37" s="857"/>
      <c r="B37" s="43"/>
      <c r="C37" s="43"/>
      <c r="D37" s="2247" t="s">
        <v>151</v>
      </c>
      <c r="E37" s="2247"/>
      <c r="F37" s="2248" t="s">
        <v>78</v>
      </c>
      <c r="G37" s="2248"/>
      <c r="H37" s="2248"/>
      <c r="I37" s="2248"/>
      <c r="J37" s="2248"/>
      <c r="K37" s="2248"/>
      <c r="L37" s="2248"/>
      <c r="M37" s="2248"/>
      <c r="N37" s="2248"/>
      <c r="O37" s="2248"/>
      <c r="P37" s="2248"/>
      <c r="Q37" s="2248"/>
      <c r="R37" s="2248"/>
      <c r="S37" s="2248"/>
      <c r="T37" s="2248"/>
      <c r="U37" s="2248"/>
      <c r="V37" s="2248"/>
      <c r="W37" s="2248"/>
      <c r="X37" s="2249"/>
      <c r="Y37" s="2250" t="str">
        <f>IF(OR(Y32&lt;&gt;"",Y33&lt;&gt;"",Y34&lt;&gt;"",Y35&lt;&gt;"",AB38&lt;&gt;""),"","(Use ' X ' )")</f>
        <v/>
      </c>
      <c r="Z37" s="2250"/>
      <c r="AA37" s="2251">
        <f>SUM(AA32:AA35)+AJ37</f>
        <v>0</v>
      </c>
      <c r="AB37" s="4916" t="s">
        <v>204</v>
      </c>
      <c r="AC37" s="4917"/>
      <c r="AD37" s="4917"/>
      <c r="AE37" s="4917"/>
      <c r="AF37" s="2237"/>
      <c r="AG37" s="2634">
        <f>IF(OR(AG26&lt;&gt;0,AG28&lt;&gt;"",AG32&lt;&gt;"",AG34&lt;&gt;""),AG26+AG28+AG32+AG34,0)</f>
        <v>0</v>
      </c>
      <c r="AH37" s="954"/>
      <c r="AI37" s="1346"/>
      <c r="AJ37" s="4132"/>
      <c r="AK37" s="1529"/>
      <c r="AL37" s="4878"/>
      <c r="AM37" s="2117"/>
      <c r="AN37" s="2609"/>
      <c r="AO37" s="2609"/>
      <c r="AP37" s="2609"/>
      <c r="AQ37" s="4050"/>
      <c r="AR37" s="4051"/>
      <c r="AS37" s="4051"/>
      <c r="AT37" s="4052" t="s">
        <v>3338</v>
      </c>
      <c r="AU37" s="4051"/>
      <c r="AV37" s="4051"/>
      <c r="AW37" s="4053"/>
      <c r="AX37" s="4051"/>
      <c r="AY37" s="4053">
        <v>1</v>
      </c>
      <c r="AZ37" s="4054" t="s">
        <v>2516</v>
      </c>
      <c r="BA37" s="2070"/>
      <c r="BB37" s="2070"/>
      <c r="BC37" s="2070"/>
      <c r="BD37" s="2070"/>
    </row>
    <row r="38" spans="1:56" ht="14.25" customHeight="1">
      <c r="A38" s="857"/>
      <c r="B38" s="466" t="s">
        <v>60</v>
      </c>
      <c r="C38" s="466"/>
      <c r="D38" s="2152">
        <v>7</v>
      </c>
      <c r="E38" s="2153"/>
      <c r="F38" s="2154" t="s">
        <v>860</v>
      </c>
      <c r="G38" s="2155"/>
      <c r="H38" s="2155"/>
      <c r="I38" s="2155"/>
      <c r="J38" s="2155"/>
      <c r="K38" s="2155"/>
      <c r="L38" s="2155"/>
      <c r="M38" s="2155"/>
      <c r="N38" s="2155"/>
      <c r="O38" s="2155"/>
      <c r="P38" s="2155"/>
      <c r="Q38" s="2155"/>
      <c r="R38" s="2155"/>
      <c r="S38" s="2156" t="s">
        <v>832</v>
      </c>
      <c r="T38" s="4757" t="str">
        <f>IF('Earned Income'!J23&gt;0,"PRI  "&amp;TEXT('Earned Income'!J23,"$0,000"),IF('Earned Income'!J33&gt;0,"DFC  "&amp;TEXT('Earned Income'!J33,"$0,000"),IF(OR('2441'!O101="",'2441'!O101=0),"","DCB")))</f>
        <v/>
      </c>
      <c r="U38" s="4758"/>
      <c r="V38" s="4758"/>
      <c r="W38" s="4758"/>
      <c r="X38" s="4758"/>
      <c r="Y38" s="4821"/>
      <c r="Z38" s="4822"/>
      <c r="AA38" s="2252">
        <f>D38</f>
        <v>7</v>
      </c>
      <c r="AB38" s="4649">
        <f>IF(AL38&lt;&gt;"",AL38,SUM(W2_Wages,'2441'!O101))</f>
        <v>0</v>
      </c>
      <c r="AC38" s="4650"/>
      <c r="AD38" s="4650"/>
      <c r="AE38" s="4650"/>
      <c r="AF38" s="4650"/>
      <c r="AG38" s="456"/>
      <c r="AH38" s="952"/>
      <c r="AI38" s="4723" t="s">
        <v>196</v>
      </c>
      <c r="AJ38" s="4724"/>
      <c r="AK38" s="4725"/>
      <c r="AL38" s="3620"/>
      <c r="AM38" s="2117"/>
      <c r="AN38" s="2070"/>
      <c r="AO38" s="2070"/>
      <c r="AP38" s="2070"/>
      <c r="AQ38" s="4055"/>
      <c r="AR38" s="4056"/>
      <c r="AS38" s="4056"/>
      <c r="AT38" s="4056"/>
      <c r="AU38" s="4056"/>
      <c r="AV38" s="4056"/>
      <c r="AW38" s="4057"/>
      <c r="AX38" s="4056"/>
      <c r="AY38" s="4057">
        <v>2</v>
      </c>
      <c r="AZ38" s="4058" t="s">
        <v>2517</v>
      </c>
      <c r="BA38" s="2070"/>
      <c r="BB38" s="2070"/>
      <c r="BC38" s="2070"/>
      <c r="BD38" s="2070"/>
    </row>
    <row r="39" spans="1:56" ht="14.25" customHeight="1">
      <c r="A39" s="857"/>
      <c r="B39" s="389"/>
      <c r="C39" s="69"/>
      <c r="D39" s="2152">
        <f>D38+1</f>
        <v>8</v>
      </c>
      <c r="E39" s="2157" t="s">
        <v>61</v>
      </c>
      <c r="F39" s="2158" t="s">
        <v>508</v>
      </c>
      <c r="G39" s="2159"/>
      <c r="H39" s="2159"/>
      <c r="I39" s="2159"/>
      <c r="J39" s="2159"/>
      <c r="K39" s="2159"/>
      <c r="L39" s="2159"/>
      <c r="M39" s="2159"/>
      <c r="N39" s="2159"/>
      <c r="O39" s="2159"/>
      <c r="P39" s="2159"/>
      <c r="Q39" s="2159"/>
      <c r="R39" s="2159"/>
      <c r="S39" s="2159"/>
      <c r="T39" s="2153"/>
      <c r="U39" s="2153"/>
      <c r="V39" s="2153"/>
      <c r="W39" s="2153"/>
      <c r="X39" s="2153"/>
      <c r="Y39" s="2153"/>
      <c r="Z39" s="2153"/>
      <c r="AA39" s="2253" t="str">
        <f>D39&amp;"a"</f>
        <v>8a</v>
      </c>
      <c r="AB39" s="4632">
        <f>IF(AL39&lt;&gt;"",AL39,Interest_Inc)</f>
        <v>0</v>
      </c>
      <c r="AC39" s="4653"/>
      <c r="AD39" s="4653"/>
      <c r="AE39" s="4653"/>
      <c r="AF39" s="4653"/>
      <c r="AG39" s="454"/>
      <c r="AH39" s="952"/>
      <c r="AI39" s="4720" t="s">
        <v>683</v>
      </c>
      <c r="AJ39" s="4721"/>
      <c r="AK39" s="4722"/>
      <c r="AL39" s="3620"/>
      <c r="AM39" s="2117"/>
      <c r="AN39" s="4059"/>
      <c r="AO39" s="4059"/>
      <c r="AP39" s="4059"/>
      <c r="AQ39" s="4055"/>
      <c r="AR39" s="4056"/>
      <c r="AS39" s="4056"/>
      <c r="AT39" s="4056"/>
      <c r="AU39" s="4056"/>
      <c r="AV39" s="4056"/>
      <c r="AW39" s="4057"/>
      <c r="AX39" s="4056"/>
      <c r="AY39" s="4057">
        <v>3</v>
      </c>
      <c r="AZ39" s="4058" t="s">
        <v>2518</v>
      </c>
      <c r="BA39" s="2070"/>
      <c r="BB39" s="2070"/>
      <c r="BC39" s="2070"/>
      <c r="BD39" s="2070"/>
    </row>
    <row r="40" spans="1:56" ht="14.25" customHeight="1">
      <c r="A40" s="857"/>
      <c r="B40" s="69" t="s">
        <v>31</v>
      </c>
      <c r="C40" s="69"/>
      <c r="D40" s="2152"/>
      <c r="E40" s="2157" t="s">
        <v>84</v>
      </c>
      <c r="F40" s="2158" t="s">
        <v>63</v>
      </c>
      <c r="G40" s="2159"/>
      <c r="H40" s="2159"/>
      <c r="I40" s="2159"/>
      <c r="J40" s="2159"/>
      <c r="K40" s="2159"/>
      <c r="L40" s="2159"/>
      <c r="M40" s="2159"/>
      <c r="N40" s="2159"/>
      <c r="O40" s="2159"/>
      <c r="P40" s="2159"/>
      <c r="Q40" s="2159"/>
      <c r="R40" s="2159"/>
      <c r="S40" s="2268" t="s">
        <v>1135</v>
      </c>
      <c r="T40" s="2253" t="str">
        <f>D39&amp;"b"</f>
        <v>8b</v>
      </c>
      <c r="U40" s="2254"/>
      <c r="V40" s="4750"/>
      <c r="W40" s="4750"/>
      <c r="X40" s="4750"/>
      <c r="Y40" s="4750"/>
      <c r="Z40" s="2255"/>
      <c r="AA40" s="2143"/>
      <c r="AB40" s="340"/>
      <c r="AC40" s="340"/>
      <c r="AD40" s="340"/>
      <c r="AE40" s="340"/>
      <c r="AF40" s="340"/>
      <c r="AG40" s="455"/>
      <c r="AH40" s="952"/>
      <c r="AI40" s="4562" t="str">
        <f>IF($AM$40,"Use Sheet W-2,","")</f>
        <v/>
      </c>
      <c r="AJ40" s="4563"/>
      <c r="AK40" s="4563"/>
      <c r="AL40" s="523"/>
      <c r="AM40" s="2610" t="b">
        <f>IF(OR($AL$38&lt;&gt;"",$AM$48&lt;&gt;"",$AM$49&lt;&gt;"",$AL$53&lt;&gt;"",$AM$53&lt;&gt;""),TRUE,FALSE)</f>
        <v>0</v>
      </c>
      <c r="AN40" s="2117"/>
      <c r="AO40" s="2117"/>
      <c r="AP40" s="2117"/>
      <c r="AQ40" s="4055"/>
      <c r="AR40" s="4056" t="e">
        <f>DATEVALUE(AR42)</f>
        <v>#N/A</v>
      </c>
      <c r="AS40" s="4056"/>
      <c r="AT40" s="4056"/>
      <c r="AU40" s="4056"/>
      <c r="AV40" s="4056"/>
      <c r="AW40" s="4057"/>
      <c r="AX40" s="4056"/>
      <c r="AY40" s="4057">
        <v>4</v>
      </c>
      <c r="AZ40" s="4058" t="s">
        <v>2519</v>
      </c>
      <c r="BA40" s="2070"/>
      <c r="BB40" s="2070"/>
      <c r="BC40" s="2070"/>
      <c r="BD40" s="2070"/>
    </row>
    <row r="41" spans="1:56" ht="14.25" customHeight="1">
      <c r="A41" s="857"/>
      <c r="B41" s="69" t="s">
        <v>32</v>
      </c>
      <c r="C41" s="69"/>
      <c r="D41" s="2152">
        <f>D39+1</f>
        <v>9</v>
      </c>
      <c r="E41" s="2157" t="s">
        <v>61</v>
      </c>
      <c r="F41" s="2154" t="s">
        <v>673</v>
      </c>
      <c r="G41" s="2155"/>
      <c r="H41" s="2155"/>
      <c r="I41" s="2155"/>
      <c r="J41" s="2155"/>
      <c r="K41" s="2155"/>
      <c r="L41" s="2155"/>
      <c r="M41" s="2155"/>
      <c r="N41" s="2155"/>
      <c r="O41" s="2155"/>
      <c r="P41" s="2155"/>
      <c r="Q41" s="2155"/>
      <c r="R41" s="2155"/>
      <c r="S41" s="2155"/>
      <c r="T41" s="2153"/>
      <c r="U41" s="2153"/>
      <c r="V41" s="2153"/>
      <c r="W41" s="2153"/>
      <c r="X41" s="2153"/>
      <c r="Y41" s="2153"/>
      <c r="Z41" s="2153"/>
      <c r="AA41" s="2253" t="str">
        <f>D41&amp;"a"</f>
        <v>9a</v>
      </c>
      <c r="AB41" s="4649">
        <f>IF(AL41="",Dividend_Inc,AL41)</f>
        <v>0</v>
      </c>
      <c r="AC41" s="4650"/>
      <c r="AD41" s="4650"/>
      <c r="AE41" s="4650"/>
      <c r="AF41" s="4650"/>
      <c r="AG41" s="456"/>
      <c r="AH41" s="955"/>
      <c r="AI41" s="4562" t="str">
        <f>IF($AM$40,"1099-R, and","")</f>
        <v/>
      </c>
      <c r="AJ41" s="4563"/>
      <c r="AK41" s="4563"/>
      <c r="AL41" s="568"/>
      <c r="AM41" s="2117"/>
      <c r="AN41" s="4059"/>
      <c r="AO41" s="4059"/>
      <c r="AP41" s="4059"/>
      <c r="AQ41" s="4055" t="b">
        <f>IF(OR(YourBirthMonth="",YourBirthDay="",YourBirthYear=""),TRUE,FALSE)</f>
        <v>1</v>
      </c>
      <c r="AR41" s="4056"/>
      <c r="AS41" s="4056" t="s">
        <v>3168</v>
      </c>
      <c r="AT41" s="4056"/>
      <c r="AU41" s="4060"/>
      <c r="AV41" s="4060" t="s">
        <v>3172</v>
      </c>
      <c r="AW41" s="4057" t="e">
        <f>IF(AND(YourBirthMonth=2,YourBirthDay=29),YourBirthDay-1&amp;"-"&amp;LOOKUP(YourBirthMonth,$AY$37:$AY$49,$AZ$37:$AZ$49)&amp;"-"&amp;(YourBirthYear+70),YourBirthDay&amp;"-"&amp;LOOKUP(YourBirthMonth,$AY$37:$AY$49,$AZ$37:$AZ$49)&amp;"-"&amp;(YourBirthYear+70))</f>
        <v>#N/A</v>
      </c>
      <c r="AX41" s="4056"/>
      <c r="AY41" s="4061">
        <v>5</v>
      </c>
      <c r="AZ41" s="4062" t="s">
        <v>2245</v>
      </c>
      <c r="BA41" s="2070"/>
      <c r="BB41" s="2070"/>
      <c r="BC41" s="2070"/>
      <c r="BD41" s="2070"/>
    </row>
    <row r="42" spans="1:56" ht="14.25" customHeight="1" thickBot="1">
      <c r="A42" s="857"/>
      <c r="B42" s="69" t="s">
        <v>33</v>
      </c>
      <c r="C42" s="69"/>
      <c r="D42" s="2152"/>
      <c r="E42" s="2157" t="s">
        <v>84</v>
      </c>
      <c r="F42" s="2154" t="s">
        <v>790</v>
      </c>
      <c r="G42" s="2159"/>
      <c r="H42" s="2159"/>
      <c r="I42" s="2159"/>
      <c r="J42" s="2159"/>
      <c r="K42" s="2159"/>
      <c r="L42" s="2159"/>
      <c r="M42" s="2159"/>
      <c r="N42" s="2159"/>
      <c r="O42" s="2159"/>
      <c r="P42" s="2159"/>
      <c r="Q42" s="2159"/>
      <c r="R42" s="2159"/>
      <c r="S42" s="2268" t="s">
        <v>509</v>
      </c>
      <c r="T42" s="2253" t="str">
        <f>D41&amp;"b"</f>
        <v>9b</v>
      </c>
      <c r="U42" s="2254"/>
      <c r="V42" s="4750"/>
      <c r="W42" s="4750"/>
      <c r="X42" s="4750"/>
      <c r="Y42" s="4750"/>
      <c r="Z42" s="2255"/>
      <c r="AA42" s="2143"/>
      <c r="AB42" s="340"/>
      <c r="AC42" s="340"/>
      <c r="AD42" s="340"/>
      <c r="AE42" s="340"/>
      <c r="AF42" s="340"/>
      <c r="AG42" s="455"/>
      <c r="AH42" s="952"/>
      <c r="AI42" s="4562" t="str">
        <f>IF($AM$40,"SSA-1099 for","")</f>
        <v/>
      </c>
      <c r="AJ42" s="4563"/>
      <c r="AK42" s="4563"/>
      <c r="AL42" s="523"/>
      <c r="AM42" s="2117"/>
      <c r="AN42" s="2117"/>
      <c r="AO42" s="2117"/>
      <c r="AP42" s="2117"/>
      <c r="AQ42" s="4063" t="e">
        <f>LOOKUP(YourBirthMonth,$AY$37:$AY$49,$AZ$37:$AZ$49)</f>
        <v>#N/A</v>
      </c>
      <c r="AR42" s="4061" t="e">
        <f>YourBirthDay&amp;"-"&amp;AQ42&amp;"-"&amp;YourBirthYear</f>
        <v>#N/A</v>
      </c>
      <c r="AS42" s="4064" t="b">
        <f>IF(OR(YourBirthMonth="",YourBirthDay="",YourBirthYear=""),TRUE,IF(ISERROR(DATEVALUE(AR42)),TRUE,FALSE))</f>
        <v>1</v>
      </c>
      <c r="AT42" s="4064" t="b">
        <f>IF(AND(YourBirthMonth="",YourBirthDay="",YourBirthYear=""),FALSE,IF(OR(BadBirthdate_Yours,AND(YourAge&gt;120,AND(YourBirthMonth&lt;&gt;"",YourBirthDay&lt;&gt;"",YourBirthYear&lt;&gt;""))),TRUE,FALSE))</f>
        <v>0</v>
      </c>
      <c r="AU42" s="4064"/>
      <c r="AV42" s="4065"/>
      <c r="AW42" s="4057"/>
      <c r="AX42" s="4064">
        <f>YourBirthMonth+6</f>
        <v>6</v>
      </c>
      <c r="AY42" s="4061">
        <v>6</v>
      </c>
      <c r="AZ42" s="4062" t="s">
        <v>2520</v>
      </c>
      <c r="BA42" s="2070"/>
      <c r="BB42" s="2070"/>
      <c r="BC42" s="2070"/>
      <c r="BD42" s="2070"/>
    </row>
    <row r="43" spans="1:56" ht="14.25" customHeight="1" thickBot="1">
      <c r="A43" s="857"/>
      <c r="B43" s="69" t="s">
        <v>34</v>
      </c>
      <c r="C43" s="69"/>
      <c r="D43" s="2152">
        <f>D41+1</f>
        <v>10</v>
      </c>
      <c r="E43" s="2153"/>
      <c r="F43" s="2154" t="s">
        <v>791</v>
      </c>
      <c r="G43" s="2155"/>
      <c r="H43" s="2155"/>
      <c r="I43" s="2155"/>
      <c r="J43" s="2155"/>
      <c r="K43" s="2155"/>
      <c r="L43" s="2155"/>
      <c r="M43" s="2155"/>
      <c r="N43" s="2155"/>
      <c r="O43" s="2155"/>
      <c r="P43" s="2155"/>
      <c r="Q43" s="2155"/>
      <c r="R43" s="2155"/>
      <c r="S43" s="2155"/>
      <c r="T43" s="2153"/>
      <c r="U43" s="2153"/>
      <c r="V43" s="2153"/>
      <c r="W43" s="2153"/>
      <c r="X43" s="2153"/>
      <c r="Y43" s="2153"/>
      <c r="Z43" s="2153"/>
      <c r="AA43" s="2267">
        <f>D43</f>
        <v>10</v>
      </c>
      <c r="AB43" s="4649" t="str">
        <f>IF(AL43&lt;&gt;"",AL43,State_Local_Tax_Refund)</f>
        <v/>
      </c>
      <c r="AC43" s="4650"/>
      <c r="AD43" s="4650"/>
      <c r="AE43" s="4650"/>
      <c r="AF43" s="4650"/>
      <c r="AG43" s="456"/>
      <c r="AH43" s="955"/>
      <c r="AI43" s="4562" t="str">
        <f>IF($AM$40,"accurate results.","")</f>
        <v/>
      </c>
      <c r="AJ43" s="4563"/>
      <c r="AK43" s="4563"/>
      <c r="AL43" s="568"/>
      <c r="AM43" s="2117"/>
      <c r="AN43" s="4059"/>
      <c r="AO43" s="4059"/>
      <c r="AP43" s="4059"/>
      <c r="AQ43" s="4066"/>
      <c r="AR43" s="4064" t="e">
        <f>IF(AT42,"",DATEVALUE(AR42))</f>
        <v>#N/A</v>
      </c>
      <c r="AS43" s="4064"/>
      <c r="AT43" s="4064"/>
      <c r="AU43" s="4067" t="s">
        <v>3173</v>
      </c>
      <c r="AV43" s="4068" t="b">
        <f>IF(BadBirthdate_Yours,FALSE,IF(DATEVALUE(AW41)&lt;=DATEVALUE(AV46),TRUE,FALSE))</f>
        <v>0</v>
      </c>
      <c r="AW43" s="4061"/>
      <c r="AX43" s="4056">
        <f>IF(AX42&lt;=12,YourBirthYear+70,YourBirthYear+71)</f>
        <v>70</v>
      </c>
      <c r="AY43" s="4061">
        <v>7</v>
      </c>
      <c r="AZ43" s="4062" t="s">
        <v>2521</v>
      </c>
      <c r="BA43" s="2070"/>
      <c r="BB43" s="2070"/>
      <c r="BC43" s="2070"/>
      <c r="BD43" s="2070"/>
    </row>
    <row r="44" spans="1:56" ht="14.25" customHeight="1">
      <c r="A44" s="857"/>
      <c r="B44" s="69" t="s">
        <v>35</v>
      </c>
      <c r="C44" s="69"/>
      <c r="D44" s="2162">
        <f>D43+1</f>
        <v>11</v>
      </c>
      <c r="E44" s="2163"/>
      <c r="F44" s="2164" t="s">
        <v>761</v>
      </c>
      <c r="G44" s="2155"/>
      <c r="H44" s="2155"/>
      <c r="I44" s="2155"/>
      <c r="J44" s="2155"/>
      <c r="K44" s="2155"/>
      <c r="L44" s="2155"/>
      <c r="M44" s="2155"/>
      <c r="N44" s="2155"/>
      <c r="O44" s="2155"/>
      <c r="P44" s="2155"/>
      <c r="Q44" s="2155"/>
      <c r="R44" s="2155"/>
      <c r="S44" s="2155"/>
      <c r="T44" s="2153"/>
      <c r="U44" s="2153"/>
      <c r="V44" s="2153"/>
      <c r="W44" s="2153"/>
      <c r="X44" s="2153"/>
      <c r="Y44" s="2153"/>
      <c r="Z44" s="2153"/>
      <c r="AA44" s="2267">
        <f>D44</f>
        <v>11</v>
      </c>
      <c r="AB44" s="4645"/>
      <c r="AC44" s="4646"/>
      <c r="AD44" s="4646"/>
      <c r="AE44" s="4646"/>
      <c r="AF44" s="4646"/>
      <c r="AG44" s="456"/>
      <c r="AH44" s="955"/>
      <c r="AI44" s="4562" t="str">
        <f>IF(AND($AL$46="",$X$46),"Enter","")</f>
        <v/>
      </c>
      <c r="AJ44" s="4563"/>
      <c r="AK44" s="4563"/>
      <c r="AL44" s="523"/>
      <c r="AM44" s="2117"/>
      <c r="AN44" s="2117"/>
      <c r="AO44" s="2117"/>
      <c r="AP44" s="2117"/>
      <c r="AQ44" s="4066"/>
      <c r="AR44" s="4064" t="e">
        <f>ROUNDDOWN((EndOfTaxYear-AR43)/365.25,1)</f>
        <v>#N/A</v>
      </c>
      <c r="AS44" s="4064"/>
      <c r="AT44" s="4064"/>
      <c r="AU44" s="4067" t="s">
        <v>3175</v>
      </c>
      <c r="AV44" s="4069">
        <f>EndOfTaxYear</f>
        <v>42735</v>
      </c>
      <c r="AW44" s="4061"/>
      <c r="AX44" s="4064"/>
      <c r="AY44" s="4061">
        <v>8</v>
      </c>
      <c r="AZ44" s="4062" t="s">
        <v>2522</v>
      </c>
      <c r="BA44" s="2070"/>
      <c r="BB44" s="2070"/>
      <c r="BC44" s="2070"/>
      <c r="BD44" s="2070"/>
    </row>
    <row r="45" spans="1:56" ht="14.25" customHeight="1" thickBot="1">
      <c r="A45" s="857"/>
      <c r="B45" s="69" t="s">
        <v>36</v>
      </c>
      <c r="C45" s="69"/>
      <c r="D45" s="2162">
        <f t="shared" ref="D45:D57" si="0">D44+1</f>
        <v>12</v>
      </c>
      <c r="E45" s="2163"/>
      <c r="F45" s="2164" t="s">
        <v>350</v>
      </c>
      <c r="G45" s="2155"/>
      <c r="H45" s="2155"/>
      <c r="I45" s="2155"/>
      <c r="J45" s="2155"/>
      <c r="K45" s="2155"/>
      <c r="L45" s="2155"/>
      <c r="M45" s="2155"/>
      <c r="N45" s="2155"/>
      <c r="O45" s="2155"/>
      <c r="P45" s="2155"/>
      <c r="Q45" s="2155"/>
      <c r="R45" s="2155"/>
      <c r="S45" s="2155"/>
      <c r="T45" s="2153"/>
      <c r="U45" s="2153"/>
      <c r="V45" s="2153"/>
      <c r="W45" s="2153"/>
      <c r="X45" s="2153"/>
      <c r="Y45" s="2153"/>
      <c r="Z45" s="2153"/>
      <c r="AA45" s="2267">
        <f>D45</f>
        <v>12</v>
      </c>
      <c r="AB45" s="4632">
        <f>IF(AL45&lt;&gt;"",AL45,Business_Profit)</f>
        <v>0</v>
      </c>
      <c r="AC45" s="4653"/>
      <c r="AD45" s="4653"/>
      <c r="AE45" s="4653"/>
      <c r="AF45" s="4653"/>
      <c r="AG45" s="456"/>
      <c r="AH45" s="955"/>
      <c r="AI45" s="4562" t="str">
        <f>IF(AND($AL$46="",$X$46),"capital gain","")</f>
        <v/>
      </c>
      <c r="AJ45" s="4563"/>
      <c r="AK45" s="4564"/>
      <c r="AL45" s="568"/>
      <c r="AM45" s="2117"/>
      <c r="AN45" s="4059"/>
      <c r="AO45" s="4059"/>
      <c r="AP45" s="4059"/>
      <c r="AQ45" s="4066"/>
      <c r="AR45" s="4064" t="str">
        <f>IF(YourBirthYear="","?",IF(AND(YourBirthMonth=1,YourBirthDay=1),TaxYear-YourBirthYear+1,TaxYear-YourBirthYear))</f>
        <v>?</v>
      </c>
      <c r="AS45" s="4064"/>
      <c r="AT45" s="4064"/>
      <c r="AU45" s="4064"/>
      <c r="AV45" s="4069"/>
      <c r="AW45" s="4061"/>
      <c r="AX45" s="4064"/>
      <c r="AY45" s="4061">
        <v>9</v>
      </c>
      <c r="AZ45" s="4062" t="s">
        <v>2523</v>
      </c>
      <c r="BA45" s="2070"/>
      <c r="BB45" s="2070"/>
      <c r="BC45" s="2070"/>
      <c r="BD45" s="2070"/>
    </row>
    <row r="46" spans="1:56" ht="14.25" customHeight="1" thickBot="1">
      <c r="A46" s="857"/>
      <c r="B46" s="389"/>
      <c r="C46" s="45"/>
      <c r="D46" s="2162">
        <f t="shared" si="0"/>
        <v>13</v>
      </c>
      <c r="E46" s="2165"/>
      <c r="F46" s="2812" t="s">
        <v>838</v>
      </c>
      <c r="G46" s="2155"/>
      <c r="H46" s="2155"/>
      <c r="I46" s="2155"/>
      <c r="J46" s="2155"/>
      <c r="K46" s="2155"/>
      <c r="L46" s="2155"/>
      <c r="M46" s="2155"/>
      <c r="N46" s="2155"/>
      <c r="O46" s="2155"/>
      <c r="P46" s="2155"/>
      <c r="Q46" s="2155"/>
      <c r="R46" s="2155"/>
      <c r="S46" s="2155"/>
      <c r="T46" s="2153"/>
      <c r="U46" s="2153"/>
      <c r="V46" s="2256"/>
      <c r="W46" s="2256"/>
      <c r="X46" s="3108" t="b">
        <f>IF(AND(SchD_NotReqd&lt;&gt;"",AL46=""),TRUE,FALSE)</f>
        <v>0</v>
      </c>
      <c r="Y46" s="2121"/>
      <c r="Z46" s="2153"/>
      <c r="AA46" s="2267">
        <f>D46</f>
        <v>13</v>
      </c>
      <c r="AB46" s="4632">
        <f>IF(OR(SchD_NotReqd&lt;&gt;"",AL46&lt;&gt;""),AL46,IF('Sch. D'!A60,'Sch. D'!N58,IF('Sch. D'!A64,0,'Sch. D'!N87)))</f>
        <v>0</v>
      </c>
      <c r="AC46" s="4653"/>
      <c r="AD46" s="4653"/>
      <c r="AE46" s="4653"/>
      <c r="AF46" s="4653"/>
      <c r="AG46" s="456"/>
      <c r="AH46" s="955"/>
      <c r="AI46" s="586" t="str">
        <f>IF(AND($AL$46="",$X$46),"here","")</f>
        <v/>
      </c>
      <c r="AJ46" s="13"/>
      <c r="AK46" s="537" t="str">
        <f>IF(AND($AL$46="",$X$46),"®","")</f>
        <v/>
      </c>
      <c r="AL46" s="568"/>
      <c r="AM46" s="2117"/>
      <c r="AN46" s="4059"/>
      <c r="AO46" s="4059"/>
      <c r="AP46" s="4059"/>
      <c r="AQ46" s="4066"/>
      <c r="AR46" s="4064"/>
      <c r="AS46" s="4064"/>
      <c r="AT46" s="4064"/>
      <c r="AU46" s="4067" t="s">
        <v>3176</v>
      </c>
      <c r="AV46" s="4064" t="str">
        <f>"30-Jun-"&amp;TaxYear</f>
        <v>30-Jun-2016</v>
      </c>
      <c r="AW46" s="4061"/>
      <c r="AX46" s="4064"/>
      <c r="AY46" s="4061">
        <v>10</v>
      </c>
      <c r="AZ46" s="4062" t="s">
        <v>2524</v>
      </c>
      <c r="BA46" s="2070"/>
      <c r="BB46" s="2070"/>
      <c r="BC46" s="2070"/>
      <c r="BD46" s="2070"/>
    </row>
    <row r="47" spans="1:56" ht="14.25" customHeight="1">
      <c r="A47" s="857"/>
      <c r="B47" s="369" t="s">
        <v>626</v>
      </c>
      <c r="C47" s="45"/>
      <c r="D47" s="2162">
        <f t="shared" si="0"/>
        <v>14</v>
      </c>
      <c r="E47" s="2163"/>
      <c r="F47" s="2164" t="s">
        <v>311</v>
      </c>
      <c r="G47" s="2155"/>
      <c r="H47" s="2155"/>
      <c r="I47" s="2155"/>
      <c r="J47" s="2155"/>
      <c r="K47" s="2155"/>
      <c r="L47" s="2155"/>
      <c r="M47" s="2155"/>
      <c r="N47" s="2155"/>
      <c r="O47" s="2155"/>
      <c r="P47" s="2155"/>
      <c r="Q47" s="2155"/>
      <c r="R47" s="2155"/>
      <c r="S47" s="2155"/>
      <c r="T47" s="2257"/>
      <c r="U47" s="2257"/>
      <c r="V47" s="2153"/>
      <c r="W47" s="2153"/>
      <c r="X47" s="2153"/>
      <c r="Y47" s="2153"/>
      <c r="Z47" s="2153"/>
      <c r="AA47" s="2267">
        <f>D47</f>
        <v>14</v>
      </c>
      <c r="AB47" s="4645"/>
      <c r="AC47" s="4646"/>
      <c r="AD47" s="4646"/>
      <c r="AE47" s="4646"/>
      <c r="AF47" s="4646"/>
      <c r="AG47" s="456"/>
      <c r="AH47" s="952"/>
      <c r="AI47" s="4735" t="str">
        <f>IF($AH$49,"Line 16a is blank","")</f>
        <v/>
      </c>
      <c r="AJ47" s="4736"/>
      <c r="AK47" s="4736"/>
      <c r="AL47" s="524" t="str">
        <f>"Line "&amp;N48&amp;" &amp; "&amp;N49</f>
        <v>Line 15a &amp; 16a</v>
      </c>
      <c r="AM47" s="418" t="str">
        <f>"Line "&amp;AA48&amp;"&amp; "&amp;AA49</f>
        <v>Line 15b&amp; 16b</v>
      </c>
      <c r="AN47" s="4070"/>
      <c r="AO47" s="4070"/>
      <c r="AP47" s="4070"/>
      <c r="AQ47" s="4066"/>
      <c r="AR47" s="4064"/>
      <c r="AS47" s="4064"/>
      <c r="AT47" s="4064"/>
      <c r="AU47" s="4064"/>
      <c r="AV47" s="4064"/>
      <c r="AW47" s="4061"/>
      <c r="AX47" s="4064"/>
      <c r="AY47" s="4057">
        <v>11</v>
      </c>
      <c r="AZ47" s="4058" t="s">
        <v>2525</v>
      </c>
      <c r="BA47" s="2070"/>
      <c r="BB47" s="2070"/>
      <c r="BC47" s="2070"/>
      <c r="BD47" s="2070"/>
    </row>
    <row r="48" spans="1:56" ht="14.25" customHeight="1">
      <c r="A48" s="857"/>
      <c r="B48" s="45" t="s">
        <v>743</v>
      </c>
      <c r="C48" s="45"/>
      <c r="D48" s="2162">
        <f t="shared" si="0"/>
        <v>15</v>
      </c>
      <c r="E48" s="2157" t="s">
        <v>61</v>
      </c>
      <c r="F48" s="2154" t="s">
        <v>466</v>
      </c>
      <c r="G48" s="2155"/>
      <c r="H48" s="2155"/>
      <c r="I48" s="2155"/>
      <c r="J48" s="2155"/>
      <c r="K48" s="4751"/>
      <c r="L48" s="4752"/>
      <c r="M48" s="4753"/>
      <c r="N48" s="2258" t="str">
        <f>D48&amp;"a"</f>
        <v>15a</v>
      </c>
      <c r="O48" s="4744">
        <f>IF(AL48&lt;&gt;"",ROUND(AL48,0),'1099-R'!D45)</f>
        <v>0</v>
      </c>
      <c r="P48" s="4745"/>
      <c r="Q48" s="4746"/>
      <c r="R48" s="4747"/>
      <c r="S48" s="2262"/>
      <c r="T48" s="2263" t="s">
        <v>1033</v>
      </c>
      <c r="U48" s="2264" t="s">
        <v>839</v>
      </c>
      <c r="V48" s="2155"/>
      <c r="W48" s="2155"/>
      <c r="X48" s="2155"/>
      <c r="Y48" s="2222"/>
      <c r="Z48" s="2265"/>
      <c r="AA48" s="2253" t="str">
        <f>D48&amp;"b"</f>
        <v>15b</v>
      </c>
      <c r="AB48" s="4632">
        <f>IF(AM48&lt;&gt;"",AM48,ROUND(IRA_Taxable,0))</f>
        <v>0</v>
      </c>
      <c r="AC48" s="4633"/>
      <c r="AD48" s="4633"/>
      <c r="AE48" s="4633"/>
      <c r="AF48" s="4633"/>
      <c r="AG48" s="457"/>
      <c r="AH48" s="953"/>
      <c r="AI48" s="4735" t="str">
        <f>IF($AH$49,"per instructions.","")</f>
        <v/>
      </c>
      <c r="AJ48" s="4736"/>
      <c r="AK48" s="4736"/>
      <c r="AL48" s="568"/>
      <c r="AM48" s="568"/>
      <c r="AN48" s="2117"/>
      <c r="AO48" s="2117"/>
      <c r="AP48" s="2117"/>
      <c r="AQ48" s="4066"/>
      <c r="AR48" s="4064"/>
      <c r="AS48" s="4064"/>
      <c r="AT48" s="4064"/>
      <c r="AU48" s="4064"/>
      <c r="AV48" s="4064"/>
      <c r="AW48" s="4061"/>
      <c r="AX48" s="4064"/>
      <c r="AY48" s="4071">
        <v>12</v>
      </c>
      <c r="AZ48" s="4072" t="s">
        <v>2526</v>
      </c>
      <c r="BA48" s="2070"/>
      <c r="BB48" s="2070"/>
      <c r="BC48" s="2070"/>
      <c r="BD48" s="2070"/>
    </row>
    <row r="49" spans="1:56" ht="14.25" customHeight="1">
      <c r="A49" s="857"/>
      <c r="B49" s="45" t="s">
        <v>886</v>
      </c>
      <c r="C49" s="45"/>
      <c r="D49" s="2162">
        <f t="shared" si="0"/>
        <v>16</v>
      </c>
      <c r="E49" s="2157" t="s">
        <v>61</v>
      </c>
      <c r="F49" s="2166" t="s">
        <v>664</v>
      </c>
      <c r="G49" s="2155"/>
      <c r="H49" s="2155"/>
      <c r="I49" s="2155"/>
      <c r="J49" s="2155"/>
      <c r="K49" s="4751"/>
      <c r="L49" s="4752"/>
      <c r="M49" s="4753"/>
      <c r="N49" s="2258" t="str">
        <f>D49&amp;"a"</f>
        <v>16a</v>
      </c>
      <c r="O49" s="4740">
        <f>IF(AL49&lt;&gt;"",AL49,IF('1099-R'!E45=0,0,IF(AH49,"",AI49)))</f>
        <v>0</v>
      </c>
      <c r="P49" s="4741"/>
      <c r="Q49" s="4742"/>
      <c r="R49" s="4743"/>
      <c r="S49" s="2266"/>
      <c r="T49" s="2263" t="s">
        <v>1033</v>
      </c>
      <c r="U49" s="2264" t="s">
        <v>839</v>
      </c>
      <c r="V49" s="2155"/>
      <c r="W49" s="2155"/>
      <c r="X49" s="2155"/>
      <c r="Y49" s="2222"/>
      <c r="Z49" s="2265"/>
      <c r="AA49" s="2253" t="str">
        <f>D49&amp;"b"</f>
        <v>16b</v>
      </c>
      <c r="AB49" s="4632">
        <f>IF(AM49&lt;&gt;"",AM49,ROUND('1099-R'!E46,0))</f>
        <v>0</v>
      </c>
      <c r="AC49" s="4617"/>
      <c r="AD49" s="4617"/>
      <c r="AE49" s="4617"/>
      <c r="AF49" s="4617"/>
      <c r="AG49" s="458"/>
      <c r="AH49" s="3356" t="b">
        <f>IF(AND('1099-R'!E45&lt;&gt;0,'1099-R'!E45='1099-R'!E46),TRUE,FALSE)</f>
        <v>0</v>
      </c>
      <c r="AI49" s="4737">
        <f>IF(AL49&lt;&gt;"",AL49,IF('1099-R'!E45=0,0,IF('1099-R'!E45=0,0,ROUND('1099-R'!E45,0))))</f>
        <v>0</v>
      </c>
      <c r="AJ49" s="4738"/>
      <c r="AK49" s="4739"/>
      <c r="AL49" s="568"/>
      <c r="AM49" s="568"/>
      <c r="AN49" s="4059"/>
      <c r="AO49" s="4059"/>
      <c r="AP49" s="4059"/>
      <c r="AQ49" s="4066"/>
      <c r="AR49" s="4064"/>
      <c r="AS49" s="4064"/>
      <c r="AT49" s="4064"/>
      <c r="AU49" s="4064"/>
      <c r="AV49" s="4064"/>
      <c r="AW49" s="4061"/>
      <c r="AX49" s="4064"/>
      <c r="AY49" s="4057">
        <v>13</v>
      </c>
      <c r="AZ49" s="4058" t="s">
        <v>3306</v>
      </c>
      <c r="BA49" s="2070"/>
      <c r="BB49" s="2070"/>
      <c r="BC49" s="2070"/>
      <c r="BD49" s="2070"/>
    </row>
    <row r="50" spans="1:56" ht="14.25" customHeight="1">
      <c r="A50" s="857"/>
      <c r="B50" s="389"/>
      <c r="C50" s="45"/>
      <c r="D50" s="2162">
        <f t="shared" si="0"/>
        <v>17</v>
      </c>
      <c r="E50" s="2153"/>
      <c r="F50" s="2154" t="s">
        <v>1016</v>
      </c>
      <c r="G50" s="2155"/>
      <c r="H50" s="2155"/>
      <c r="I50" s="2155"/>
      <c r="J50" s="2155"/>
      <c r="K50" s="2155"/>
      <c r="L50" s="2155"/>
      <c r="M50" s="2155"/>
      <c r="N50" s="2155"/>
      <c r="O50" s="2259"/>
      <c r="P50" s="2259"/>
      <c r="Q50" s="2259"/>
      <c r="R50" s="2259"/>
      <c r="S50" s="2152"/>
      <c r="T50" s="2259"/>
      <c r="U50" s="2259"/>
      <c r="V50" s="2259"/>
      <c r="W50" s="2259"/>
      <c r="X50" s="2259"/>
      <c r="Y50" s="2259"/>
      <c r="Z50" s="2259"/>
      <c r="AA50" s="2252">
        <f>D50</f>
        <v>17</v>
      </c>
      <c r="AB50" s="4634">
        <f>IF(AL50&lt;&gt;"",AL50,IF(SchE2_Completed,SchE2_Line41,SchE1_Line26))</f>
        <v>0</v>
      </c>
      <c r="AC50" s="4635"/>
      <c r="AD50" s="4635"/>
      <c r="AE50" s="4635"/>
      <c r="AF50" s="4635"/>
      <c r="AG50" s="453"/>
      <c r="AH50" s="952"/>
      <c r="AI50" s="13"/>
      <c r="AJ50" s="13"/>
      <c r="AK50" s="13"/>
      <c r="AL50" s="568"/>
      <c r="AM50" s="3361"/>
      <c r="AN50" s="3361"/>
      <c r="AO50" s="3361"/>
      <c r="AP50" s="3361"/>
      <c r="AQ50" s="4066" t="s">
        <v>3342</v>
      </c>
      <c r="AR50" s="4064">
        <f>DATEVALUE("2-Jan-"&amp;TaxYear-64)</f>
        <v>18995</v>
      </c>
      <c r="AS50" s="4064"/>
      <c r="AT50" s="4064"/>
      <c r="AU50" s="4064"/>
      <c r="AV50" s="4064"/>
      <c r="AW50" s="4061"/>
      <c r="AX50" s="4064"/>
      <c r="AY50" s="4057"/>
      <c r="AZ50" s="4058"/>
      <c r="BA50" s="2070"/>
      <c r="BB50" s="2070"/>
      <c r="BC50" s="2070"/>
      <c r="BD50" s="2070"/>
    </row>
    <row r="51" spans="1:56" ht="14.25" customHeight="1">
      <c r="A51" s="857"/>
      <c r="B51" s="45"/>
      <c r="C51" s="45"/>
      <c r="D51" s="2162">
        <f t="shared" si="0"/>
        <v>18</v>
      </c>
      <c r="E51" s="2153"/>
      <c r="F51" s="2154" t="s">
        <v>721</v>
      </c>
      <c r="G51" s="2155"/>
      <c r="H51" s="2155"/>
      <c r="I51" s="2155"/>
      <c r="J51" s="2155"/>
      <c r="K51" s="2155"/>
      <c r="L51" s="2155"/>
      <c r="M51" s="2155"/>
      <c r="N51" s="2155"/>
      <c r="O51" s="2259"/>
      <c r="P51" s="2259"/>
      <c r="Q51" s="2259"/>
      <c r="R51" s="2259"/>
      <c r="S51" s="2152"/>
      <c r="T51" s="2259"/>
      <c r="U51" s="2259"/>
      <c r="V51" s="2259"/>
      <c r="W51" s="2259"/>
      <c r="X51" s="2259"/>
      <c r="Y51" s="2259"/>
      <c r="Z51" s="2259"/>
      <c r="AA51" s="2252">
        <f>D51</f>
        <v>18</v>
      </c>
      <c r="AB51" s="4634">
        <f>IF(AL51&lt;&gt;"",AL51,FarmProfitNet)</f>
        <v>0</v>
      </c>
      <c r="AC51" s="4635"/>
      <c r="AD51" s="4635"/>
      <c r="AE51" s="4635"/>
      <c r="AF51" s="4635"/>
      <c r="AG51" s="453"/>
      <c r="AH51" s="952"/>
      <c r="AI51" s="13"/>
      <c r="AJ51" s="13"/>
      <c r="AK51" s="13"/>
      <c r="AL51" s="568"/>
      <c r="AM51" s="2117"/>
      <c r="AN51" s="2117"/>
      <c r="AO51" s="2117"/>
      <c r="AP51" s="2117"/>
      <c r="AQ51" s="4066"/>
      <c r="AR51" s="4064"/>
      <c r="AS51" s="4064"/>
      <c r="AT51" s="4064"/>
      <c r="AU51" s="4064"/>
      <c r="AV51" s="4064"/>
      <c r="AW51" s="4061"/>
      <c r="AX51" s="4064"/>
      <c r="AY51" s="4061"/>
      <c r="AZ51" s="4058"/>
      <c r="BA51" s="2070"/>
      <c r="BB51" s="2070"/>
      <c r="BC51" s="2070"/>
      <c r="BD51" s="2070"/>
    </row>
    <row r="52" spans="1:56" ht="14.25" customHeight="1">
      <c r="A52" s="857"/>
      <c r="B52" s="45"/>
      <c r="C52" s="45"/>
      <c r="D52" s="2162">
        <f t="shared" si="0"/>
        <v>19</v>
      </c>
      <c r="E52" s="2153"/>
      <c r="F52" s="2154" t="s">
        <v>802</v>
      </c>
      <c r="G52" s="2155"/>
      <c r="H52" s="2155"/>
      <c r="I52" s="2155"/>
      <c r="J52" s="2155"/>
      <c r="K52" s="2155"/>
      <c r="L52" s="2155"/>
      <c r="M52" s="2155"/>
      <c r="N52" s="2155"/>
      <c r="O52" s="2167"/>
      <c r="P52" s="2167"/>
      <c r="Q52" s="2167"/>
      <c r="R52" s="2167"/>
      <c r="S52" s="2260"/>
      <c r="T52" s="2259"/>
      <c r="U52" s="2261"/>
      <c r="V52" s="2259"/>
      <c r="W52" s="2259"/>
      <c r="X52" s="2259"/>
      <c r="Y52" s="2259"/>
      <c r="Z52" s="2259"/>
      <c r="AA52" s="2252">
        <f>D52</f>
        <v>19</v>
      </c>
      <c r="AB52" s="4645"/>
      <c r="AC52" s="4646"/>
      <c r="AD52" s="4646"/>
      <c r="AE52" s="4646"/>
      <c r="AF52" s="4600"/>
      <c r="AG52" s="453"/>
      <c r="AH52" s="952"/>
      <c r="AI52" s="13"/>
      <c r="AJ52" s="13"/>
      <c r="AK52" s="13"/>
      <c r="AL52" s="524" t="str">
        <f>"Line "&amp;N53</f>
        <v>Line 20a</v>
      </c>
      <c r="AM52" s="418" t="str">
        <f>"Line "&amp;AA53</f>
        <v>Line 20b</v>
      </c>
      <c r="AN52" s="4070"/>
      <c r="AO52" s="4070"/>
      <c r="AP52" s="4070"/>
      <c r="AQ52" s="4055"/>
      <c r="AR52" s="4056"/>
      <c r="AS52" s="4056"/>
      <c r="AT52" s="4056"/>
      <c r="AU52" s="4056"/>
      <c r="AV52" s="4056"/>
      <c r="AW52" s="4057"/>
      <c r="AX52" s="4056"/>
      <c r="AY52" s="4061"/>
      <c r="AZ52" s="4058"/>
      <c r="BA52" s="2070"/>
      <c r="BB52" s="2070"/>
      <c r="BC52" s="2070"/>
      <c r="BD52" s="2070"/>
    </row>
    <row r="53" spans="1:56" ht="14.25" customHeight="1">
      <c r="A53" s="857"/>
      <c r="B53" s="45"/>
      <c r="C53" s="45"/>
      <c r="D53" s="2162">
        <f t="shared" si="0"/>
        <v>20</v>
      </c>
      <c r="E53" s="2157" t="s">
        <v>61</v>
      </c>
      <c r="F53" s="2154" t="s">
        <v>524</v>
      </c>
      <c r="G53" s="2155"/>
      <c r="H53" s="2155"/>
      <c r="I53" s="2155"/>
      <c r="J53" s="2155"/>
      <c r="K53" s="2167" t="str">
        <f>IF(AND(File_Marr_Sep&lt;&gt;"",LivedApart="X"),"D","")</f>
        <v/>
      </c>
      <c r="L53" s="2167"/>
      <c r="M53" s="2167"/>
      <c r="N53" s="2258" t="str">
        <f>D53&amp;"a"</f>
        <v>20a</v>
      </c>
      <c r="O53" s="4761">
        <f>IF(AL53&lt;&gt;"",AL53,ROUND('Line 20'!G15,0))</f>
        <v>0</v>
      </c>
      <c r="P53" s="4762"/>
      <c r="Q53" s="4763"/>
      <c r="R53" s="4764"/>
      <c r="S53" s="2152"/>
      <c r="T53" s="2222" t="s">
        <v>1033</v>
      </c>
      <c r="U53" s="2264" t="s">
        <v>839</v>
      </c>
      <c r="V53" s="2155"/>
      <c r="W53" s="2155"/>
      <c r="X53" s="2155"/>
      <c r="Y53" s="2268"/>
      <c r="Z53" s="2218"/>
      <c r="AA53" s="2253" t="str">
        <f>D53&amp;"b"</f>
        <v>20b</v>
      </c>
      <c r="AB53" s="4654">
        <f>IF(AM53&lt;&gt;"",AM53,IF(ISERROR(ROUND(Tax_SS_Benefits,0)),"See 'Line 20' sheet.",ROUND(Tax_SS_Benefits,0)))</f>
        <v>0</v>
      </c>
      <c r="AC53" s="4655"/>
      <c r="AD53" s="4655"/>
      <c r="AE53" s="4655"/>
      <c r="AF53" s="4655"/>
      <c r="AG53" s="457"/>
      <c r="AH53" s="953"/>
      <c r="AI53" s="21"/>
      <c r="AJ53" s="21"/>
      <c r="AK53" s="21"/>
      <c r="AL53" s="568"/>
      <c r="AM53" s="568"/>
      <c r="AN53" s="4059"/>
      <c r="AO53" s="4059"/>
      <c r="AP53" s="4059"/>
      <c r="AQ53" s="4055"/>
      <c r="AR53" s="4056"/>
      <c r="AS53" s="4056"/>
      <c r="AT53" s="4056"/>
      <c r="AU53" s="4056"/>
      <c r="AV53" s="4056"/>
      <c r="AW53" s="4057"/>
      <c r="AX53" s="4056"/>
      <c r="AY53" s="4057"/>
      <c r="AZ53" s="4062"/>
      <c r="BA53" s="2070"/>
      <c r="BB53" s="2070"/>
      <c r="BC53" s="2070"/>
      <c r="BD53" s="2070"/>
    </row>
    <row r="54" spans="1:56" ht="14.25" customHeight="1">
      <c r="A54" s="857"/>
      <c r="B54" s="45"/>
      <c r="C54" s="69"/>
      <c r="D54" s="2162">
        <f t="shared" si="0"/>
        <v>21</v>
      </c>
      <c r="E54" s="2157"/>
      <c r="F54" s="2154" t="s">
        <v>803</v>
      </c>
      <c r="G54" s="2155"/>
      <c r="H54" s="2155"/>
      <c r="I54" s="2155"/>
      <c r="J54" s="2155"/>
      <c r="K54" s="2155"/>
      <c r="L54" s="2155"/>
      <c r="M54" s="2155"/>
      <c r="N54" s="2155"/>
      <c r="O54" s="4759" t="str">
        <f>IF('2555'!AE184&gt;0,"Form 2555","")</f>
        <v/>
      </c>
      <c r="P54" s="4759"/>
      <c r="Q54" s="4760"/>
      <c r="R54" s="4760"/>
      <c r="S54" s="4760"/>
      <c r="T54" s="4760"/>
      <c r="U54" s="4760"/>
      <c r="V54" s="4760"/>
      <c r="W54" s="4760"/>
      <c r="X54" s="4760"/>
      <c r="Y54" s="4760"/>
      <c r="Z54" s="2269"/>
      <c r="AA54" s="2252">
        <f>D54</f>
        <v>21</v>
      </c>
      <c r="AB54" s="4654">
        <f>IF(AL54&lt;&gt;"",AL54,-'2555'!AE184)</f>
        <v>0</v>
      </c>
      <c r="AC54" s="4655"/>
      <c r="AD54" s="4655"/>
      <c r="AE54" s="4655"/>
      <c r="AF54" s="4655"/>
      <c r="AG54" s="453"/>
      <c r="AH54" s="952"/>
      <c r="AI54" s="13"/>
      <c r="AJ54" s="13"/>
      <c r="AK54" s="13"/>
      <c r="AL54" s="568"/>
      <c r="AM54" s="4073"/>
      <c r="AN54" s="2117"/>
      <c r="AO54" s="2117"/>
      <c r="AP54" s="2117"/>
      <c r="AQ54" s="4055"/>
      <c r="AR54" s="4056"/>
      <c r="AS54" s="4056"/>
      <c r="AT54" s="4056"/>
      <c r="AU54" s="4056"/>
      <c r="AV54" s="4056"/>
      <c r="AW54" s="4057"/>
      <c r="AX54" s="4056"/>
      <c r="AY54" s="4057"/>
      <c r="AZ54" s="4062"/>
      <c r="BA54" s="2070"/>
      <c r="BB54" s="2070"/>
      <c r="BC54" s="2070"/>
      <c r="BD54" s="2070"/>
    </row>
    <row r="55" spans="1:56" ht="14.25" customHeight="1">
      <c r="A55" s="857"/>
      <c r="B55" s="62"/>
      <c r="C55" s="62"/>
      <c r="D55" s="2168">
        <f t="shared" si="0"/>
        <v>22</v>
      </c>
      <c r="E55" s="2169"/>
      <c r="F55" s="2170" t="s">
        <v>861</v>
      </c>
      <c r="G55" s="2171"/>
      <c r="H55" s="2171"/>
      <c r="I55" s="2171"/>
      <c r="J55" s="2171"/>
      <c r="K55" s="2171"/>
      <c r="L55" s="2171"/>
      <c r="M55" s="2171"/>
      <c r="N55" s="2171"/>
      <c r="O55" s="2171"/>
      <c r="P55" s="2171"/>
      <c r="Q55" s="2171"/>
      <c r="R55" s="2171"/>
      <c r="S55" s="2225"/>
      <c r="T55" s="4748" t="s">
        <v>3015</v>
      </c>
      <c r="U55" s="4749"/>
      <c r="V55" s="4749"/>
      <c r="W55" s="4749"/>
      <c r="X55" s="4749"/>
      <c r="Y55" s="4749"/>
      <c r="Z55" s="2270"/>
      <c r="AA55" s="2252">
        <f>D55</f>
        <v>22</v>
      </c>
      <c r="AB55" s="4632">
        <f>IF(AL55&lt;&gt;"",AL55,ROUND(SUM(Wages,AB39,AB41,AB43,AB44,AB45,AB46,AB47,AB48,AB49,AB50,AB51,AB52,AB53,AB54),0))</f>
        <v>0</v>
      </c>
      <c r="AC55" s="4653"/>
      <c r="AD55" s="4653"/>
      <c r="AE55" s="4653"/>
      <c r="AF55" s="4653"/>
      <c r="AG55" s="456"/>
      <c r="AH55" s="952"/>
      <c r="AI55" s="13"/>
      <c r="AJ55" s="13"/>
      <c r="AK55" s="13"/>
      <c r="AL55" s="568"/>
      <c r="AM55" s="4073"/>
      <c r="AN55" s="4059"/>
      <c r="AO55" s="4059"/>
      <c r="AP55" s="4059"/>
      <c r="AQ55" s="4055"/>
      <c r="AR55" s="4056" t="e">
        <f>DATEVALUE(AR57)</f>
        <v>#N/A</v>
      </c>
      <c r="AS55" s="4056"/>
      <c r="AT55" s="4056"/>
      <c r="AU55" s="4056"/>
      <c r="AV55" s="4056"/>
      <c r="AW55" s="4057"/>
      <c r="AX55" s="4056"/>
      <c r="AY55" s="4057"/>
      <c r="AZ55" s="4062"/>
      <c r="BA55" s="2070"/>
      <c r="BB55" s="2070"/>
      <c r="BC55" s="2070"/>
      <c r="BD55" s="2070"/>
    </row>
    <row r="56" spans="1:56" ht="14.25" customHeight="1">
      <c r="A56" s="857"/>
      <c r="B56" s="389"/>
      <c r="C56" s="467"/>
      <c r="D56" s="2162">
        <f t="shared" si="0"/>
        <v>23</v>
      </c>
      <c r="E56" s="2153"/>
      <c r="F56" s="2271" t="s">
        <v>1465</v>
      </c>
      <c r="G56" s="2155"/>
      <c r="H56" s="2155"/>
      <c r="I56" s="2155"/>
      <c r="J56" s="2155"/>
      <c r="K56" s="2155"/>
      <c r="L56" s="2155"/>
      <c r="M56" s="2155"/>
      <c r="N56" s="2155"/>
      <c r="O56" s="2155"/>
      <c r="P56" s="2155"/>
      <c r="Q56" s="2155"/>
      <c r="R56" s="2155"/>
      <c r="S56" s="2272"/>
      <c r="T56" s="2273">
        <f t="shared" ref="T56:T63" si="1">D56</f>
        <v>23</v>
      </c>
      <c r="U56" s="2394"/>
      <c r="V56" s="4715"/>
      <c r="W56" s="4716"/>
      <c r="X56" s="4716"/>
      <c r="Y56" s="4716"/>
      <c r="Z56" s="2395"/>
      <c r="AA56" s="653"/>
      <c r="AB56" s="651"/>
      <c r="AC56" s="651"/>
      <c r="AD56" s="651"/>
      <c r="AE56" s="651"/>
      <c r="AF56" s="651"/>
      <c r="AG56" s="652"/>
      <c r="AH56" s="952"/>
      <c r="AI56" s="13"/>
      <c r="AJ56" s="13"/>
      <c r="AK56" s="13"/>
      <c r="AL56" s="523"/>
      <c r="AM56" s="4073"/>
      <c r="AN56" s="4059"/>
      <c r="AO56" s="4059"/>
      <c r="AP56" s="4059"/>
      <c r="AQ56" s="4055" t="b">
        <f>IF(OR(SpouseBirthMonth="",SpouseBirthDay="",SpouseBirthYear=""),TRUE,FALSE)</f>
        <v>1</v>
      </c>
      <c r="AR56" s="4056"/>
      <c r="AS56" s="4056" t="s">
        <v>3167</v>
      </c>
      <c r="AT56" s="4056"/>
      <c r="AU56" s="4056"/>
      <c r="AV56" s="4060" t="s">
        <v>3172</v>
      </c>
      <c r="AW56" s="4057" t="e">
        <f>IF(AND(SpouseBirthMonth=2,SpouseBirthDay=29),SpouseBirthDay-1&amp;"-"&amp;LOOKUP(SpouseBirthMonth,$AY$37:$AY$49,$AZ$37:$AZ$49)&amp;"-"&amp;(SpouseBirthYear+70),SpouseBirthDay&amp;"-"&amp;LOOKUP(SpouseBirthMonth,$AY$37:$AY$49,$AZ$37:$AZ$49)&amp;"-"&amp;(SpouseBirthYear+70))</f>
        <v>#N/A</v>
      </c>
      <c r="AX56" s="4056"/>
      <c r="AY56" s="4057"/>
      <c r="AZ56" s="4062"/>
      <c r="BA56" s="2070"/>
      <c r="BB56" s="2070"/>
      <c r="BC56" s="2070"/>
      <c r="BD56" s="2070"/>
    </row>
    <row r="57" spans="1:56" ht="25.5" customHeight="1" thickBot="1">
      <c r="A57" s="857"/>
      <c r="B57" s="468" t="s">
        <v>171</v>
      </c>
      <c r="C57" s="468"/>
      <c r="D57" s="2274">
        <f t="shared" si="0"/>
        <v>24</v>
      </c>
      <c r="E57" s="2157"/>
      <c r="F57" s="4730" t="s">
        <v>214</v>
      </c>
      <c r="G57" s="4731"/>
      <c r="H57" s="4731"/>
      <c r="I57" s="4731"/>
      <c r="J57" s="4731"/>
      <c r="K57" s="4731"/>
      <c r="L57" s="4731"/>
      <c r="M57" s="4731"/>
      <c r="N57" s="4731"/>
      <c r="O57" s="4731"/>
      <c r="P57" s="4731"/>
      <c r="Q57" s="4731"/>
      <c r="R57" s="4731"/>
      <c r="S57" s="4732"/>
      <c r="T57" s="2273">
        <f t="shared" si="1"/>
        <v>24</v>
      </c>
      <c r="U57" s="1138"/>
      <c r="V57" s="4715"/>
      <c r="W57" s="4716"/>
      <c r="X57" s="4716"/>
      <c r="Y57" s="4716"/>
      <c r="Z57" s="1139"/>
      <c r="AA57" s="654"/>
      <c r="AB57" s="58"/>
      <c r="AC57" s="58"/>
      <c r="AD57" s="58"/>
      <c r="AE57" s="58"/>
      <c r="AF57" s="58"/>
      <c r="AG57" s="455"/>
      <c r="AH57" s="952"/>
      <c r="AI57" s="13"/>
      <c r="AJ57" s="13"/>
      <c r="AK57" s="13"/>
      <c r="AL57" s="523"/>
      <c r="AM57" s="4073"/>
      <c r="AN57" s="2117"/>
      <c r="AO57" s="2117"/>
      <c r="AP57" s="2117"/>
      <c r="AQ57" s="4063" t="e">
        <f>LOOKUP(SpouseBirthMonth,$AY$37:$AY$49,$AZ$37:$AZ$49)</f>
        <v>#N/A</v>
      </c>
      <c r="AR57" s="4061" t="e">
        <f>SpouseBirthDay&amp;"-"&amp;AQ57&amp;"-"&amp;SpouseBirthYear</f>
        <v>#N/A</v>
      </c>
      <c r="AS57" s="4064" t="b">
        <f>IF(OR(SpouseBirthMonth="",SpouseBirthDay="",SpouseBirthYear=""),TRUE,IF(ISERROR(DATEVALUE(AR57)),TRUE,FALSE))</f>
        <v>1</v>
      </c>
      <c r="AT57" s="4064" t="b">
        <f>IF(OR(AND(SpouseBirthMonth="",SpouseBirthDay="",SpouseBirthYear=""),NOT_MFJ),FALSE,IF(OR(BadBirthdate_Spouse,AND(SpouseAge&gt;120,AND(SpouseBirthMonth&lt;&gt;"",SpouseBirthDay&lt;&gt;"",SpouseBirthYear&lt;&gt;""))),TRUE,FALSE))</f>
        <v>0</v>
      </c>
      <c r="AU57" s="4064"/>
      <c r="AV57" s="4065"/>
      <c r="AW57" s="4057"/>
      <c r="AX57" s="4064">
        <f>SpouseBirthMonth+6</f>
        <v>6</v>
      </c>
      <c r="AY57" s="4061"/>
      <c r="AZ57" s="4062"/>
      <c r="BA57" s="2070"/>
      <c r="BB57" s="2070"/>
      <c r="BC57" s="2070"/>
      <c r="BD57" s="2070"/>
    </row>
    <row r="58" spans="1:56" ht="14.25" customHeight="1" thickBot="1">
      <c r="A58" s="857"/>
      <c r="B58" s="468" t="s">
        <v>1006</v>
      </c>
      <c r="C58" s="75"/>
      <c r="D58" s="2152">
        <v>25</v>
      </c>
      <c r="E58" s="2157"/>
      <c r="F58" s="2154" t="s">
        <v>237</v>
      </c>
      <c r="G58" s="2159"/>
      <c r="H58" s="2159"/>
      <c r="I58" s="2159"/>
      <c r="J58" s="2159"/>
      <c r="K58" s="2159"/>
      <c r="L58" s="2159"/>
      <c r="M58" s="2159"/>
      <c r="N58" s="2159"/>
      <c r="O58" s="2159"/>
      <c r="P58" s="2159"/>
      <c r="Q58" s="2159"/>
      <c r="R58" s="2159"/>
      <c r="S58" s="2159"/>
      <c r="T58" s="2273">
        <f t="shared" si="1"/>
        <v>25</v>
      </c>
      <c r="U58" s="1138"/>
      <c r="V58" s="4715"/>
      <c r="W58" s="4716"/>
      <c r="X58" s="4716"/>
      <c r="Y58" s="4716"/>
      <c r="Z58" s="1139"/>
      <c r="AA58" s="1462"/>
      <c r="AB58" s="4636"/>
      <c r="AC58" s="4637"/>
      <c r="AD58" s="4637"/>
      <c r="AE58" s="4637"/>
      <c r="AF58" s="4637"/>
      <c r="AG58" s="455"/>
      <c r="AH58" s="952"/>
      <c r="AI58" s="13"/>
      <c r="AJ58" s="13"/>
      <c r="AK58" s="13"/>
      <c r="AL58" s="523"/>
      <c r="AM58" s="4073"/>
      <c r="AN58" s="2117"/>
      <c r="AO58" s="2117"/>
      <c r="AP58" s="2117"/>
      <c r="AQ58" s="4066"/>
      <c r="AR58" s="4064" t="e">
        <f>IF(AT57,"",DATEVALUE(AR57))</f>
        <v>#N/A</v>
      </c>
      <c r="AS58" s="4064"/>
      <c r="AT58" s="4064"/>
      <c r="AU58" s="4067" t="s">
        <v>3174</v>
      </c>
      <c r="AV58" s="4068" t="b">
        <f>IF(BadBirthdate_Spouse,FALSE, IF(DATEVALUE(AW56)&lt;=DATEVALUE(AV46),TRUE,FALSE))</f>
        <v>0</v>
      </c>
      <c r="AW58" s="4061"/>
      <c r="AX58" s="4056">
        <f>IF(AX57&lt;=12,SpouseBirthYear+70,SpouseBirthYear+71)</f>
        <v>70</v>
      </c>
      <c r="AY58" s="4061"/>
      <c r="AZ58" s="4062"/>
      <c r="BA58" s="2070"/>
      <c r="BB58" s="2070"/>
      <c r="BC58" s="2070"/>
      <c r="BD58" s="2070"/>
    </row>
    <row r="59" spans="1:56" ht="14.25" customHeight="1">
      <c r="A59" s="857"/>
      <c r="B59" s="468" t="s">
        <v>60</v>
      </c>
      <c r="C59" s="75"/>
      <c r="D59" s="2152">
        <v>26</v>
      </c>
      <c r="E59" s="2157"/>
      <c r="F59" s="2154" t="s">
        <v>59</v>
      </c>
      <c r="G59" s="2159"/>
      <c r="H59" s="2159"/>
      <c r="I59" s="2159"/>
      <c r="J59" s="2159"/>
      <c r="K59" s="2159"/>
      <c r="L59" s="2159"/>
      <c r="M59" s="2159"/>
      <c r="N59" s="2159"/>
      <c r="O59" s="2159"/>
      <c r="P59" s="4765" t="str">
        <f>".   .   .   .   .   .   ."</f>
        <v>.   .   .   .   .   .   .</v>
      </c>
      <c r="Q59" s="4766"/>
      <c r="R59" s="4766"/>
      <c r="S59" s="4767"/>
      <c r="T59" s="2273">
        <f t="shared" si="1"/>
        <v>26</v>
      </c>
      <c r="U59" s="1138"/>
      <c r="V59" s="4715"/>
      <c r="W59" s="4716"/>
      <c r="X59" s="4716"/>
      <c r="Y59" s="4716"/>
      <c r="Z59" s="1139"/>
      <c r="AA59" s="1462"/>
      <c r="AB59" s="4636"/>
      <c r="AC59" s="4637"/>
      <c r="AD59" s="4637"/>
      <c r="AE59" s="4637"/>
      <c r="AF59" s="4637"/>
      <c r="AG59" s="455"/>
      <c r="AH59" s="952"/>
      <c r="AI59" s="13"/>
      <c r="AJ59" s="13"/>
      <c r="AK59" s="13"/>
      <c r="AL59" s="523"/>
      <c r="AM59" s="2117"/>
      <c r="AN59" s="2117"/>
      <c r="AO59" s="2117"/>
      <c r="AP59" s="2117"/>
      <c r="AQ59" s="4066"/>
      <c r="AR59" s="4064" t="e">
        <f>ROUNDDOWN((EndOfTaxYear-AR58)/365.25,1)</f>
        <v>#N/A</v>
      </c>
      <c r="AS59" s="4064"/>
      <c r="AT59" s="4064"/>
      <c r="AU59" s="4067" t="s">
        <v>3175</v>
      </c>
      <c r="AV59" s="4069">
        <f>EndOfTaxYear</f>
        <v>42735</v>
      </c>
      <c r="AW59" s="4069"/>
      <c r="AX59" s="4064"/>
      <c r="AY59" s="4061"/>
      <c r="AZ59" s="4058"/>
      <c r="BA59" s="2070"/>
      <c r="BB59" s="2070"/>
      <c r="BC59" s="2070"/>
      <c r="BD59" s="2070"/>
    </row>
    <row r="60" spans="1:56" ht="14.25" customHeight="1" thickBot="1">
      <c r="A60" s="857"/>
      <c r="B60" s="389"/>
      <c r="C60" s="75"/>
      <c r="D60" s="2152">
        <v>27</v>
      </c>
      <c r="E60" s="2157"/>
      <c r="F60" s="2154" t="s">
        <v>1398</v>
      </c>
      <c r="G60" s="2159"/>
      <c r="H60" s="2159"/>
      <c r="I60" s="2159"/>
      <c r="J60" s="2159"/>
      <c r="K60" s="2159"/>
      <c r="L60" s="2159"/>
      <c r="M60" s="2159"/>
      <c r="N60" s="2159"/>
      <c r="O60" s="2159"/>
      <c r="P60" s="2159"/>
      <c r="Q60" s="2159"/>
      <c r="R60" s="2159"/>
      <c r="S60" s="2159"/>
      <c r="T60" s="2273">
        <f t="shared" si="1"/>
        <v>27</v>
      </c>
      <c r="U60" s="1138"/>
      <c r="V60" s="4653">
        <f>IF(AL60&lt;&gt;"",AL60,SE_Deduction)</f>
        <v>0</v>
      </c>
      <c r="W60" s="4653"/>
      <c r="X60" s="4653"/>
      <c r="Y60" s="4653"/>
      <c r="Z60" s="1139"/>
      <c r="AA60" s="1462"/>
      <c r="AB60" s="58"/>
      <c r="AC60" s="58"/>
      <c r="AD60" s="58"/>
      <c r="AE60" s="58"/>
      <c r="AF60" s="58"/>
      <c r="AG60" s="455"/>
      <c r="AH60" s="952"/>
      <c r="AI60" s="13"/>
      <c r="AJ60" s="13"/>
      <c r="AK60" s="13"/>
      <c r="AL60" s="568"/>
      <c r="AM60" s="2117"/>
      <c r="AN60" s="2117"/>
      <c r="AO60" s="2117"/>
      <c r="AP60" s="2117"/>
      <c r="AQ60" s="4074"/>
      <c r="AR60" s="4075" t="str">
        <f>IF(SpouseBirthYear="","?",IF(AND(SpouseBirthMonth=1,SpouseBirthDay=1),TaxYear-SpouseBirthYear+1,TaxYear-SpouseBirthYear))</f>
        <v>?</v>
      </c>
      <c r="AS60" s="4075"/>
      <c r="AT60" s="4075"/>
      <c r="AU60" s="4075"/>
      <c r="AV60" s="4075"/>
      <c r="AW60" s="4076"/>
      <c r="AX60" s="4075"/>
      <c r="AY60" s="4077"/>
      <c r="AZ60" s="4078"/>
      <c r="BA60" s="2070"/>
      <c r="BB60" s="2070"/>
      <c r="BC60" s="2070"/>
      <c r="BD60" s="2070"/>
    </row>
    <row r="61" spans="1:56" ht="14.25" customHeight="1">
      <c r="A61" s="857"/>
      <c r="B61" s="389"/>
      <c r="C61" s="469"/>
      <c r="D61" s="2152">
        <v>28</v>
      </c>
      <c r="E61" s="2157"/>
      <c r="F61" s="2154" t="s">
        <v>56</v>
      </c>
      <c r="G61" s="2159"/>
      <c r="H61" s="2159"/>
      <c r="I61" s="2159"/>
      <c r="J61" s="2159"/>
      <c r="K61" s="2159"/>
      <c r="L61" s="2159"/>
      <c r="M61" s="2159"/>
      <c r="N61" s="2159"/>
      <c r="O61" s="2159"/>
      <c r="P61" s="2159"/>
      <c r="Q61" s="2159"/>
      <c r="R61" s="2159"/>
      <c r="S61" s="2159"/>
      <c r="T61" s="2273">
        <f>D61</f>
        <v>28</v>
      </c>
      <c r="U61" s="1138"/>
      <c r="V61" s="4715"/>
      <c r="W61" s="4716"/>
      <c r="X61" s="4716"/>
      <c r="Y61" s="4716"/>
      <c r="Z61" s="1139"/>
      <c r="AA61" s="1462"/>
      <c r="AB61" s="58"/>
      <c r="AC61" s="58"/>
      <c r="AD61" s="58"/>
      <c r="AE61" s="58"/>
      <c r="AF61" s="58"/>
      <c r="AG61" s="455"/>
      <c r="AH61" s="952"/>
      <c r="AI61" s="13"/>
      <c r="AJ61" s="13"/>
      <c r="AK61" s="13"/>
      <c r="AL61" s="523"/>
      <c r="AM61" s="2117"/>
      <c r="AN61" s="2117"/>
      <c r="AO61" s="2117"/>
      <c r="AP61" s="2117"/>
      <c r="AQ61" s="2117"/>
      <c r="AR61" s="2611"/>
      <c r="AS61" s="2117"/>
      <c r="AT61" s="2117"/>
      <c r="AU61" s="2117"/>
      <c r="AV61" s="2070"/>
      <c r="AW61" s="2070"/>
      <c r="AX61" s="2070"/>
      <c r="AY61" s="2117"/>
      <c r="AZ61" s="2070"/>
      <c r="BA61" s="2070"/>
      <c r="BB61" s="2070"/>
      <c r="BC61" s="2070"/>
      <c r="BD61" s="2070"/>
    </row>
    <row r="62" spans="1:56" ht="14.25" customHeight="1">
      <c r="A62" s="857"/>
      <c r="B62" s="389"/>
      <c r="C62" s="469"/>
      <c r="D62" s="2152">
        <v>29</v>
      </c>
      <c r="E62" s="2157"/>
      <c r="F62" s="2154" t="s">
        <v>804</v>
      </c>
      <c r="G62" s="2159"/>
      <c r="H62" s="2159"/>
      <c r="I62" s="2159"/>
      <c r="J62" s="2159"/>
      <c r="K62" s="2159"/>
      <c r="L62" s="2159"/>
      <c r="M62" s="2159"/>
      <c r="N62" s="2159"/>
      <c r="O62" s="2159"/>
      <c r="P62" s="2159"/>
      <c r="Q62" s="2159"/>
      <c r="R62" s="2159"/>
      <c r="S62" s="2268" t="s">
        <v>805</v>
      </c>
      <c r="T62" s="2273">
        <f t="shared" si="1"/>
        <v>29</v>
      </c>
      <c r="U62" s="1138"/>
      <c r="V62" s="4646"/>
      <c r="W62" s="4729"/>
      <c r="X62" s="4729"/>
      <c r="Y62" s="4729"/>
      <c r="Z62" s="1139"/>
      <c r="AA62" s="1462"/>
      <c r="AB62" s="58"/>
      <c r="AC62" s="58"/>
      <c r="AD62" s="58"/>
      <c r="AE62" s="58"/>
      <c r="AF62" s="58"/>
      <c r="AG62" s="455"/>
      <c r="AH62" s="952"/>
      <c r="AI62" s="13"/>
      <c r="AJ62" s="13"/>
      <c r="AK62" s="13"/>
      <c r="AL62" s="523"/>
      <c r="AM62" s="2117"/>
      <c r="AN62" s="2117"/>
      <c r="AO62" s="2117"/>
      <c r="AP62" s="2117"/>
      <c r="AQ62" s="2117"/>
      <c r="AR62" s="2611"/>
      <c r="AS62" s="2117"/>
      <c r="AT62" s="2117"/>
      <c r="AU62" s="2117"/>
      <c r="AV62" s="2070"/>
      <c r="AW62" s="2070"/>
      <c r="AX62" s="2070"/>
      <c r="AY62" s="2117"/>
      <c r="AZ62" s="2070"/>
      <c r="BA62" s="2070"/>
      <c r="BB62" s="2070"/>
      <c r="BC62" s="2070"/>
      <c r="BD62" s="2070"/>
    </row>
    <row r="63" spans="1:56" ht="14.25" customHeight="1">
      <c r="A63" s="857"/>
      <c r="B63" s="389"/>
      <c r="C63" s="469"/>
      <c r="D63" s="2152">
        <v>30</v>
      </c>
      <c r="E63" s="2157"/>
      <c r="F63" s="2154" t="s">
        <v>576</v>
      </c>
      <c r="G63" s="2159"/>
      <c r="H63" s="2159"/>
      <c r="I63" s="2159"/>
      <c r="J63" s="2159"/>
      <c r="K63" s="2159"/>
      <c r="L63" s="2159"/>
      <c r="M63" s="2159"/>
      <c r="N63" s="2159"/>
      <c r="O63" s="2159"/>
      <c r="P63" s="2159"/>
      <c r="Q63" s="2159"/>
      <c r="R63" s="2159"/>
      <c r="S63" s="2159"/>
      <c r="T63" s="2273">
        <f t="shared" si="1"/>
        <v>30</v>
      </c>
      <c r="U63" s="1138"/>
      <c r="V63" s="4715"/>
      <c r="W63" s="4716"/>
      <c r="X63" s="4716"/>
      <c r="Y63" s="4716"/>
      <c r="Z63" s="1139"/>
      <c r="AA63" s="1462"/>
      <c r="AB63" s="58"/>
      <c r="AC63" s="58"/>
      <c r="AD63" s="58"/>
      <c r="AE63" s="58"/>
      <c r="AF63" s="58"/>
      <c r="AG63" s="455"/>
      <c r="AH63" s="952"/>
      <c r="AI63" s="13"/>
      <c r="AJ63" s="13"/>
      <c r="AK63" s="13"/>
      <c r="AL63" s="523"/>
      <c r="AM63" s="2117"/>
      <c r="AN63" s="2117"/>
      <c r="AO63" s="2117"/>
      <c r="AP63" s="2117"/>
      <c r="AQ63" s="2117"/>
      <c r="AR63" s="2611"/>
      <c r="AS63" s="2117"/>
      <c r="AT63" s="2117"/>
      <c r="AU63" s="2117"/>
      <c r="AV63" s="2070"/>
      <c r="AW63" s="2070"/>
      <c r="AX63" s="2070"/>
      <c r="AY63" s="2117"/>
      <c r="AZ63" s="2070"/>
      <c r="BA63" s="2070"/>
      <c r="BB63" s="2070"/>
      <c r="BC63" s="2070"/>
      <c r="BD63" s="2070"/>
    </row>
    <row r="64" spans="1:56" ht="14.25" customHeight="1">
      <c r="A64" s="857"/>
      <c r="B64" s="389"/>
      <c r="C64" s="469"/>
      <c r="D64" s="2152">
        <v>31</v>
      </c>
      <c r="E64" s="2260" t="s">
        <v>61</v>
      </c>
      <c r="F64" s="2154" t="s">
        <v>545</v>
      </c>
      <c r="G64" s="2159"/>
      <c r="H64" s="2194"/>
      <c r="I64" s="2159"/>
      <c r="J64" s="2159"/>
      <c r="K64" s="2159"/>
      <c r="L64" s="2159"/>
      <c r="M64" s="2268" t="s">
        <v>3381</v>
      </c>
      <c r="N64" s="4174"/>
      <c r="O64" s="4726"/>
      <c r="P64" s="4726"/>
      <c r="Q64" s="4726"/>
      <c r="R64" s="4726"/>
      <c r="S64" s="4727"/>
      <c r="T64" s="2273" t="str">
        <f>D64&amp;"a"</f>
        <v>31a</v>
      </c>
      <c r="U64" s="1138"/>
      <c r="V64" s="4715"/>
      <c r="W64" s="4716"/>
      <c r="X64" s="4716"/>
      <c r="Y64" s="4716"/>
      <c r="Z64" s="1139"/>
      <c r="AA64" s="1462"/>
      <c r="AB64" s="4656" t="str">
        <f>IF(AND(Birthday_Needed&lt;&gt;"",File_Marr_Joint&lt;&gt;""),"Enter birthdates in",IF(Birthday_Needed&lt;&gt;"","Enter your birthdate",""))</f>
        <v/>
      </c>
      <c r="AC64" s="4657"/>
      <c r="AD64" s="4657"/>
      <c r="AE64" s="4657"/>
      <c r="AF64" s="4657"/>
      <c r="AG64" s="455"/>
      <c r="AH64" s="952"/>
      <c r="AI64" s="13"/>
      <c r="AJ64" s="13"/>
      <c r="AK64" s="13"/>
      <c r="AL64" s="523"/>
      <c r="AM64" s="2117"/>
      <c r="AN64" s="2117"/>
      <c r="AO64" s="2117"/>
      <c r="AP64" s="2117"/>
      <c r="AQ64" s="2117"/>
      <c r="AR64" s="4079"/>
      <c r="AS64" s="2117"/>
      <c r="AT64" s="2117"/>
      <c r="AU64" s="2117"/>
      <c r="AV64" s="2070"/>
      <c r="AW64" s="2070"/>
      <c r="AX64" s="2070"/>
      <c r="AY64" s="2117"/>
      <c r="AZ64" s="2070"/>
      <c r="BA64" s="2070"/>
      <c r="BB64" s="2070"/>
      <c r="BC64" s="2070"/>
      <c r="BD64" s="2070"/>
    </row>
    <row r="65" spans="1:56" ht="14.25" customHeight="1">
      <c r="A65" s="857"/>
      <c r="B65" s="468"/>
      <c r="C65" s="468"/>
      <c r="D65" s="2152">
        <v>32</v>
      </c>
      <c r="E65" s="2157"/>
      <c r="F65" s="2154" t="s">
        <v>806</v>
      </c>
      <c r="G65" s="2159"/>
      <c r="H65" s="2159"/>
      <c r="I65" s="2159"/>
      <c r="J65" s="2159"/>
      <c r="K65" s="2159"/>
      <c r="L65" s="2159"/>
      <c r="M65" s="2159"/>
      <c r="N65" s="2261"/>
      <c r="O65" s="2159"/>
      <c r="P65" s="2159"/>
      <c r="Q65" s="2159"/>
      <c r="R65" s="2159"/>
      <c r="S65" s="2222" t="str">
        <f>IF(AND(Lived_apart&lt;&gt;"",File_Marr_Sep&lt;&gt;""),".   .   .   .   .   .   .   .   .   .   .   .   .   .   .   .   .   D  ",".   .   .   .   .   .   .   .   .   .   .   .   .   .   .   .   .   . ")</f>
        <v xml:space="preserve">.   .   .   .   .   .   .   .   .   .   .   .   .   .   .   .   .   . </v>
      </c>
      <c r="T65" s="2273">
        <f>D65</f>
        <v>32</v>
      </c>
      <c r="U65" s="1138"/>
      <c r="V65" s="4653" t="str">
        <f>IF(AL65&lt;&gt;"",AL65,IRA_Deduction)</f>
        <v/>
      </c>
      <c r="W65" s="4653"/>
      <c r="X65" s="4653"/>
      <c r="Y65" s="4653"/>
      <c r="Z65" s="1139"/>
      <c r="AA65" s="654"/>
      <c r="AB65" s="4656" t="str">
        <f>IF(Birthday_Needed&lt;&gt;"","in Cell AM11, etc.","")</f>
        <v/>
      </c>
      <c r="AC65" s="4657"/>
      <c r="AD65" s="4657"/>
      <c r="AE65" s="4657"/>
      <c r="AF65" s="4657"/>
      <c r="AG65" s="455"/>
      <c r="AH65" s="952"/>
      <c r="AI65" s="13"/>
      <c r="AJ65" s="13"/>
      <c r="AK65" s="13"/>
      <c r="AL65" s="568"/>
      <c r="AM65" s="2117"/>
      <c r="AN65" s="2117"/>
      <c r="AO65" s="2117"/>
      <c r="AP65" s="2117"/>
      <c r="AQ65" s="2117"/>
      <c r="AR65" s="4079"/>
      <c r="AS65" s="2117"/>
      <c r="AT65" s="2117"/>
      <c r="AU65" s="2117"/>
      <c r="AV65" s="2070"/>
      <c r="AW65" s="2070"/>
      <c r="AX65" s="2070"/>
      <c r="AY65" s="2117"/>
      <c r="AZ65" s="2070"/>
      <c r="BA65" s="2070"/>
      <c r="BB65" s="2070"/>
      <c r="BC65" s="2070"/>
      <c r="BD65" s="2070"/>
    </row>
    <row r="66" spans="1:56" ht="14.25" customHeight="1">
      <c r="A66" s="857"/>
      <c r="B66" s="468"/>
      <c r="C66" s="468"/>
      <c r="D66" s="2152">
        <v>33</v>
      </c>
      <c r="E66" s="2157"/>
      <c r="F66" s="2154" t="s">
        <v>1874</v>
      </c>
      <c r="G66" s="2159"/>
      <c r="H66" s="2159"/>
      <c r="I66" s="2159"/>
      <c r="J66" s="2159"/>
      <c r="K66" s="2159"/>
      <c r="L66" s="4728" t="str">
        <f>IF(AL66&gt;AI66,"Line 33 cannot be &gt; "&amp;TEXT(AI66,"$0,000")&amp;". ",".   .   .   .   .   .   .   .   .   .   .   .   . ")</f>
        <v xml:space="preserve">.   .   .   .   .   .   .   .   .   .   .   .   . </v>
      </c>
      <c r="M66" s="4563"/>
      <c r="N66" s="4563"/>
      <c r="O66" s="4563"/>
      <c r="P66" s="4563"/>
      <c r="Q66" s="4563"/>
      <c r="R66" s="4563"/>
      <c r="S66" s="4564"/>
      <c r="T66" s="2273">
        <f>D66</f>
        <v>33</v>
      </c>
      <c r="U66" s="1138"/>
      <c r="V66" s="4653" t="str">
        <f>IF(AL66&lt;&gt;"",AL66,'Line 33'!U35)</f>
        <v/>
      </c>
      <c r="W66" s="4653"/>
      <c r="X66" s="4653"/>
      <c r="Y66" s="4653"/>
      <c r="Z66" s="1139"/>
      <c r="AA66" s="654"/>
      <c r="AB66" s="4656" t="str">
        <f>IF(Birthday_Needed&lt;&gt;"","(See above.)","")</f>
        <v/>
      </c>
      <c r="AC66" s="4657"/>
      <c r="AD66" s="4657"/>
      <c r="AE66" s="4657"/>
      <c r="AF66" s="4657"/>
      <c r="AG66" s="455"/>
      <c r="AH66" s="952"/>
      <c r="AI66" s="13">
        <v>2500</v>
      </c>
      <c r="AJ66" s="13"/>
      <c r="AK66" s="13"/>
      <c r="AL66" s="568"/>
      <c r="AM66" s="2117"/>
      <c r="AN66" s="2117"/>
      <c r="AO66" s="2117"/>
      <c r="AP66" s="2117"/>
      <c r="AQ66" s="2117"/>
      <c r="AR66" s="4079"/>
      <c r="AS66" s="2117"/>
      <c r="AT66" s="2117"/>
      <c r="AU66" s="2117"/>
      <c r="AV66" s="2070"/>
      <c r="AW66" s="2070"/>
      <c r="AX66" s="2070"/>
      <c r="AY66" s="2117"/>
      <c r="AZ66" s="2070"/>
      <c r="BA66" s="2070"/>
      <c r="BB66" s="2070"/>
      <c r="BC66" s="2070"/>
      <c r="BD66" s="2070"/>
    </row>
    <row r="67" spans="1:56" ht="14.25" customHeight="1">
      <c r="A67" s="857"/>
      <c r="B67" s="468"/>
      <c r="C67" s="468"/>
      <c r="D67" s="2152">
        <v>34</v>
      </c>
      <c r="E67" s="2157"/>
      <c r="F67" s="2154" t="s">
        <v>1466</v>
      </c>
      <c r="G67" s="2159"/>
      <c r="H67" s="2159"/>
      <c r="I67" s="2159"/>
      <c r="J67" s="2159"/>
      <c r="K67" s="2159"/>
      <c r="L67" s="2159"/>
      <c r="M67" s="2159"/>
      <c r="N67" s="2159"/>
      <c r="O67" s="2159"/>
      <c r="P67" s="2159"/>
      <c r="Q67" s="2159"/>
      <c r="R67" s="2159"/>
      <c r="S67" s="2268" t="s">
        <v>1467</v>
      </c>
      <c r="T67" s="2273">
        <f>D67</f>
        <v>34</v>
      </c>
      <c r="U67" s="2394"/>
      <c r="V67" s="4717"/>
      <c r="W67" s="4717"/>
      <c r="X67" s="4717"/>
      <c r="Y67" s="4717"/>
      <c r="Z67" s="2395"/>
      <c r="AA67" s="654"/>
      <c r="AB67" s="4651" t="str">
        <f>IF(AND(V69&lt;&gt;"",ISERROR(V69+1)),"Entry on Line 36","")</f>
        <v/>
      </c>
      <c r="AC67" s="4652"/>
      <c r="AD67" s="4652"/>
      <c r="AE67" s="4652"/>
      <c r="AF67" s="4652"/>
      <c r="AG67" s="455"/>
      <c r="AH67" s="952"/>
      <c r="AI67" s="13"/>
      <c r="AJ67" s="13"/>
      <c r="AK67" s="13"/>
      <c r="AL67" s="523"/>
      <c r="AM67" s="4080"/>
      <c r="AN67" s="4080"/>
      <c r="AO67" s="4080"/>
      <c r="AP67" s="4080"/>
      <c r="AQ67" s="2117"/>
      <c r="AR67" s="2611"/>
      <c r="AS67" s="2117"/>
      <c r="AT67" s="2117"/>
      <c r="AU67" s="2117"/>
      <c r="AV67" s="2070"/>
      <c r="AW67" s="2070"/>
      <c r="AX67" s="2070"/>
      <c r="AY67" s="2117"/>
      <c r="AZ67" s="2070"/>
      <c r="BA67" s="2070"/>
      <c r="BB67" s="2070"/>
      <c r="BC67" s="2070"/>
      <c r="BD67" s="2070"/>
    </row>
    <row r="68" spans="1:56" ht="14.25" customHeight="1">
      <c r="A68" s="857"/>
      <c r="B68" s="468"/>
      <c r="C68" s="468"/>
      <c r="D68" s="2152">
        <v>35</v>
      </c>
      <c r="E68" s="2157"/>
      <c r="F68" s="2154" t="s">
        <v>298</v>
      </c>
      <c r="G68" s="2159"/>
      <c r="H68" s="2159"/>
      <c r="I68" s="2159"/>
      <c r="J68" s="2159"/>
      <c r="K68" s="2159"/>
      <c r="L68" s="2159"/>
      <c r="M68" s="2159"/>
      <c r="N68" s="2159"/>
      <c r="O68" s="2159"/>
      <c r="P68" s="2159"/>
      <c r="Q68" s="2159"/>
      <c r="R68" s="2159"/>
      <c r="S68" s="2272"/>
      <c r="T68" s="2273">
        <f>D68</f>
        <v>35</v>
      </c>
      <c r="U68" s="1138"/>
      <c r="V68" s="4716"/>
      <c r="W68" s="4716"/>
      <c r="X68" s="4716"/>
      <c r="Y68" s="4716"/>
      <c r="Z68" s="1139"/>
      <c r="AA68" s="654"/>
      <c r="AB68" s="4651" t="str">
        <f>IF(AND(V69&lt;&gt;"",ISERROR(V69+1)),"must be a number.","")</f>
        <v/>
      </c>
      <c r="AC68" s="4652"/>
      <c r="AD68" s="4652"/>
      <c r="AE68" s="4652"/>
      <c r="AF68" s="4652"/>
      <c r="AG68" s="455"/>
      <c r="AH68" s="952"/>
      <c r="AI68" s="13"/>
      <c r="AJ68" s="13"/>
      <c r="AK68" s="13"/>
      <c r="AL68" s="523"/>
      <c r="AM68" s="2610" t="b">
        <f>IF(OR(YourAge="?",NumFileStatusBoxes=0),FALSE,IF(OR(BadBirthdate_Yours,AND(YourAge&gt;115,AND(YourBirthMonth&lt;&gt;"",YourBirthDay&lt;&gt;"",YourBirthYear&lt;&gt;""))),TRUE,FALSE))</f>
        <v>0</v>
      </c>
      <c r="AN68" s="2610" t="b">
        <f>IF(File_Marr_Joint="",FALSE,IF(OR(AND(SpouseAge&lt;&gt;"",SpouseAge&gt;115,SpouseBirthYear&lt;&gt;"",SpouseBirthMonth&lt;&gt;"",SpouseBirthDay&gt;""),BadBirthdate_Spouse),TRUE,FALSE))</f>
        <v>0</v>
      </c>
      <c r="AO68" s="2610"/>
      <c r="AP68" s="2610"/>
      <c r="AQ68" s="2117"/>
      <c r="AR68" s="2611"/>
      <c r="AS68" s="2117"/>
      <c r="AT68" s="2117"/>
      <c r="AU68" s="2117"/>
      <c r="AV68" s="2070"/>
      <c r="AW68" s="2070"/>
      <c r="AX68" s="2070"/>
      <c r="AY68" s="2117"/>
      <c r="AZ68" s="2070"/>
      <c r="BA68" s="2070"/>
      <c r="BB68" s="2070"/>
      <c r="BC68" s="2070"/>
      <c r="BD68" s="2070"/>
    </row>
    <row r="69" spans="1:56" ht="14.25" customHeight="1">
      <c r="A69" s="857"/>
      <c r="B69" s="389"/>
      <c r="C69" s="469"/>
      <c r="D69" s="2152">
        <v>36</v>
      </c>
      <c r="E69" s="2157"/>
      <c r="F69" s="2154" t="str">
        <f>"Add lines  "&amp;T56&amp;"  through "&amp;T68</f>
        <v>Add lines  23  through 35</v>
      </c>
      <c r="G69" s="2159"/>
      <c r="H69" s="2159"/>
      <c r="I69" s="2159"/>
      <c r="J69" s="2159"/>
      <c r="K69" s="2159"/>
      <c r="L69" s="2159"/>
      <c r="M69" s="2159"/>
      <c r="N69" s="2159"/>
      <c r="O69" s="2275"/>
      <c r="P69" s="2275"/>
      <c r="Q69" s="2268" t="s">
        <v>442</v>
      </c>
      <c r="R69" s="4695"/>
      <c r="S69" s="4696"/>
      <c r="T69" s="4696"/>
      <c r="U69" s="2278"/>
      <c r="V69" s="4858"/>
      <c r="W69" s="4858"/>
      <c r="X69" s="4859"/>
      <c r="Y69" s="4859"/>
      <c r="Z69" s="4860"/>
      <c r="AA69" s="2252">
        <f>D69</f>
        <v>36</v>
      </c>
      <c r="AB69" s="4649">
        <f>IF(AL69&lt;&gt;"",ROUND(AL69,0),ROUND(SUM((V56:V68),V69,ForeignHousingDeduction),0))</f>
        <v>0</v>
      </c>
      <c r="AC69" s="4650"/>
      <c r="AD69" s="4650"/>
      <c r="AE69" s="4650"/>
      <c r="AF69" s="4650"/>
      <c r="AG69" s="459"/>
      <c r="AH69" s="952"/>
      <c r="AI69" s="13"/>
      <c r="AJ69" s="13"/>
      <c r="AK69" s="13"/>
      <c r="AL69" s="568"/>
      <c r="AM69" s="4081"/>
      <c r="AN69" s="4081"/>
      <c r="AO69" s="4081"/>
      <c r="AP69" s="4081"/>
      <c r="AQ69" s="2117"/>
      <c r="AR69" s="2611"/>
      <c r="AS69" s="2117"/>
      <c r="AT69" s="2117"/>
      <c r="AU69" s="2117"/>
      <c r="AV69" s="2070"/>
      <c r="AW69" s="2070"/>
      <c r="AX69" s="2070"/>
      <c r="AY69" s="2117"/>
      <c r="AZ69" s="2070"/>
      <c r="BA69" s="2070"/>
      <c r="BB69" s="2070"/>
      <c r="BC69" s="2070"/>
      <c r="BD69" s="2070"/>
    </row>
    <row r="70" spans="1:56" ht="14.25" customHeight="1">
      <c r="A70" s="857"/>
      <c r="B70" s="389"/>
      <c r="C70" s="470"/>
      <c r="D70" s="2168">
        <v>37</v>
      </c>
      <c r="E70" s="2276"/>
      <c r="F70" s="2170" t="str">
        <f>"Subtract line "&amp;AA69&amp;" from line "&amp;AA55&amp;"."</f>
        <v>Subtract line 36 from line 22.</v>
      </c>
      <c r="G70" s="2171"/>
      <c r="H70" s="2171"/>
      <c r="I70" s="2171"/>
      <c r="J70" s="2171"/>
      <c r="K70" s="2171"/>
      <c r="L70" s="2171"/>
      <c r="M70" s="2171"/>
      <c r="N70" s="2171"/>
      <c r="O70" s="2170" t="s">
        <v>166</v>
      </c>
      <c r="P70" s="2170"/>
      <c r="Q70" s="2170"/>
      <c r="R70" s="2170"/>
      <c r="S70" s="2171"/>
      <c r="T70" s="2277"/>
      <c r="U70" s="2277"/>
      <c r="V70" s="2277"/>
      <c r="W70" s="2277"/>
      <c r="X70" s="2277"/>
      <c r="Y70" s="2226" t="s">
        <v>843</v>
      </c>
      <c r="Z70" s="2279"/>
      <c r="AA70" s="2252">
        <f>D70</f>
        <v>37</v>
      </c>
      <c r="AB70" s="4632">
        <f>IF(AL70&lt;&gt;"",AL70,(AB55-AB69))</f>
        <v>0</v>
      </c>
      <c r="AC70" s="4653"/>
      <c r="AD70" s="4653"/>
      <c r="AE70" s="4653"/>
      <c r="AF70" s="4653"/>
      <c r="AG70" s="456"/>
      <c r="AH70" s="956"/>
      <c r="AI70" s="77"/>
      <c r="AJ70" s="77"/>
      <c r="AK70" s="77"/>
      <c r="AL70" s="568"/>
      <c r="AM70" s="4081"/>
      <c r="AN70" s="4081"/>
      <c r="AO70" s="4081"/>
      <c r="AP70" s="4081"/>
      <c r="AQ70" s="3752"/>
      <c r="AR70" s="2611"/>
      <c r="AS70" s="2117"/>
      <c r="AT70" s="3752"/>
      <c r="AU70" s="3752"/>
      <c r="AV70" s="2070"/>
      <c r="AW70" s="2070"/>
      <c r="AX70" s="2070"/>
      <c r="AY70" s="3752"/>
      <c r="AZ70" s="2070"/>
      <c r="BA70" s="2070"/>
      <c r="BB70" s="2070"/>
      <c r="BC70" s="2070"/>
      <c r="BD70" s="2070"/>
    </row>
    <row r="71" spans="1:56" ht="13.5" customHeight="1" thickBot="1">
      <c r="A71" s="857"/>
      <c r="B71" s="2841" t="s">
        <v>807</v>
      </c>
      <c r="C71" s="2280"/>
      <c r="D71" s="2281"/>
      <c r="E71" s="2282"/>
      <c r="F71" s="2283"/>
      <c r="G71" s="2283"/>
      <c r="H71" s="2283"/>
      <c r="I71" s="2283"/>
      <c r="J71" s="2283"/>
      <c r="K71" s="2283"/>
      <c r="L71" s="2283"/>
      <c r="M71" s="2283"/>
      <c r="N71" s="2283"/>
      <c r="O71" s="2283"/>
      <c r="P71" s="2283"/>
      <c r="Q71" s="2283"/>
      <c r="R71" s="2283"/>
      <c r="S71" s="2283"/>
      <c r="T71" s="2283"/>
      <c r="U71" s="2283"/>
      <c r="V71" s="2284"/>
      <c r="W71" s="2284"/>
      <c r="X71" s="2285" t="s">
        <v>662</v>
      </c>
      <c r="Y71" s="2283"/>
      <c r="Z71" s="2283"/>
      <c r="AA71" s="2286"/>
      <c r="AB71" s="2287"/>
      <c r="AC71" s="2287"/>
      <c r="AD71" s="2287"/>
      <c r="AE71" s="2842" t="s">
        <v>1750</v>
      </c>
      <c r="AF71" s="2287"/>
      <c r="AG71" s="2288" t="str">
        <f>"("&amp;TaxYear&amp;")"</f>
        <v>(2016)</v>
      </c>
      <c r="AH71" s="957"/>
      <c r="AI71" s="367"/>
      <c r="AJ71" s="367"/>
      <c r="AK71" s="367"/>
      <c r="AL71" s="525"/>
      <c r="AM71" s="4082" t="b">
        <f>IF(YourBirthYear="",TRUE,IF(ISERROR(DATEVALUE(YourBirthMonth&amp;"/"&amp;YourBirthDay&amp;"/"&amp;YourBirthYear)),TRUE,FALSE))</f>
        <v>1</v>
      </c>
      <c r="AN71" s="4082" t="b">
        <f>IF(AND(File_Marr_Joint&lt;&gt;"",AL75&lt;&gt;"",ISERROR(DATEVALUE(AM75&amp;"/"&amp;AN75&amp;"/"&amp;AL75))),TRUE,FALSE)</f>
        <v>0</v>
      </c>
      <c r="AO71" s="4082"/>
      <c r="AP71" s="4082"/>
      <c r="AQ71" s="3822"/>
      <c r="AR71" s="4083"/>
      <c r="AS71" s="2117"/>
      <c r="AT71" s="2117"/>
      <c r="AU71" s="2117"/>
      <c r="AV71" s="2070"/>
      <c r="AW71" s="2070"/>
      <c r="AX71" s="2070"/>
      <c r="AY71" s="2117"/>
      <c r="AZ71" s="2070"/>
      <c r="BA71" s="2070"/>
      <c r="BB71" s="2070"/>
      <c r="BC71" s="2070"/>
      <c r="BD71" s="2070"/>
    </row>
    <row r="72" spans="1:56" ht="19.5" customHeight="1" thickBot="1">
      <c r="A72" s="857"/>
      <c r="B72" s="2289" t="str">
        <f>"Form 1040  ("&amp;TaxYear&amp;")"</f>
        <v>Form 1040  (2016)</v>
      </c>
      <c r="C72" s="2289"/>
      <c r="D72" s="2290"/>
      <c r="E72" s="2291"/>
      <c r="F72" s="2292"/>
      <c r="G72" s="2292"/>
      <c r="H72" s="2292"/>
      <c r="I72" s="2292"/>
      <c r="J72" s="2292"/>
      <c r="K72" s="2292"/>
      <c r="L72" s="2292"/>
      <c r="M72" s="2292"/>
      <c r="N72" s="2292"/>
      <c r="O72" s="2293"/>
      <c r="P72" s="2293"/>
      <c r="Q72" s="2293"/>
      <c r="R72" s="2293"/>
      <c r="S72" s="2292"/>
      <c r="T72" s="2292"/>
      <c r="U72" s="2292"/>
      <c r="V72" s="2292"/>
      <c r="W72" s="2292"/>
      <c r="X72" s="2292"/>
      <c r="Y72" s="2292"/>
      <c r="Z72" s="2292"/>
      <c r="AA72" s="2294"/>
      <c r="AB72" s="2295"/>
      <c r="AC72" s="2295"/>
      <c r="AD72" s="2295"/>
      <c r="AE72" s="3355" t="str">
        <f>IF($AI$22=0,"",IF(AND(File_Marr_Joint&lt;&gt;"",OR(AQ41,AQ56)),"Enter your birthdate and your spouse's birthdates above.",IF(AQ41,"Enter your birthdate above.","")))</f>
        <v/>
      </c>
      <c r="AF72" s="2295"/>
      <c r="AG72" s="2296" t="s">
        <v>641</v>
      </c>
      <c r="AH72" s="952"/>
      <c r="AI72" s="13"/>
      <c r="AJ72" s="367"/>
      <c r="AK72" s="1343"/>
      <c r="AL72" s="525"/>
      <c r="AM72" s="4084"/>
      <c r="AN72" s="4084"/>
      <c r="AO72" s="4084"/>
      <c r="AP72" s="4084"/>
      <c r="AQ72" s="4084"/>
      <c r="AR72" s="2117"/>
      <c r="AS72" s="2117">
        <f>ItemizeAnyway</f>
        <v>0</v>
      </c>
      <c r="AT72" s="3024"/>
      <c r="AU72" s="3025"/>
      <c r="AV72" s="3026" t="s">
        <v>1528</v>
      </c>
      <c r="AW72" s="3027"/>
      <c r="AX72" s="3028"/>
      <c r="AY72" s="4049"/>
      <c r="AZ72" s="2070"/>
      <c r="BA72" s="2070"/>
      <c r="BB72" s="2070"/>
      <c r="BC72" s="2070"/>
      <c r="BD72" s="2070"/>
    </row>
    <row r="73" spans="1:56" ht="14.25" customHeight="1" thickTop="1" thickBot="1">
      <c r="A73" s="857"/>
      <c r="B73" s="4706" t="s">
        <v>1034</v>
      </c>
      <c r="C73" s="4707"/>
      <c r="D73" s="2152">
        <f>D70+1</f>
        <v>38</v>
      </c>
      <c r="E73" s="2153"/>
      <c r="F73" s="2154" t="str">
        <f>"Amount from line "&amp;AA70&amp;" (adjusted gross income)"</f>
        <v>Amount from line 37 (adjusted gross income)</v>
      </c>
      <c r="G73" s="2297"/>
      <c r="H73" s="2155"/>
      <c r="I73" s="2155"/>
      <c r="J73" s="2155"/>
      <c r="K73" s="2155"/>
      <c r="L73" s="2155"/>
      <c r="M73" s="2155"/>
      <c r="N73" s="2155"/>
      <c r="O73" s="2259"/>
      <c r="P73" s="2259"/>
      <c r="Q73" s="2259"/>
      <c r="R73" s="2259"/>
      <c r="S73" s="2298">
        <f>IF(you_over_64&lt;&gt;"",1,0)</f>
        <v>0</v>
      </c>
      <c r="T73" s="2298">
        <f>IF(you_blind&lt;&gt;"",1,0)</f>
        <v>0</v>
      </c>
      <c r="U73" s="2298"/>
      <c r="V73" s="2298">
        <f>IF(sp_over_64&lt;&gt;"",1,0)</f>
        <v>0</v>
      </c>
      <c r="W73" s="2298"/>
      <c r="X73" s="2299"/>
      <c r="Y73" s="2298">
        <f>IF(sp_blind&lt;&gt;"",1,0)</f>
        <v>0</v>
      </c>
      <c r="Z73" s="2298"/>
      <c r="AA73" s="2252">
        <f>D73</f>
        <v>38</v>
      </c>
      <c r="AB73" s="4632">
        <f>Adj_Gross_Inc</f>
        <v>0</v>
      </c>
      <c r="AC73" s="4653"/>
      <c r="AD73" s="4653"/>
      <c r="AE73" s="4653"/>
      <c r="AF73" s="4653"/>
      <c r="AG73" s="459"/>
      <c r="AH73" s="952"/>
      <c r="AI73" s="13"/>
      <c r="AJ73" s="13">
        <v>65</v>
      </c>
      <c r="AK73" s="3700"/>
      <c r="AL73" s="525"/>
      <c r="AM73" s="4085"/>
      <c r="AN73" s="4085"/>
      <c r="AO73" s="4085"/>
      <c r="AP73" s="4085"/>
      <c r="AQ73" s="4085"/>
      <c r="AR73" s="4086"/>
      <c r="AS73" s="2117"/>
      <c r="AT73" s="3029"/>
      <c r="AU73" s="3030"/>
      <c r="AV73" s="3031" t="str">
        <f>"Born Before January 2, "&amp;TaxYear-64&amp;", or Were Blind"</f>
        <v>Born Before January 2, 1952, or Were Blind</v>
      </c>
      <c r="AW73" s="3032"/>
      <c r="AX73" s="3033"/>
      <c r="AY73" s="4049"/>
      <c r="AZ73" s="2070"/>
      <c r="BA73" s="2070"/>
      <c r="BB73" s="2070"/>
      <c r="BC73" s="2070"/>
      <c r="BD73" s="2070"/>
    </row>
    <row r="74" spans="1:56" ht="13.5" customHeight="1" thickBot="1">
      <c r="A74" s="857"/>
      <c r="B74" s="4708" t="s">
        <v>1035</v>
      </c>
      <c r="C74" s="4563"/>
      <c r="D74" s="2152">
        <f>D73+1</f>
        <v>39</v>
      </c>
      <c r="E74" s="2300" t="s">
        <v>61</v>
      </c>
      <c r="F74" s="2199" t="s">
        <v>474</v>
      </c>
      <c r="G74" s="2301"/>
      <c r="H74" s="3991" t="str">
        <f>IF(BadBirthdate_Yours,"",IF(YourBirthDate&lt;$AR$50,"X",""))</f>
        <v/>
      </c>
      <c r="I74" s="2322" t="str">
        <f>" You were born before"</f>
        <v xml:space="preserve"> You were born before</v>
      </c>
      <c r="J74" s="2323"/>
      <c r="K74" s="2323"/>
      <c r="L74" s="2323"/>
      <c r="M74" s="2323"/>
      <c r="N74" s="2324" t="str">
        <f>TEXT($AR$50,"mmmm d, yyyy")</f>
        <v>January 2, 1952</v>
      </c>
      <c r="O74" s="2323"/>
      <c r="P74" s="2323"/>
      <c r="Q74" s="2323"/>
      <c r="R74" s="2323"/>
      <c r="S74" s="2909"/>
      <c r="T74" s="2275" t="s">
        <v>1028</v>
      </c>
      <c r="U74" s="2275"/>
      <c r="V74" s="2325"/>
      <c r="W74" s="2325"/>
      <c r="X74" s="2326"/>
      <c r="Y74" s="4870" t="str">
        <f>IF(OR(AND(OR(File_Single&lt;&gt;"",File_Head&lt;&gt;"",File_Qual_Widow&lt;&gt;""),OR(sp_over_64&lt;&gt;"",sp_blind&lt;&gt;"")),AI22=0),"",S73+T73+V73+Y73)</f>
        <v/>
      </c>
      <c r="Z74" s="4871"/>
      <c r="AA74" s="2135"/>
      <c r="AB74" s="4887" t="str">
        <f>IF(NumFileStatusBoxes&gt;1,"",IF($AI$74,"Spouse credit",IF(NumFileStatusBoxes=0,"You MUST indicate","")))</f>
        <v>You MUST indicate</v>
      </c>
      <c r="AC74" s="4888"/>
      <c r="AD74" s="4888"/>
      <c r="AE74" s="4888"/>
      <c r="AF74" s="4888"/>
      <c r="AG74" s="455"/>
      <c r="AH74" s="952"/>
      <c r="AI74" s="4883" t="b">
        <f>IF(AND(OR(File_Single&lt;&gt;"",File_Head&lt;&gt;"",File_Qual_Widow&lt;&gt;""),OR(sp_over_64&lt;&gt;"",sp_blind&lt;&gt;"")),TRUE,FALSE)</f>
        <v>0</v>
      </c>
      <c r="AJ74" s="4563"/>
      <c r="AK74" s="1301"/>
      <c r="AL74" s="525"/>
      <c r="AM74" s="4084"/>
      <c r="AN74" s="4084"/>
      <c r="AO74" s="4084"/>
      <c r="AP74" s="4084"/>
      <c r="AQ74" s="4084"/>
      <c r="AR74" s="4084"/>
      <c r="AS74" s="2117"/>
      <c r="AT74" s="4016" t="b">
        <f>IF(File_Single&lt;&gt;"",LOOKUP(Over_65_or_Blind,AT75:AT79,AU75:AU79),IF(OR(File_Marr_Joint&lt;&gt;"",File_Qual_Widow&lt;&gt;""),LOOKUP(Over_65_or_Blind,AT75:AT79,AV75:AV79),IF(File_Marr_Sep&lt;&gt;"",LOOKUP(Over_65_or_Blind,AT75:AT79,AW75:AW79),IF(File_Head&lt;&gt;"",LOOKUP(Over_65_or_Blind,AT75:AT79,AX75:AX79)))))</f>
        <v>0</v>
      </c>
      <c r="AU74" s="3034" t="s">
        <v>124</v>
      </c>
      <c r="AV74" s="3035" t="s">
        <v>894</v>
      </c>
      <c r="AW74" s="3034" t="s">
        <v>739</v>
      </c>
      <c r="AX74" s="3036" t="s">
        <v>740</v>
      </c>
      <c r="AY74" s="4049"/>
      <c r="AZ74" s="2070"/>
      <c r="BA74" s="2070"/>
      <c r="BB74" s="2070"/>
      <c r="BC74" s="2070"/>
      <c r="BD74" s="2070"/>
    </row>
    <row r="75" spans="1:56" ht="12.75" customHeight="1" thickBot="1">
      <c r="A75" s="857"/>
      <c r="B75" s="1548" t="s">
        <v>443</v>
      </c>
      <c r="C75" s="1549"/>
      <c r="D75" s="2302"/>
      <c r="E75" s="2303"/>
      <c r="F75" s="2164" t="s">
        <v>473</v>
      </c>
      <c r="G75" s="2301"/>
      <c r="H75" s="3991" t="str">
        <f>IF(OR(File_Marr_Joint="",BadBirthdate_Spouse),"",IF(SpouseBirthDate&lt;$AR$50,"X",""))</f>
        <v/>
      </c>
      <c r="I75" s="2322" t="str">
        <f>"  Spouse was born before"</f>
        <v xml:space="preserve">  Spouse was born before</v>
      </c>
      <c r="J75" s="2323"/>
      <c r="K75" s="2323"/>
      <c r="L75" s="2323"/>
      <c r="M75" s="2323"/>
      <c r="N75" s="2323"/>
      <c r="O75" s="2324" t="str">
        <f>TEXT($AR$50,"mmmm d, yyyy")</f>
        <v>January 2, 1952</v>
      </c>
      <c r="P75" s="2323"/>
      <c r="Q75" s="2323"/>
      <c r="R75" s="2323"/>
      <c r="S75" s="2909"/>
      <c r="T75" s="2275" t="s">
        <v>1027</v>
      </c>
      <c r="U75" s="2275"/>
      <c r="V75" s="2327"/>
      <c r="W75" s="2327"/>
      <c r="X75" s="2328" t="s">
        <v>96</v>
      </c>
      <c r="Y75" s="4872"/>
      <c r="Z75" s="4873"/>
      <c r="AA75" s="2136"/>
      <c r="AB75" s="4656" t="str">
        <f>IF(NumFileStatusBoxes&gt;1,"Check filing status.",IF($AI$74,"NOT allowed for",IF(NumFileStatusBoxes=0,"your filing status","")))</f>
        <v>your filing status</v>
      </c>
      <c r="AC75" s="4657"/>
      <c r="AD75" s="4657"/>
      <c r="AE75" s="4657"/>
      <c r="AF75" s="4657"/>
      <c r="AG75" s="455"/>
      <c r="AH75" s="952"/>
      <c r="AI75" s="13"/>
      <c r="AJ75" s="13"/>
      <c r="AK75" s="3700"/>
      <c r="AL75" s="525"/>
      <c r="AM75" s="4085"/>
      <c r="AN75" s="4085"/>
      <c r="AO75" s="4085"/>
      <c r="AP75" s="4085"/>
      <c r="AQ75" s="4085"/>
      <c r="AR75" s="4087"/>
      <c r="AS75" s="4087"/>
      <c r="AT75" s="3029">
        <v>0</v>
      </c>
      <c r="AU75" s="3037">
        <f>SD_Single</f>
        <v>6300</v>
      </c>
      <c r="AV75" s="3038">
        <f>SD_MFJW</f>
        <v>12600</v>
      </c>
      <c r="AW75" s="3037">
        <f>SD_Single</f>
        <v>6300</v>
      </c>
      <c r="AX75" s="3039">
        <f>SD_Head</f>
        <v>9300</v>
      </c>
      <c r="AY75" s="4049"/>
      <c r="AZ75" s="2070"/>
      <c r="BA75" s="2070"/>
      <c r="BB75" s="2070"/>
      <c r="BC75" s="2070"/>
      <c r="BD75" s="2070"/>
    </row>
    <row r="76" spans="1:56" ht="13.5" customHeight="1" thickBot="1">
      <c r="A76" s="857"/>
      <c r="B76" s="1550" t="s">
        <v>1036</v>
      </c>
      <c r="C76" s="1551"/>
      <c r="D76" s="2302"/>
      <c r="E76" s="2304" t="s">
        <v>84</v>
      </c>
      <c r="F76" s="2164" t="s">
        <v>808</v>
      </c>
      <c r="G76" s="2199"/>
      <c r="H76" s="2199"/>
      <c r="I76" s="2318"/>
      <c r="J76" s="2318"/>
      <c r="K76" s="2318"/>
      <c r="L76" s="2318"/>
      <c r="M76" s="2318"/>
      <c r="N76" s="2221"/>
      <c r="O76" s="2199"/>
      <c r="P76" s="2199"/>
      <c r="Q76" s="2199"/>
      <c r="R76" s="2199"/>
      <c r="S76" s="2199"/>
      <c r="T76" s="2221"/>
      <c r="U76" s="2221"/>
      <c r="V76" s="2199"/>
      <c r="W76" s="2199"/>
      <c r="X76" s="2329"/>
      <c r="Y76" s="2332" t="str">
        <f>D74&amp;"b"</f>
        <v>39b</v>
      </c>
      <c r="Z76" s="2123"/>
      <c r="AA76" s="2137"/>
      <c r="AB76" s="4656" t="str">
        <f>IF(NumFileStatusBoxes&gt;1,"",IF(AND(OR(File_Single&lt;&gt;"",File_Head&lt;&gt;"",File_Qual_Widow&lt;&gt;""),OR(sp_over_64&lt;&gt;"",sp_blind&lt;&gt;"")),"this filing status.",IF(NumFileStatusBoxes=0,"in lines 1-5.","")))</f>
        <v>in lines 1-5.</v>
      </c>
      <c r="AC76" s="4657"/>
      <c r="AD76" s="4657"/>
      <c r="AE76" s="4657"/>
      <c r="AF76" s="4657"/>
      <c r="AG76" s="455"/>
      <c r="AH76" s="952"/>
      <c r="AI76" s="13"/>
      <c r="AJ76" s="13"/>
      <c r="AK76" s="2706"/>
      <c r="AL76" s="525"/>
      <c r="AM76" s="4088"/>
      <c r="AN76" s="4088"/>
      <c r="AO76" s="4088"/>
      <c r="AP76" s="4088"/>
      <c r="AQ76" s="4088"/>
      <c r="AR76" s="4087" t="b">
        <f>IF(AND(ItemizeAnyway="",Standard&gt;=Tot_Item_Deduct),TRUE,FALSE)</f>
        <v>1</v>
      </c>
      <c r="AS76" s="4087" t="b">
        <f>IF(OR(ItemizeAnyway&lt;&gt;"",AND(Tot_Item_Deduct&gt;Standard)),TRUE,FALSE)</f>
        <v>0</v>
      </c>
      <c r="AT76" s="3029">
        <v>1</v>
      </c>
      <c r="AU76" s="3030">
        <v>7850</v>
      </c>
      <c r="AV76" s="3030">
        <v>13850</v>
      </c>
      <c r="AW76" s="2598">
        <v>7550</v>
      </c>
      <c r="AX76" s="3040">
        <v>10850</v>
      </c>
      <c r="AY76" s="4087"/>
      <c r="AZ76" s="2070"/>
      <c r="BA76" s="2070"/>
      <c r="BB76" s="2070"/>
      <c r="BC76" s="2070"/>
      <c r="BD76" s="2070"/>
    </row>
    <row r="77" spans="1:56" ht="13.5" customHeight="1">
      <c r="A77" s="857"/>
      <c r="B77" s="1568" t="s">
        <v>1056</v>
      </c>
      <c r="C77" s="4713" t="s">
        <v>2091</v>
      </c>
      <c r="D77" s="2305">
        <f>D74+1</f>
        <v>40</v>
      </c>
      <c r="E77" s="2300"/>
      <c r="F77" s="2306" t="s">
        <v>1468</v>
      </c>
      <c r="G77" s="2307"/>
      <c r="H77" s="2307"/>
      <c r="I77" s="2307"/>
      <c r="J77" s="2307"/>
      <c r="K77" s="2307"/>
      <c r="L77" s="2307"/>
      <c r="M77" s="2307"/>
      <c r="N77" s="2307"/>
      <c r="O77" s="2307"/>
      <c r="P77" s="2307"/>
      <c r="Q77" s="2307"/>
      <c r="R77" s="2307"/>
      <c r="S77" s="2199"/>
      <c r="T77" s="2330"/>
      <c r="U77" s="2330"/>
      <c r="V77" s="2330"/>
      <c r="W77" s="2330"/>
      <c r="X77" s="2331"/>
      <c r="Y77" s="2327"/>
      <c r="Z77" s="2327" t="s">
        <v>862</v>
      </c>
      <c r="AA77" s="2253" t="str">
        <f>D77&amp;E77</f>
        <v>40</v>
      </c>
      <c r="AB77" s="4665" t="str">
        <f>IF(AL77&lt;&gt;"",AL77,  IF(Birthday_Needed&lt;&gt;"","Birthdate(s) needed.", IF(OR($AI$74,FilingStatusError),"",  IF(ItemizedDeduct,Tot_Item_Deduct,Standard ))))</f>
        <v/>
      </c>
      <c r="AC77" s="4666"/>
      <c r="AD77" s="4666"/>
      <c r="AE77" s="4666"/>
      <c r="AF77" s="4666"/>
      <c r="AG77" s="459"/>
      <c r="AH77" s="952"/>
      <c r="AI77" s="13"/>
      <c r="AJ77" s="13"/>
      <c r="AK77" s="13"/>
      <c r="AL77" s="522"/>
      <c r="AM77" s="4861" t="s">
        <v>994</v>
      </c>
      <c r="AN77" s="4862"/>
      <c r="AO77" s="4089"/>
      <c r="AP77" s="4089"/>
      <c r="AQ77" s="4090"/>
      <c r="AR77" s="4090" t="s">
        <v>443</v>
      </c>
      <c r="AS77" s="4090" t="s">
        <v>738</v>
      </c>
      <c r="AT77" s="3029">
        <v>2</v>
      </c>
      <c r="AU77" s="3030">
        <v>9400</v>
      </c>
      <c r="AV77" s="3030">
        <v>15100</v>
      </c>
      <c r="AW77" s="2598">
        <v>8800</v>
      </c>
      <c r="AX77" s="3040">
        <v>12400</v>
      </c>
      <c r="AY77" s="4087"/>
      <c r="AZ77" s="2070"/>
      <c r="BA77" s="2070"/>
      <c r="BB77" s="2070"/>
      <c r="BC77" s="2070"/>
      <c r="BD77" s="2070"/>
    </row>
    <row r="78" spans="1:56" ht="13.5" customHeight="1">
      <c r="A78" s="857"/>
      <c r="B78" s="1568"/>
      <c r="C78" s="4714"/>
      <c r="D78" s="2308">
        <f>D77+1</f>
        <v>41</v>
      </c>
      <c r="E78" s="2163"/>
      <c r="F78" s="2164" t="str">
        <f>"Subtract line "&amp;AA77&amp;" from line "&amp;AA73</f>
        <v>Subtract line 40 from line 38</v>
      </c>
      <c r="G78" s="2199"/>
      <c r="H78" s="2199"/>
      <c r="I78" s="2199"/>
      <c r="J78" s="2199"/>
      <c r="K78" s="2199"/>
      <c r="L78" s="2199"/>
      <c r="M78" s="2199"/>
      <c r="N78" s="2199"/>
      <c r="O78" s="2311"/>
      <c r="P78" s="2311"/>
      <c r="Q78" s="2311"/>
      <c r="R78" s="2311"/>
      <c r="S78" s="2199"/>
      <c r="T78" s="2199"/>
      <c r="U78" s="2199"/>
      <c r="V78" s="2199"/>
      <c r="W78" s="2199"/>
      <c r="X78" s="2199"/>
      <c r="Y78" s="2199"/>
      <c r="Z78" s="2327" t="s">
        <v>865</v>
      </c>
      <c r="AA78" s="2345">
        <f t="shared" ref="AA78:AA84" si="2">D78</f>
        <v>41</v>
      </c>
      <c r="AB78" s="4647" t="str">
        <f>IF(AL78&lt;&gt;"",AL78,IF(OR($AI$74,Birthday_Needed&lt;&gt;"",FilingStatusError),"",IF(AI22=0,"",ROUND(AB73-AB77,0))))</f>
        <v/>
      </c>
      <c r="AC78" s="4648"/>
      <c r="AD78" s="4648"/>
      <c r="AE78" s="4648"/>
      <c r="AF78" s="4648"/>
      <c r="AG78" s="459"/>
      <c r="AH78" s="952"/>
      <c r="AI78" s="13"/>
      <c r="AJ78" s="13"/>
      <c r="AK78" s="674">
        <v>155650</v>
      </c>
      <c r="AL78" s="522"/>
      <c r="AM78" s="4861" t="s">
        <v>993</v>
      </c>
      <c r="AN78" s="4862"/>
      <c r="AO78" s="4089"/>
      <c r="AP78" s="4089"/>
      <c r="AQ78" s="4087"/>
      <c r="AR78" s="4087" t="b">
        <f>IF(OR(Dual_Status_Alien&lt;&gt;"",ISERROR(Over_65_or_Blind)),0, IF('Line 40'!K4,Std_Ded_Wrks_For_Dep, IF(Over_65_or_Blind&gt;0,AT74,AR79)))</f>
        <v>0</v>
      </c>
      <c r="AS78" s="4087">
        <f>Tot_Item_Deduct</f>
        <v>0</v>
      </c>
      <c r="AT78" s="3029">
        <v>3</v>
      </c>
      <c r="AU78" s="3030"/>
      <c r="AV78" s="3032">
        <v>16350</v>
      </c>
      <c r="AW78" s="3032">
        <v>10050</v>
      </c>
      <c r="AX78" s="3033"/>
      <c r="AY78" s="4087"/>
      <c r="AZ78" s="2070"/>
      <c r="BA78" s="2070"/>
      <c r="BB78" s="2070"/>
      <c r="BC78" s="2070"/>
      <c r="BD78" s="2070"/>
    </row>
    <row r="79" spans="1:56" ht="13.5" customHeight="1">
      <c r="A79" s="857"/>
      <c r="B79" s="50"/>
      <c r="C79" s="4714"/>
      <c r="D79" s="2309">
        <v>42</v>
      </c>
      <c r="E79" s="2163"/>
      <c r="F79" s="2310" t="s">
        <v>482</v>
      </c>
      <c r="G79" s="2199"/>
      <c r="H79" s="2199" t="str">
        <f>"If line 38 is "&amp;TEXT(AK78,"$0,000")&amp;" or less, multiply "&amp;TEXT(Deduct_For_Exempts,"$0,000")&amp;" by number on line 6d. Otherwise, see instructions."</f>
        <v>If line 38 is $155,650 or less, multiply $4,050 by number on line 6d. Otherwise, see instructions.</v>
      </c>
      <c r="I79" s="2164"/>
      <c r="J79" s="2199"/>
      <c r="K79" s="2199"/>
      <c r="L79" s="2199"/>
      <c r="M79" s="2199"/>
      <c r="N79" s="2199"/>
      <c r="O79" s="2199"/>
      <c r="P79" s="2199"/>
      <c r="Q79" s="2199"/>
      <c r="R79" s="2199"/>
      <c r="S79" s="2199"/>
      <c r="T79" s="2199"/>
      <c r="U79" s="2311"/>
      <c r="V79" s="2199"/>
      <c r="W79" s="2199"/>
      <c r="X79" s="2199"/>
      <c r="Y79" s="2307"/>
      <c r="Z79" s="2327"/>
      <c r="AA79" s="2345">
        <f>D79</f>
        <v>42</v>
      </c>
      <c r="AB79" s="4647" t="str">
        <f>IF(AL79&lt;&gt;"",AL79,IF(OR($AI$74,Birthday_Needed&lt;&gt;"",FilingStatusError),"",IF(Adj_Gross_Inc&lt;=AK78,Tot_Exemptions*Deduct_For_Exempts,Ded_4_Exmptn_Wrks)))</f>
        <v/>
      </c>
      <c r="AC79" s="4648"/>
      <c r="AD79" s="4648"/>
      <c r="AE79" s="4648"/>
      <c r="AF79" s="4648"/>
      <c r="AG79" s="459"/>
      <c r="AH79" s="958"/>
      <c r="AI79" s="80"/>
      <c r="AJ79" s="80"/>
      <c r="AK79" s="2705">
        <v>4050</v>
      </c>
      <c r="AL79" s="522"/>
      <c r="AM79" s="4856" t="str">
        <f>IF(AL77&lt;&gt;"","Manual Override",IF($AI$74,"Line 39 error",IF(AI22=0,"Filing status?", IF(Dual_Status_Alien&lt;&gt;"","Deduction is zero due to Line 39b.", IF(ItemizedDeduct,"Schedule A","Standard Deduction")))))</f>
        <v>Filing status?</v>
      </c>
      <c r="AN79" s="4857"/>
      <c r="AO79" s="4089"/>
      <c r="AP79" s="4089"/>
      <c r="AQ79" s="4049"/>
      <c r="AR79" s="4087">
        <f>IF(File_Single&lt;&gt;"",SD_Single,IF(OR(File_Marr_Joint&lt;&gt;"",File_Qual_Widow&lt;&gt;""),SD_MFJW,IF(File_Head&lt;&gt;"",SD_Head,IF(File_Marr_Sep&lt;&gt;"",SD_Single,0))))</f>
        <v>0</v>
      </c>
      <c r="AS79" s="4087"/>
      <c r="AT79" s="3029">
        <v>4</v>
      </c>
      <c r="AU79" s="3041"/>
      <c r="AV79" s="3032">
        <v>17600</v>
      </c>
      <c r="AW79" s="3032">
        <v>11300</v>
      </c>
      <c r="AX79" s="3033"/>
      <c r="AY79" s="4087"/>
      <c r="AZ79" s="2070"/>
      <c r="BA79" s="2070"/>
      <c r="BB79" s="2070"/>
      <c r="BC79" s="2070"/>
      <c r="BD79" s="2070"/>
    </row>
    <row r="80" spans="1:56" ht="13.5" customHeight="1" thickBot="1">
      <c r="A80" s="857"/>
      <c r="B80" s="50"/>
      <c r="C80" s="4714"/>
      <c r="D80" s="2309">
        <f>D79+1</f>
        <v>43</v>
      </c>
      <c r="E80" s="2163"/>
      <c r="F80" s="2306" t="s">
        <v>702</v>
      </c>
      <c r="G80" s="2199"/>
      <c r="H80" s="2199"/>
      <c r="I80" s="2164" t="str">
        <f>" Subtract line "&amp;AA79&amp;" from line "&amp;AA78&amp;". If line "&amp;AA79&amp;" is more than line "&amp;AA78&amp;", enter -0-"</f>
        <v xml:space="preserve"> Subtract line 42 from line 41. If line 42 is more than line 41, enter -0-</v>
      </c>
      <c r="J80" s="2164"/>
      <c r="K80" s="2164"/>
      <c r="L80" s="2164"/>
      <c r="M80" s="2164"/>
      <c r="N80" s="2199"/>
      <c r="O80" s="2199"/>
      <c r="P80" s="2199"/>
      <c r="Q80" s="2199"/>
      <c r="R80" s="2199"/>
      <c r="S80" s="2199"/>
      <c r="T80" s="2199"/>
      <c r="U80" s="2199"/>
      <c r="V80" s="2199"/>
      <c r="W80" s="2199"/>
      <c r="X80" s="2199"/>
      <c r="Y80" s="2199"/>
      <c r="Z80" s="2327" t="s">
        <v>863</v>
      </c>
      <c r="AA80" s="2252">
        <f t="shared" si="2"/>
        <v>43</v>
      </c>
      <c r="AB80" s="4634" t="str">
        <f>IF(AL80&lt;&gt;"",AL80,IF(OR($AI$74,Birthday_Needed&lt;&gt;"",FilingStatusError),"",IF(AI22=0,"",IF((AB78-AB79)&gt;0,ROUND(AB78-AB79,0),0))))</f>
        <v/>
      </c>
      <c r="AC80" s="4635"/>
      <c r="AD80" s="4635"/>
      <c r="AE80" s="4635"/>
      <c r="AF80" s="4635"/>
      <c r="AG80" s="459"/>
      <c r="AH80" s="958"/>
      <c r="AI80" s="80"/>
      <c r="AJ80" s="80"/>
      <c r="AK80" s="80"/>
      <c r="AL80" s="522"/>
      <c r="AM80" s="4087"/>
      <c r="AN80" s="4059"/>
      <c r="AO80" s="4089"/>
      <c r="AP80" s="4089"/>
      <c r="AQ80" s="4049"/>
      <c r="AR80" s="4087"/>
      <c r="AS80" s="4087"/>
      <c r="AT80" s="3042"/>
      <c r="AU80" s="3043"/>
      <c r="AV80" s="3044"/>
      <c r="AW80" s="3044"/>
      <c r="AX80" s="3045"/>
      <c r="AY80" s="4087"/>
      <c r="AZ80" s="2070"/>
      <c r="BA80" s="2070"/>
      <c r="BB80" s="2070"/>
      <c r="BC80" s="2070"/>
      <c r="BD80" s="2070"/>
    </row>
    <row r="81" spans="1:56" ht="13.5" customHeight="1">
      <c r="A81" s="857"/>
      <c r="B81" s="1552"/>
      <c r="C81" s="4714"/>
      <c r="D81" s="2309">
        <f>D80+1</f>
        <v>44</v>
      </c>
      <c r="E81" s="2153"/>
      <c r="F81" s="2158" t="s">
        <v>1039</v>
      </c>
      <c r="G81" s="2155"/>
      <c r="H81" s="2155"/>
      <c r="I81" s="2155"/>
      <c r="J81" s="2155"/>
      <c r="K81" s="2155"/>
      <c r="L81" s="2155"/>
      <c r="M81" s="2155"/>
      <c r="N81" s="2118"/>
      <c r="O81" s="2307" t="s">
        <v>1040</v>
      </c>
      <c r="P81" s="2334"/>
      <c r="Q81" s="2334"/>
      <c r="R81" s="2334"/>
      <c r="S81" s="2118"/>
      <c r="T81" s="2172" t="s">
        <v>1026</v>
      </c>
      <c r="U81" s="2264"/>
      <c r="V81" s="2264"/>
      <c r="W81" s="2118"/>
      <c r="X81" s="4718"/>
      <c r="Y81" s="4639"/>
      <c r="Z81" s="4719"/>
      <c r="AA81" s="2252">
        <f t="shared" si="2"/>
        <v>44</v>
      </c>
      <c r="AB81" s="4643" t="str">
        <f>IF(AL81&lt;&gt;"",AL81,IF(OR($AI$74,Birthday_Needed&lt;&gt;"",FilingStatusError),"",IF(FEI_Tax_Worksheet,Tax_FEI_TW,IF('Sch. D WS'!S68="Yes",'Sch. D WS'!P139,IF(CGTW,CGTW_Tax,IF(Taxable_Inc&lt;100000,AQ88,AQ89))))))</f>
        <v/>
      </c>
      <c r="AC81" s="4644"/>
      <c r="AD81" s="4644"/>
      <c r="AE81" s="4644"/>
      <c r="AF81" s="4644"/>
      <c r="AG81" s="457"/>
      <c r="AH81" s="958"/>
      <c r="AI81" s="80"/>
      <c r="AJ81" s="80"/>
      <c r="AK81" s="80"/>
      <c r="AL81" s="522"/>
      <c r="AM81" s="4572" t="s">
        <v>895</v>
      </c>
      <c r="AN81" s="4849" t="str">
        <f>IF(AL81&lt;&gt;"","Manual override",IF(FEI_Tax_Worksheet,"Foreign Income Tax Worksheet",IF(SchDTW_Used,"Sch. D Tax Worksheet",IF(CGTW,"QD &amp; CG Tax WS (Sheet 'Line 44')",IF(OR(Taxable_Inc=0,Taxable_Inc=""),"",IF(Taxable_Inc&lt;100000,"Tax Table","Tax Formula"))))))</f>
        <v/>
      </c>
      <c r="AO81" s="4089"/>
      <c r="AP81" s="4089"/>
      <c r="AQ81" s="4091">
        <v>125100</v>
      </c>
      <c r="AR81" s="4087"/>
      <c r="AS81" s="4087"/>
      <c r="AT81" s="4087"/>
      <c r="AU81" s="4087"/>
      <c r="AV81" s="2070"/>
      <c r="AW81" s="2070"/>
      <c r="AX81" s="2070"/>
      <c r="AY81" s="4087"/>
      <c r="AZ81" s="2070"/>
      <c r="BA81" s="2070"/>
      <c r="BB81" s="2070"/>
      <c r="BC81" s="2070"/>
      <c r="BD81" s="2070"/>
    </row>
    <row r="82" spans="1:56" ht="13.5" customHeight="1" thickBot="1">
      <c r="A82" s="857"/>
      <c r="B82" s="1553"/>
      <c r="C82" s="4714"/>
      <c r="D82" s="2309">
        <f t="shared" ref="D82:D92" si="3">D81+1</f>
        <v>45</v>
      </c>
      <c r="E82" s="2153"/>
      <c r="F82" s="2158" t="s">
        <v>1469</v>
      </c>
      <c r="G82" s="2155"/>
      <c r="H82" s="2155"/>
      <c r="I82" s="2155"/>
      <c r="J82" s="2155"/>
      <c r="K82" s="2155"/>
      <c r="L82" s="2155"/>
      <c r="M82" s="2155"/>
      <c r="N82" s="2155"/>
      <c r="O82" s="2259"/>
      <c r="P82" s="2259"/>
      <c r="Q82" s="2259"/>
      <c r="R82" s="2259"/>
      <c r="S82" s="2327"/>
      <c r="T82" s="2333"/>
      <c r="U82" s="2333"/>
      <c r="V82" s="2268"/>
      <c r="W82" s="2268"/>
      <c r="X82" s="2333"/>
      <c r="Y82" s="2331"/>
      <c r="Z82" s="2327" t="s">
        <v>864</v>
      </c>
      <c r="AA82" s="2252">
        <f t="shared" si="2"/>
        <v>45</v>
      </c>
      <c r="AB82" s="4634" t="str">
        <f>IF(AL82&lt;&gt;"",AL82,IF(OR($AI$74,Birthday_Needed&lt;&gt;"",FilingStatusError),"",AMT))</f>
        <v/>
      </c>
      <c r="AC82" s="4635"/>
      <c r="AD82" s="4635"/>
      <c r="AE82" s="4635"/>
      <c r="AF82" s="4635"/>
      <c r="AG82" s="456"/>
      <c r="AH82" s="952"/>
      <c r="AI82" s="4577" t="str">
        <f>IF(OR($AI$74,Birthday_Needed&lt;&gt;"",FilingStatusError),"",IF(AND(AI83="",F6251_Needed),"Check Form 6251.",IF(F6251_Needed,"Form 6251","")))</f>
        <v/>
      </c>
      <c r="AJ82" s="4581"/>
      <c r="AK82" s="4582"/>
      <c r="AL82" s="522"/>
      <c r="AM82" s="4573"/>
      <c r="AN82" s="4850"/>
      <c r="AO82" s="4089"/>
      <c r="AP82" s="4089"/>
      <c r="AQ82" s="4092">
        <v>3650</v>
      </c>
      <c r="AR82" s="4087"/>
      <c r="AS82" s="4087"/>
      <c r="AT82" s="4090"/>
      <c r="AU82" s="4087"/>
      <c r="AV82" s="2070"/>
      <c r="AW82" s="2070"/>
      <c r="AX82" s="2070"/>
      <c r="AY82" s="4087"/>
      <c r="AZ82" s="2070"/>
      <c r="BA82" s="2070"/>
      <c r="BB82" s="2070"/>
      <c r="BC82" s="2070"/>
      <c r="BD82" s="2070"/>
    </row>
    <row r="83" spans="1:56" ht="13.5" customHeight="1" thickBot="1">
      <c r="A83" s="857"/>
      <c r="B83" s="1553"/>
      <c r="C83" s="4714"/>
      <c r="D83" s="2309">
        <f t="shared" si="3"/>
        <v>46</v>
      </c>
      <c r="E83" s="2153"/>
      <c r="F83" s="2154" t="s">
        <v>2092</v>
      </c>
      <c r="G83" s="2155"/>
      <c r="H83" s="2155"/>
      <c r="I83" s="2155"/>
      <c r="J83" s="2155"/>
      <c r="K83" s="2155"/>
      <c r="L83" s="2155"/>
      <c r="M83" s="2155"/>
      <c r="N83" s="2155"/>
      <c r="O83" s="2259"/>
      <c r="P83" s="2259"/>
      <c r="Q83" s="2259"/>
      <c r="R83" s="2259"/>
      <c r="S83" s="2327"/>
      <c r="T83" s="3014"/>
      <c r="U83" s="3014"/>
      <c r="V83" s="2268"/>
      <c r="W83" s="2268"/>
      <c r="X83" s="3014"/>
      <c r="Y83" s="2331"/>
      <c r="Z83" s="2327" t="s">
        <v>2093</v>
      </c>
      <c r="AA83" s="2252">
        <f t="shared" ref="AA83" si="4">D83</f>
        <v>46</v>
      </c>
      <c r="AB83" s="4634" t="str">
        <f>IF(AL83&lt;&gt;"",AL83,'8962'!AE76)</f>
        <v/>
      </c>
      <c r="AC83" s="4635"/>
      <c r="AD83" s="4635"/>
      <c r="AE83" s="4635"/>
      <c r="AF83" s="4635"/>
      <c r="AG83" s="456"/>
      <c r="AH83" s="952"/>
      <c r="AI83" s="4524"/>
      <c r="AJ83" s="4583" t="str">
        <f>IF(AND(AI83="",F6251_Needed),"Check here.",IF(F6251_Needed,"checked.",""))</f>
        <v/>
      </c>
      <c r="AK83" s="4582"/>
      <c r="AL83" s="522"/>
      <c r="AM83" s="3030"/>
      <c r="AN83" s="4059"/>
      <c r="AO83" s="4089"/>
      <c r="AP83" s="4059"/>
      <c r="AQ83" s="4093" t="str">
        <f>"Taxable_Inc"</f>
        <v>Taxable_Inc</v>
      </c>
      <c r="AR83" s="4087"/>
      <c r="AS83" s="4087"/>
      <c r="AT83" s="4087"/>
      <c r="AU83" s="4087"/>
      <c r="AV83" s="4087"/>
      <c r="AW83" s="4087"/>
      <c r="AX83" s="4087"/>
      <c r="AY83" s="4087"/>
      <c r="AZ83" s="2070"/>
      <c r="BA83" s="2070"/>
      <c r="BB83" s="2070"/>
      <c r="BC83" s="2070"/>
      <c r="BD83" s="2070"/>
    </row>
    <row r="84" spans="1:56" ht="13.5" customHeight="1">
      <c r="A84" s="857"/>
      <c r="B84" s="1568" t="s">
        <v>1056</v>
      </c>
      <c r="C84" s="1547" t="s">
        <v>132</v>
      </c>
      <c r="D84" s="2309">
        <f>D83+1</f>
        <v>47</v>
      </c>
      <c r="E84" s="2153"/>
      <c r="F84" s="2154" t="str">
        <f>"Add lines "&amp;D81&amp;", "&amp;D82&amp;", and "&amp;D83</f>
        <v>Add lines 44, 45, and 46</v>
      </c>
      <c r="G84" s="2155"/>
      <c r="H84" s="2155"/>
      <c r="I84" s="2155"/>
      <c r="J84" s="2155"/>
      <c r="K84" s="2155"/>
      <c r="L84" s="2155"/>
      <c r="M84" s="2155"/>
      <c r="N84" s="2159"/>
      <c r="O84" s="2259"/>
      <c r="P84" s="2259"/>
      <c r="Q84" s="2259"/>
      <c r="R84" s="2259"/>
      <c r="S84" s="2327"/>
      <c r="T84" s="2333"/>
      <c r="U84" s="2333"/>
      <c r="V84" s="2268"/>
      <c r="W84" s="2268"/>
      <c r="X84" s="2333"/>
      <c r="Y84" s="2161"/>
      <c r="Z84" s="2327" t="s">
        <v>2094</v>
      </c>
      <c r="AA84" s="2252">
        <f t="shared" si="2"/>
        <v>47</v>
      </c>
      <c r="AB84" s="4634" t="str">
        <f>IF(AL84&lt;&gt;"",AL84,IF(OR(Birthday_Needed&lt;&gt;"",FilingStatusError),"",ROUND(SUM(Tax,AltMinTax,AB83),0)))</f>
        <v/>
      </c>
      <c r="AC84" s="4635"/>
      <c r="AD84" s="4635"/>
      <c r="AE84" s="4635"/>
      <c r="AF84" s="4635"/>
      <c r="AG84" s="456"/>
      <c r="AH84" s="952"/>
      <c r="AI84" s="13"/>
      <c r="AJ84" s="13"/>
      <c r="AK84" s="13"/>
      <c r="AL84" s="522"/>
      <c r="AM84" s="3030"/>
      <c r="AN84" s="2117"/>
      <c r="AO84" s="4089"/>
      <c r="AP84" s="2117"/>
      <c r="AQ84" s="4094" t="str">
        <f>Taxable_Inc</f>
        <v/>
      </c>
      <c r="AR84" s="4095"/>
      <c r="AS84" s="4095"/>
      <c r="AT84" s="4095"/>
      <c r="AU84" s="4095"/>
      <c r="AV84" s="4095"/>
      <c r="AW84" s="4095"/>
      <c r="AX84" s="4095"/>
      <c r="AY84" s="4096"/>
      <c r="AZ84" s="2070"/>
      <c r="BA84" s="2070"/>
      <c r="BB84" s="2070"/>
      <c r="BC84" s="2070"/>
      <c r="BD84" s="2070"/>
    </row>
    <row r="85" spans="1:56" ht="13.5" customHeight="1">
      <c r="A85" s="857"/>
      <c r="B85" s="864"/>
      <c r="C85" s="4687" t="s">
        <v>1037</v>
      </c>
      <c r="D85" s="2309">
        <f>D84+1</f>
        <v>48</v>
      </c>
      <c r="E85" s="2163"/>
      <c r="F85" s="2164" t="s">
        <v>914</v>
      </c>
      <c r="G85" s="2199"/>
      <c r="H85" s="2199"/>
      <c r="I85" s="2199"/>
      <c r="J85" s="2199"/>
      <c r="K85" s="2199"/>
      <c r="L85" s="2199"/>
      <c r="M85" s="2199"/>
      <c r="N85" s="2199"/>
      <c r="O85" s="2199"/>
      <c r="P85" s="2199"/>
      <c r="Q85" s="2199"/>
      <c r="R85" s="2199"/>
      <c r="S85" s="2268" t="s">
        <v>227</v>
      </c>
      <c r="T85" s="2335">
        <f t="shared" ref="T85:T91" si="5">D85</f>
        <v>48</v>
      </c>
      <c r="U85" s="2336"/>
      <c r="V85" s="4598"/>
      <c r="W85" s="4598"/>
      <c r="X85" s="4600"/>
      <c r="Y85" s="4600"/>
      <c r="Z85" s="2337"/>
      <c r="AA85" s="2137"/>
      <c r="AB85" s="58"/>
      <c r="AC85" s="58"/>
      <c r="AD85" s="58"/>
      <c r="AE85" s="58"/>
      <c r="AF85" s="58"/>
      <c r="AG85" s="455"/>
      <c r="AH85" s="958"/>
      <c r="AI85" s="80"/>
      <c r="AJ85" s="80"/>
      <c r="AK85" s="80"/>
      <c r="AL85" s="523"/>
      <c r="AM85" s="3030"/>
      <c r="AN85" s="2117"/>
      <c r="AO85" s="2117"/>
      <c r="AP85" s="2117"/>
      <c r="AQ85" s="4097" t="str">
        <f>IF(AQ84&lt;&gt;"",ROUND(AQ84,0),"")</f>
        <v/>
      </c>
      <c r="AR85" s="4098" t="s">
        <v>124</v>
      </c>
      <c r="AS85" s="4047" t="s">
        <v>894</v>
      </c>
      <c r="AT85" s="4099" t="s">
        <v>739</v>
      </c>
      <c r="AU85" s="4099" t="s">
        <v>740</v>
      </c>
      <c r="AV85" s="4099" t="s">
        <v>124</v>
      </c>
      <c r="AW85" s="4047" t="s">
        <v>894</v>
      </c>
      <c r="AX85" s="4099" t="s">
        <v>739</v>
      </c>
      <c r="AY85" s="4100" t="s">
        <v>740</v>
      </c>
      <c r="AZ85" s="2070"/>
      <c r="BA85" s="2070"/>
      <c r="BB85" s="2070"/>
      <c r="BC85" s="2070"/>
      <c r="BD85" s="2070"/>
    </row>
    <row r="86" spans="1:56" ht="13.5" customHeight="1">
      <c r="A86" s="857"/>
      <c r="B86" s="1554"/>
      <c r="C86" s="4688"/>
      <c r="D86" s="2309">
        <f t="shared" si="3"/>
        <v>49</v>
      </c>
      <c r="E86" s="2153"/>
      <c r="F86" s="2164" t="s">
        <v>136</v>
      </c>
      <c r="G86" s="2199"/>
      <c r="H86" s="2199"/>
      <c r="I86" s="2199"/>
      <c r="J86" s="2199"/>
      <c r="K86" s="2199"/>
      <c r="L86" s="2199"/>
      <c r="M86" s="2199"/>
      <c r="N86" s="2199"/>
      <c r="O86" s="2199"/>
      <c r="P86" s="2199"/>
      <c r="Q86" s="2199"/>
      <c r="R86" s="2199"/>
      <c r="S86" s="2268" t="s">
        <v>837</v>
      </c>
      <c r="T86" s="2338">
        <f t="shared" si="5"/>
        <v>49</v>
      </c>
      <c r="U86" s="2336"/>
      <c r="V86" s="4615" t="str">
        <f>IF(AL86&lt;&gt;"",AL86,'2441'!O59)</f>
        <v/>
      </c>
      <c r="W86" s="4615"/>
      <c r="X86" s="4617"/>
      <c r="Y86" s="4617"/>
      <c r="Z86" s="2337"/>
      <c r="AA86" s="2137"/>
      <c r="AB86" s="58"/>
      <c r="AC86" s="58"/>
      <c r="AD86" s="58"/>
      <c r="AE86" s="58"/>
      <c r="AF86" s="58"/>
      <c r="AG86" s="455"/>
      <c r="AH86" s="958"/>
      <c r="AI86" s="80"/>
      <c r="AJ86" s="80"/>
      <c r="AK86" s="80"/>
      <c r="AL86" s="522"/>
      <c r="AM86" s="3030"/>
      <c r="AN86" s="4059"/>
      <c r="AO86" s="4059"/>
      <c r="AP86" s="4059"/>
      <c r="AQ86" s="4097" t="str">
        <f>IF(AQ84="","",IF(AQ84&gt;=3000,INT(AQ85/50),IF(AQ84&gt;=25,INT(AQ85/25),IF(AQ84&gt;=5,INT((AQ85+5)/10),0))))</f>
        <v/>
      </c>
      <c r="AR86" s="4516"/>
      <c r="AS86" s="4516"/>
      <c r="AT86" s="4516"/>
      <c r="AU86" s="4516"/>
      <c r="AV86" s="4516"/>
      <c r="AW86" s="4516"/>
      <c r="AX86" s="4516"/>
      <c r="AY86" s="4517"/>
      <c r="AZ86" s="2070"/>
      <c r="BA86" s="2070"/>
      <c r="BB86" s="2070"/>
      <c r="BC86" s="2070"/>
      <c r="BD86" s="2070"/>
    </row>
    <row r="87" spans="1:56" ht="13.5" customHeight="1">
      <c r="A87" s="857"/>
      <c r="B87" s="1553"/>
      <c r="C87" s="1556">
        <v>6300</v>
      </c>
      <c r="D87" s="2309">
        <f>D86+1</f>
        <v>50</v>
      </c>
      <c r="E87" s="2163"/>
      <c r="F87" s="2164" t="s">
        <v>1470</v>
      </c>
      <c r="G87" s="2199"/>
      <c r="H87" s="2199"/>
      <c r="I87" s="2199"/>
      <c r="J87" s="2199"/>
      <c r="K87" s="2199"/>
      <c r="L87" s="2199"/>
      <c r="M87" s="2199"/>
      <c r="N87" s="2199"/>
      <c r="O87" s="2199"/>
      <c r="P87" s="2199"/>
      <c r="Q87" s="2199"/>
      <c r="R87" s="2199"/>
      <c r="S87" s="2268" t="s">
        <v>834</v>
      </c>
      <c r="T87" s="2338">
        <f t="shared" si="5"/>
        <v>50</v>
      </c>
      <c r="U87" s="2339"/>
      <c r="V87" s="4598"/>
      <c r="W87" s="4598"/>
      <c r="X87" s="4600"/>
      <c r="Y87" s="4600"/>
      <c r="Z87" s="2337"/>
      <c r="AA87" s="2137"/>
      <c r="AB87" s="58"/>
      <c r="AC87" s="58"/>
      <c r="AD87" s="58"/>
      <c r="AE87" s="58"/>
      <c r="AF87" s="58"/>
      <c r="AG87" s="455"/>
      <c r="AH87" s="952"/>
      <c r="AI87" s="13"/>
      <c r="AJ87" s="13"/>
      <c r="AK87" s="13"/>
      <c r="AL87" s="523"/>
      <c r="AM87" s="4087"/>
      <c r="AN87" s="2117"/>
      <c r="AO87" s="2117"/>
      <c r="AP87" s="2117"/>
      <c r="AQ87" s="4101" t="str">
        <f>IF(AQ86="","",IF(AQ85&gt;=3000,50*AQ86,IF(AQ85&gt;=25,25*AQ86,IF(AQ85&gt;=5,(10*AQ86)-5,AQ85))))</f>
        <v/>
      </c>
      <c r="AR87" s="4514" t="e">
        <f>LOOKUP(AQ87,'Tax Table'!$A$2:$A$2063,'Tax Table'!$C$2:$C$2063)</f>
        <v>#N/A</v>
      </c>
      <c r="AS87" s="4514" t="e">
        <f>LOOKUP(AQ87,'Tax Table'!$A$2:$A$2063,'Tax Table'!$D$2:$D$2063)</f>
        <v>#N/A</v>
      </c>
      <c r="AT87" s="4514" t="e">
        <f>LOOKUP(AQ87,'Tax Table'!$A$2:$A$2063,'Tax Table'!$E$2:$E$2063)</f>
        <v>#N/A</v>
      </c>
      <c r="AU87" s="4514" t="e">
        <f>LOOKUP(AQ87,'Tax Table'!$A$2:$A$2063,'Tax Table'!$F$2:$F$2063)</f>
        <v>#N/A</v>
      </c>
      <c r="AV87" s="4514" t="e">
        <f>IF(AQ84&lt;SectA_a3,"---",IF(AQ84&lt;=SectA_a4,ROUND((AQ84*(SectA_b4/100)-SectA_d4),0),IF(AQ84&lt;=SectA_a5,ROUND((AQ84*(SectA_b5/100)-SectA_d5),0),IF(AQ84&lt;=SectA_a6,ROUND((AQ84*(SectA_b6/100)-SectA_d6),0),ROUND((AQ84*(SectA_b7/100)-SectA_d7),0)))))</f>
        <v>#VALUE!</v>
      </c>
      <c r="AW87" s="4514" t="e">
        <f>IF(AQ84&lt;SectB_a2,"---",IF(AQ84&lt;=SectB_a3,ROUND((AQ84*(SectB_b3/100)-SectB_d3),0),IF(AQ84&lt;=SectB_a4,ROUND((AQ84*(SectB_b4/100)-SectB_d4),0),IF(AQ84&lt;=SectB_a5,ROUND((AQ84*(SectB_b5/100)-SectB_d5),0),IF(AQ84&lt;=SectB_a6,ROUND((AQ84*(SectB_b6/100)-SectB_d6),0),ROUND((AQ84*(SectB_b7/100)-SectB_d7),0))))))</f>
        <v>#VALUE!</v>
      </c>
      <c r="AX87" s="4514" t="e">
        <f>IF(AQ84&lt;SectC_a2,"---",IF(AQ84&lt;=SectC_a3,ROUND((AQ84*(SectC_b3/100)-SectC_d3),0),IF(AQ84&lt;=SectC_a4,ROUND((AQ84*(SectC_b4/100)-SectC_d4),0),IF(AQ84&lt;=SectC_a5,ROUND((AQ84*(SectC_b5/100)-SectC_d5),0),ROUND((AQ84*(SectC_b6/100)-SectC_d6),0)))))</f>
        <v>#VALUE!</v>
      </c>
      <c r="AY87" s="4515" t="e">
        <f>IF(AQ84&lt;SectD_a2,"---",IF(AQ84&lt;=SectD_a3,ROUND((AQ84*(SectD_b3/100)-SectD_d3),0),IF(AQ84&lt;=SectD_a4,ROUND((AQ84*(SectD_b4/100)-SectD_d4),0),IF(AQ84&lt;=SectD_a5,ROUND((AQ84*(SectD_b5/100)-SectD_d5),0),IF(AQ84&lt;=SectD_a6,ROUND((AQ84*(SectD_b6/100)-SectD_d6),0),ROUND((AQ84*(SectD_b7/100)-SectD_d7),0))))))</f>
        <v>#VALUE!</v>
      </c>
      <c r="AZ87" s="2070"/>
      <c r="BA87" s="2070"/>
      <c r="BB87" s="2070"/>
      <c r="BC87" s="2070"/>
      <c r="BD87" s="2070"/>
    </row>
    <row r="88" spans="1:56" ht="13.5" customHeight="1">
      <c r="A88" s="857"/>
      <c r="B88" s="1554"/>
      <c r="C88" s="4689" t="s">
        <v>1038</v>
      </c>
      <c r="D88" s="2309">
        <f>D87+1</f>
        <v>51</v>
      </c>
      <c r="E88" s="2163"/>
      <c r="F88" s="2164" t="s">
        <v>913</v>
      </c>
      <c r="G88" s="2199"/>
      <c r="H88" s="2199"/>
      <c r="I88" s="2199"/>
      <c r="J88" s="2199"/>
      <c r="K88" s="2199"/>
      <c r="L88" s="2199"/>
      <c r="M88" s="2199"/>
      <c r="N88" s="2199"/>
      <c r="O88" s="2199"/>
      <c r="P88" s="2199"/>
      <c r="Q88" s="2199"/>
      <c r="R88" s="2199"/>
      <c r="S88" s="2268" t="s">
        <v>915</v>
      </c>
      <c r="T88" s="2335">
        <f t="shared" si="5"/>
        <v>51</v>
      </c>
      <c r="U88" s="2339"/>
      <c r="V88" s="4598"/>
      <c r="W88" s="4598"/>
      <c r="X88" s="4600"/>
      <c r="Y88" s="4600"/>
      <c r="Z88" s="2337"/>
      <c r="AA88" s="2137"/>
      <c r="AB88" s="1140" t="str">
        <f>IF(AL89&lt;&gt;"","",IF(AND(AL89="",Qual_Child_Count&gt;0,LEFT(Pub_972,6)=" Check"),"See sheet",""))</f>
        <v/>
      </c>
      <c r="AC88" s="58"/>
      <c r="AD88" s="58"/>
      <c r="AE88" s="58"/>
      <c r="AF88" s="58"/>
      <c r="AG88" s="455"/>
      <c r="AH88" s="952"/>
      <c r="AI88" s="13"/>
      <c r="AJ88" s="13"/>
      <c r="AK88" s="13"/>
      <c r="AL88" s="523"/>
      <c r="AM88" s="4087"/>
      <c r="AN88" s="2117"/>
      <c r="AO88" s="2117"/>
      <c r="AP88" s="2117"/>
      <c r="AQ88" s="4102" t="str">
        <f>IF(File_Single&lt;&gt;"",AR87,IF(File_Marr_Joint&lt;&gt;"",AS87,IF(File_Marr_Sep&lt;&gt;"", AT87,IF(File_Head&lt;&gt;"",AU87,IF(File_Qual_Widow&lt;&gt;"",AS87,"Filing status?")))))</f>
        <v>Filing status?</v>
      </c>
      <c r="AR88" s="4099" t="str">
        <f>"&lt;100k"</f>
        <v>&lt;100k</v>
      </c>
      <c r="AS88" s="4103"/>
      <c r="AT88" s="4103"/>
      <c r="AU88" s="4103"/>
      <c r="AV88" s="4103"/>
      <c r="AW88" s="4103"/>
      <c r="AX88" s="4099"/>
      <c r="AY88" s="4100"/>
      <c r="AZ88" s="2070"/>
      <c r="BA88" s="2070"/>
      <c r="BB88" s="2070"/>
      <c r="BC88" s="2070"/>
      <c r="BD88" s="2070"/>
    </row>
    <row r="89" spans="1:56" ht="13.5" customHeight="1" thickBot="1">
      <c r="A89" s="857"/>
      <c r="B89" s="864"/>
      <c r="C89" s="4690"/>
      <c r="D89" s="2309">
        <f>D88+1</f>
        <v>52</v>
      </c>
      <c r="E89" s="2163"/>
      <c r="F89" s="2164" t="s">
        <v>1471</v>
      </c>
      <c r="G89" s="2199"/>
      <c r="H89" s="2199"/>
      <c r="I89" s="2199"/>
      <c r="J89" s="2199"/>
      <c r="K89" s="2199"/>
      <c r="L89" s="2199"/>
      <c r="M89" s="2199"/>
      <c r="N89" s="2199"/>
      <c r="O89" s="2199"/>
      <c r="P89" s="2199"/>
      <c r="Q89" s="2199"/>
      <c r="R89" s="2199"/>
      <c r="S89" s="2268" t="s">
        <v>912</v>
      </c>
      <c r="T89" s="2338">
        <f t="shared" si="5"/>
        <v>52</v>
      </c>
      <c r="U89" s="2339"/>
      <c r="V89" s="4615">
        <f>IF(AL89&lt;&gt;"",AL89,IF(AND(Qual_Child_Count&gt;0,Pub_972&lt;&gt;"Complete."),"",Child_Tax_Credit))</f>
        <v>0</v>
      </c>
      <c r="W89" s="4615"/>
      <c r="X89" s="4617"/>
      <c r="Y89" s="4617"/>
      <c r="Z89" s="2337"/>
      <c r="AA89" s="2137"/>
      <c r="AB89" s="1140" t="str">
        <f>IF(AL89&lt;&gt;"","",IF(AND(AL89="",Qual_Child_Count&gt;0,LEFT(Pub_972,6)=" Check"),"'Line 52' to figure ",""))</f>
        <v/>
      </c>
      <c r="AC89" s="716"/>
      <c r="AD89" s="716"/>
      <c r="AE89" s="716"/>
      <c r="AF89" s="716"/>
      <c r="AG89" s="455"/>
      <c r="AH89" s="952"/>
      <c r="AI89" s="13"/>
      <c r="AJ89" s="13"/>
      <c r="AK89" s="13"/>
      <c r="AL89" s="522"/>
      <c r="AM89" s="2070"/>
      <c r="AN89" s="2117"/>
      <c r="AO89" s="2117"/>
      <c r="AP89" s="2117"/>
      <c r="AQ89" s="4104" t="str">
        <f>IF(File_Single&lt;&gt;"",AV87,IF(OR(File_Marr_Joint&lt;&gt;"",File_Qual_Widow&lt;&gt;""),AW87,IF(File_Marr_Sep&lt;&gt;"", AX87,IF(File_Head&lt;&gt;"",AY87,"Filing status?"))))</f>
        <v>Filing status?</v>
      </c>
      <c r="AR89" s="4105" t="str">
        <f>"&gt;=100k"</f>
        <v>&gt;=100k</v>
      </c>
      <c r="AS89" s="4105"/>
      <c r="AT89" s="4105"/>
      <c r="AU89" s="4105"/>
      <c r="AV89" s="4105"/>
      <c r="AW89" s="4105"/>
      <c r="AX89" s="4105"/>
      <c r="AY89" s="4106"/>
      <c r="AZ89" s="2070"/>
      <c r="BA89" s="2070"/>
      <c r="BB89" s="2070"/>
      <c r="BC89" s="2070"/>
      <c r="BD89" s="2070"/>
    </row>
    <row r="90" spans="1:56" ht="13.5" customHeight="1">
      <c r="A90" s="857"/>
      <c r="B90" s="1554"/>
      <c r="C90" s="1556">
        <v>12600</v>
      </c>
      <c r="D90" s="2309">
        <f t="shared" si="3"/>
        <v>53</v>
      </c>
      <c r="E90" s="2163"/>
      <c r="F90" s="2164" t="s">
        <v>822</v>
      </c>
      <c r="G90" s="2164"/>
      <c r="H90" s="2164"/>
      <c r="I90" s="2164"/>
      <c r="J90" s="2164"/>
      <c r="K90" s="2164"/>
      <c r="L90" s="2164"/>
      <c r="M90" s="2164"/>
      <c r="N90" s="2164"/>
      <c r="O90" s="2164"/>
      <c r="P90" s="2164"/>
      <c r="Q90" s="2164"/>
      <c r="R90" s="2164"/>
      <c r="S90" s="2268" t="s">
        <v>1472</v>
      </c>
      <c r="T90" s="2338">
        <f t="shared" si="5"/>
        <v>53</v>
      </c>
      <c r="U90" s="2339"/>
      <c r="V90" s="4598"/>
      <c r="W90" s="4598"/>
      <c r="X90" s="4600"/>
      <c r="Y90" s="4600"/>
      <c r="Z90" s="2337"/>
      <c r="AA90" s="2137"/>
      <c r="AB90" s="1140" t="str">
        <f>IF(AL89&lt;&gt;"","",IF(AND(AL89="",Qual_Child_Count&gt;0,LEFT(Pub_972,6)=" Check"),"child tax credit.",""))</f>
        <v/>
      </c>
      <c r="AC90" s="58"/>
      <c r="AD90" s="58"/>
      <c r="AE90" s="58"/>
      <c r="AF90" s="58"/>
      <c r="AG90" s="455"/>
      <c r="AH90" s="952"/>
      <c r="AI90" s="13"/>
      <c r="AJ90" s="13"/>
      <c r="AK90" s="13"/>
      <c r="AL90" s="523"/>
      <c r="AM90" s="2070"/>
      <c r="AN90" s="2117"/>
      <c r="AO90" s="2117"/>
      <c r="AP90" s="2117"/>
      <c r="AQ90" s="4087"/>
      <c r="AR90" s="4087"/>
      <c r="AS90" s="4087"/>
      <c r="AT90" s="4087"/>
      <c r="AU90" s="4087"/>
      <c r="AV90" s="4059"/>
      <c r="AW90" s="4059"/>
      <c r="AX90" s="4059"/>
      <c r="AY90" s="4087"/>
      <c r="AZ90" s="2070"/>
      <c r="BA90" s="2070"/>
      <c r="BB90" s="2070"/>
      <c r="BC90" s="2070"/>
      <c r="BD90" s="2070"/>
    </row>
    <row r="91" spans="1:56" ht="13.5" customHeight="1">
      <c r="A91" s="857"/>
      <c r="B91" s="1553"/>
      <c r="C91" s="4701" t="s">
        <v>439</v>
      </c>
      <c r="D91" s="2309">
        <f t="shared" si="3"/>
        <v>54</v>
      </c>
      <c r="E91" s="2163"/>
      <c r="F91" s="2154" t="s">
        <v>2095</v>
      </c>
      <c r="G91" s="2164"/>
      <c r="H91" s="2319"/>
      <c r="I91" s="2319"/>
      <c r="J91" s="2319"/>
      <c r="K91" s="2124"/>
      <c r="L91" s="2340" t="s">
        <v>2188</v>
      </c>
      <c r="M91" s="2340"/>
      <c r="N91" s="2124"/>
      <c r="O91" s="4691" t="s">
        <v>916</v>
      </c>
      <c r="P91" s="4692"/>
      <c r="Q91" s="2124"/>
      <c r="R91" s="4693"/>
      <c r="S91" s="4694"/>
      <c r="T91" s="2338">
        <f t="shared" si="5"/>
        <v>54</v>
      </c>
      <c r="U91" s="2339"/>
      <c r="V91" s="4598"/>
      <c r="W91" s="4598"/>
      <c r="X91" s="4600"/>
      <c r="Y91" s="4600"/>
      <c r="Z91" s="2337"/>
      <c r="AA91" s="2137"/>
      <c r="AB91" s="1140"/>
      <c r="AC91" s="58"/>
      <c r="AD91" s="58"/>
      <c r="AE91" s="58"/>
      <c r="AF91" s="58"/>
      <c r="AG91" s="455"/>
      <c r="AH91" s="952"/>
      <c r="AI91" s="13"/>
      <c r="AJ91" s="13"/>
      <c r="AK91" s="13"/>
      <c r="AL91" s="523"/>
      <c r="AM91" s="2070"/>
      <c r="AN91" s="2117"/>
      <c r="AO91" s="2117"/>
      <c r="AP91" s="2117"/>
      <c r="AQ91" s="2399"/>
      <c r="AR91" s="2399" t="str">
        <f>IF(File_Single&lt;&gt;"","Single",IF(File_Marr_Joint&lt;&gt;"","MFJ",IF(File_Marr_Sep&lt;&gt;"", "MFS",IF(File_Head&lt;&gt;"","HOH",IF(File_Qual_Widow&lt;&gt;"","QWidow(er)","Filing status?")))))</f>
        <v>Filing status?</v>
      </c>
      <c r="AS91" s="2399"/>
      <c r="AT91" s="2399"/>
      <c r="AU91" s="2399"/>
      <c r="AV91" s="4107" t="s">
        <v>61</v>
      </c>
      <c r="AW91" s="4107" t="s">
        <v>84</v>
      </c>
      <c r="AX91" s="4107" t="s">
        <v>151</v>
      </c>
      <c r="AY91" s="2399"/>
      <c r="AZ91" s="2070"/>
      <c r="BA91" s="2070"/>
      <c r="BB91" s="2070"/>
      <c r="BC91" s="2070"/>
      <c r="BD91" s="2070"/>
    </row>
    <row r="92" spans="1:56" ht="13.5" customHeight="1">
      <c r="A92" s="857"/>
      <c r="B92" s="864"/>
      <c r="C92" s="4688"/>
      <c r="D92" s="2309">
        <f t="shared" si="3"/>
        <v>55</v>
      </c>
      <c r="E92" s="2311"/>
      <c r="F92" s="2164" t="str">
        <f>"Add lines "&amp;T85&amp;" through "&amp;T91&amp;"."</f>
        <v>Add lines 48 through 54.</v>
      </c>
      <c r="G92" s="2155"/>
      <c r="H92" s="2155"/>
      <c r="I92" s="2155"/>
      <c r="J92" s="2155"/>
      <c r="K92" s="2155"/>
      <c r="L92" s="2155"/>
      <c r="M92" s="2155"/>
      <c r="N92" s="2164" t="s">
        <v>49</v>
      </c>
      <c r="O92" s="2259"/>
      <c r="P92" s="2259"/>
      <c r="Q92" s="2259"/>
      <c r="R92" s="2259"/>
      <c r="S92" s="2259"/>
      <c r="T92" s="2341"/>
      <c r="U92" s="2341"/>
      <c r="V92" s="2341"/>
      <c r="W92" s="2341"/>
      <c r="X92" s="2341"/>
      <c r="Y92" s="2342"/>
      <c r="Z92" s="2343"/>
      <c r="AA92" s="2252">
        <f>D92</f>
        <v>55</v>
      </c>
      <c r="AB92" s="4665">
        <f>IF(AL92&lt;&gt;"",AL92,ROUND(SUM(V85:V91),0))</f>
        <v>0</v>
      </c>
      <c r="AC92" s="4666"/>
      <c r="AD92" s="4666"/>
      <c r="AE92" s="4666"/>
      <c r="AF92" s="4666"/>
      <c r="AG92" s="457"/>
      <c r="AH92" s="952"/>
      <c r="AI92" s="13"/>
      <c r="AJ92" s="13"/>
      <c r="AK92" s="13"/>
      <c r="AL92" s="522"/>
      <c r="AM92" s="2070"/>
      <c r="AN92" s="2117"/>
      <c r="AO92" s="2117"/>
      <c r="AP92" s="2117"/>
      <c r="AQ92" s="2117"/>
      <c r="AR92" s="2117"/>
      <c r="AS92" s="2117"/>
      <c r="AT92" s="2117"/>
      <c r="AU92" s="2070"/>
      <c r="AV92" s="2611" t="s">
        <v>887</v>
      </c>
      <c r="AW92" s="2117"/>
      <c r="AX92" s="2117"/>
      <c r="AY92" s="2399"/>
      <c r="AZ92" s="2070"/>
      <c r="BA92" s="2070"/>
      <c r="BB92" s="2070"/>
      <c r="BC92" s="2070"/>
      <c r="BD92" s="2070"/>
    </row>
    <row r="93" spans="1:56" ht="13.5" customHeight="1">
      <c r="A93" s="857"/>
      <c r="B93" s="1555"/>
      <c r="C93" s="1557">
        <v>9300</v>
      </c>
      <c r="D93" s="2312">
        <f t="shared" ref="D93:D103" si="6">D92+1</f>
        <v>56</v>
      </c>
      <c r="E93" s="2169"/>
      <c r="F93" s="2170" t="str">
        <f>"Subtract line "&amp;AA92&amp;" from line "&amp;AA84&amp;". If line "&amp;AA92&amp;" is more than line "&amp;AA84&amp;", enter -0 -"</f>
        <v>Subtract line 55 from line 47. If line 55 is more than line 47, enter -0 -</v>
      </c>
      <c r="G93" s="2171"/>
      <c r="H93" s="2171"/>
      <c r="I93" s="2171"/>
      <c r="J93" s="2171"/>
      <c r="K93" s="2171"/>
      <c r="L93" s="2171"/>
      <c r="M93" s="2171"/>
      <c r="N93" s="2171"/>
      <c r="O93" s="2277"/>
      <c r="P93" s="2277"/>
      <c r="Q93" s="2277"/>
      <c r="R93" s="2277"/>
      <c r="S93" s="2277"/>
      <c r="T93" s="2277"/>
      <c r="U93" s="2277"/>
      <c r="V93" s="2277"/>
      <c r="W93" s="2277"/>
      <c r="X93" s="2277"/>
      <c r="Y93" s="2344" t="s">
        <v>858</v>
      </c>
      <c r="Z93" s="2344"/>
      <c r="AA93" s="2252">
        <f t="shared" ref="AA93:AA101" si="7">D93</f>
        <v>56</v>
      </c>
      <c r="AB93" s="4665">
        <f>IF(AL93&lt;&gt;"",AL93,IF(AB92&gt;F1040_Line47,0,ROUND(SUM(F1040_Line47,-AB92),0)))</f>
        <v>0</v>
      </c>
      <c r="AC93" s="4666"/>
      <c r="AD93" s="4666"/>
      <c r="AE93" s="4666"/>
      <c r="AF93" s="4666"/>
      <c r="AG93" s="457"/>
      <c r="AH93" s="952"/>
      <c r="AI93" s="13"/>
      <c r="AJ93" s="13"/>
      <c r="AK93" s="13"/>
      <c r="AL93" s="522"/>
      <c r="AM93" s="2070"/>
      <c r="AN93" s="4059"/>
      <c r="AO93" s="4059"/>
      <c r="AP93" s="4059"/>
      <c r="AQ93" s="4059"/>
      <c r="AR93" s="4059"/>
      <c r="AS93" s="4059"/>
      <c r="AT93" s="4059"/>
      <c r="AU93" s="3363">
        <v>1</v>
      </c>
      <c r="AV93" s="4108" t="s">
        <v>1608</v>
      </c>
      <c r="AW93" s="3161"/>
      <c r="AX93" s="4109"/>
      <c r="AY93" s="2399"/>
      <c r="AZ93" s="2070"/>
      <c r="BA93" s="2070"/>
      <c r="BB93" s="2070"/>
      <c r="BC93" s="2070"/>
      <c r="BD93" s="2070"/>
    </row>
    <row r="94" spans="1:56" ht="13.5" customHeight="1">
      <c r="A94" s="857"/>
      <c r="B94" s="389"/>
      <c r="C94" s="543"/>
      <c r="D94" s="2313">
        <f t="shared" si="6"/>
        <v>57</v>
      </c>
      <c r="E94" s="2314"/>
      <c r="F94" s="2315" t="s">
        <v>115</v>
      </c>
      <c r="G94" s="2316"/>
      <c r="H94" s="2316"/>
      <c r="I94" s="2316"/>
      <c r="J94" s="2316"/>
      <c r="K94" s="2316"/>
      <c r="L94" s="2316"/>
      <c r="M94" s="2316"/>
      <c r="N94" s="2316"/>
      <c r="O94" s="2316"/>
      <c r="P94" s="2316"/>
      <c r="Q94" s="2316"/>
      <c r="R94" s="2316"/>
      <c r="S94" s="2316"/>
      <c r="T94" s="2341"/>
      <c r="U94" s="2350"/>
      <c r="V94" s="2341"/>
      <c r="W94" s="2341"/>
      <c r="X94" s="2341"/>
      <c r="Y94" s="2351"/>
      <c r="Z94" s="2343"/>
      <c r="AA94" s="2252">
        <f t="shared" si="7"/>
        <v>57</v>
      </c>
      <c r="AB94" s="4643">
        <f>IF(AL94&lt;&gt;"",ROUND(AL94,0),SE_Tax)</f>
        <v>0</v>
      </c>
      <c r="AC94" s="4644"/>
      <c r="AD94" s="4644"/>
      <c r="AE94" s="4644"/>
      <c r="AF94" s="4644"/>
      <c r="AG94" s="457"/>
      <c r="AH94" s="952"/>
      <c r="AI94" s="13"/>
      <c r="AJ94" s="13"/>
      <c r="AK94" s="13"/>
      <c r="AL94" s="522"/>
      <c r="AM94" s="2070"/>
      <c r="AN94" s="2117"/>
      <c r="AO94" s="2117"/>
      <c r="AP94" s="2117"/>
      <c r="AQ94" s="4059"/>
      <c r="AR94" s="4059"/>
      <c r="AS94" s="4059"/>
      <c r="AT94" s="4059"/>
      <c r="AU94" s="3363">
        <v>2</v>
      </c>
      <c r="AV94" s="4110" t="s">
        <v>1609</v>
      </c>
      <c r="AW94" s="2399"/>
      <c r="AX94" s="2108"/>
      <c r="AY94" s="2399"/>
      <c r="AZ94" s="2070"/>
      <c r="BA94" s="2070"/>
      <c r="BB94" s="2070"/>
      <c r="BC94" s="2070"/>
      <c r="BD94" s="2070"/>
    </row>
    <row r="95" spans="1:56" ht="13.5" customHeight="1">
      <c r="A95" s="857"/>
      <c r="B95" s="389"/>
      <c r="C95" s="655" t="s">
        <v>645</v>
      </c>
      <c r="D95" s="2152">
        <f t="shared" si="6"/>
        <v>58</v>
      </c>
      <c r="E95" s="2153"/>
      <c r="F95" s="2164" t="s">
        <v>831</v>
      </c>
      <c r="G95" s="2316"/>
      <c r="H95" s="2316"/>
      <c r="I95" s="2316"/>
      <c r="J95" s="2316"/>
      <c r="K95" s="2316"/>
      <c r="L95" s="2316"/>
      <c r="M95" s="2316"/>
      <c r="N95" s="2316"/>
      <c r="O95" s="2316"/>
      <c r="P95" s="2316"/>
      <c r="Q95" s="2316"/>
      <c r="R95" s="2347" t="s">
        <v>61</v>
      </c>
      <c r="S95" s="2124"/>
      <c r="T95" s="2352" t="str">
        <f>"4137"</f>
        <v>4137</v>
      </c>
      <c r="U95" s="2353" t="s">
        <v>84</v>
      </c>
      <c r="V95" s="2124"/>
      <c r="W95" s="2316" t="str">
        <f>"8919"</f>
        <v>8919</v>
      </c>
      <c r="X95" s="2316"/>
      <c r="Y95" s="2355"/>
      <c r="Z95" s="2355"/>
      <c r="AA95" s="2252">
        <f t="shared" si="7"/>
        <v>58</v>
      </c>
      <c r="AB95" s="4641"/>
      <c r="AC95" s="4642"/>
      <c r="AD95" s="4642"/>
      <c r="AE95" s="4642"/>
      <c r="AF95" s="4642"/>
      <c r="AG95" s="463"/>
      <c r="AH95" s="952"/>
      <c r="AI95" s="13"/>
      <c r="AJ95" s="13"/>
      <c r="AK95" s="13"/>
      <c r="AL95" s="523"/>
      <c r="AM95" s="2070"/>
      <c r="AN95" s="2117"/>
      <c r="AO95" s="2117"/>
      <c r="AP95" s="2117"/>
      <c r="AQ95" s="4059">
        <v>99999</v>
      </c>
      <c r="AR95" s="4059">
        <f>AX95</f>
        <v>0</v>
      </c>
      <c r="AS95" s="4111">
        <f>AW95/100</f>
        <v>0</v>
      </c>
      <c r="AT95" s="4112" t="s">
        <v>1395</v>
      </c>
      <c r="AU95" s="3363">
        <v>3</v>
      </c>
      <c r="AV95" s="4113">
        <v>100000</v>
      </c>
      <c r="AW95" s="2399"/>
      <c r="AX95" s="2108"/>
      <c r="AY95" s="2399"/>
      <c r="AZ95" s="2070"/>
      <c r="BA95" s="2070"/>
      <c r="BB95" s="2070"/>
      <c r="BC95" s="2070"/>
      <c r="BD95" s="2070"/>
    </row>
    <row r="96" spans="1:56" ht="13.5" customHeight="1">
      <c r="A96" s="857"/>
      <c r="B96" s="389"/>
      <c r="C96" s="655" t="str">
        <f>IF(AI96="","Taxes","Taxes    No")</f>
        <v>Taxes</v>
      </c>
      <c r="D96" s="2152">
        <f t="shared" si="6"/>
        <v>59</v>
      </c>
      <c r="E96" s="2163"/>
      <c r="F96" s="3366" t="s">
        <v>11</v>
      </c>
      <c r="G96" s="2316"/>
      <c r="H96" s="2316"/>
      <c r="I96" s="2316"/>
      <c r="J96" s="2316"/>
      <c r="K96" s="2316"/>
      <c r="L96" s="2316"/>
      <c r="M96" s="2316"/>
      <c r="N96" s="2316"/>
      <c r="O96" s="2316"/>
      <c r="P96" s="2316"/>
      <c r="Q96" s="2316"/>
      <c r="R96" s="2316"/>
      <c r="S96" s="2316"/>
      <c r="T96" s="2316"/>
      <c r="U96" s="2316"/>
      <c r="V96" s="2316"/>
      <c r="W96" s="2316"/>
      <c r="X96" s="2316"/>
      <c r="Y96" s="2316"/>
      <c r="Z96" s="2316"/>
      <c r="AA96" s="2252">
        <f t="shared" si="7"/>
        <v>59</v>
      </c>
      <c r="AB96" s="4641"/>
      <c r="AC96" s="4642"/>
      <c r="AD96" s="4642"/>
      <c r="AE96" s="4642"/>
      <c r="AF96" s="4642"/>
      <c r="AG96" s="463"/>
      <c r="AH96" s="1458" t="b">
        <f>IF(AB96=0,FALSE,IF(AB96&lt;&gt;"",TRUE,FALSE))</f>
        <v>0</v>
      </c>
      <c r="AI96" s="1461"/>
      <c r="AJ96" s="4580" t="s">
        <v>2452</v>
      </c>
      <c r="AK96" s="4580"/>
      <c r="AL96" s="523"/>
      <c r="AM96" s="2070"/>
      <c r="AN96" s="2117"/>
      <c r="AO96" s="2117"/>
      <c r="AP96" s="2117"/>
      <c r="AQ96" s="4059">
        <v>100000</v>
      </c>
      <c r="AR96" s="4059">
        <f>AX96</f>
        <v>6963.25</v>
      </c>
      <c r="AS96" s="4111">
        <f>AW96/100</f>
        <v>0.28000000000000003</v>
      </c>
      <c r="AT96" s="4059">
        <f>ROUND((AQ96*SectA_b4/100)-SectA_d4,0)</f>
        <v>21037</v>
      </c>
      <c r="AU96" s="3363">
        <v>4</v>
      </c>
      <c r="AV96" s="4113">
        <v>190150</v>
      </c>
      <c r="AW96" s="2399">
        <v>28</v>
      </c>
      <c r="AX96" s="2108">
        <v>6963.25</v>
      </c>
      <c r="AY96" s="2399"/>
      <c r="AZ96" s="2070"/>
      <c r="BA96" s="2070"/>
      <c r="BB96" s="2070"/>
      <c r="BC96" s="2070"/>
      <c r="BD96" s="2070"/>
    </row>
    <row r="97" spans="1:56" ht="13.5" customHeight="1">
      <c r="A97" s="857"/>
      <c r="B97" s="389"/>
      <c r="C97" s="1456"/>
      <c r="D97" s="2152">
        <f t="shared" si="6"/>
        <v>60</v>
      </c>
      <c r="E97" s="2209" t="s">
        <v>61</v>
      </c>
      <c r="F97" s="2164" t="s">
        <v>1029</v>
      </c>
      <c r="G97" s="2316"/>
      <c r="H97" s="2316"/>
      <c r="I97" s="2320"/>
      <c r="J97" s="2321"/>
      <c r="K97" s="2213"/>
      <c r="L97" s="2213"/>
      <c r="M97" s="2213"/>
      <c r="N97" s="2213"/>
      <c r="O97" s="2348"/>
      <c r="P97" s="2348"/>
      <c r="Q97" s="2349"/>
      <c r="R97" s="2213"/>
      <c r="S97" s="2213"/>
      <c r="T97" s="2354"/>
      <c r="U97" s="2349"/>
      <c r="V97" s="4584" t="str">
        <f>IF(AND(U99="",AI99=""),"Check box to indicate full-year coverage.","")</f>
        <v>Check box to indicate full-year coverage.</v>
      </c>
      <c r="W97" s="4585"/>
      <c r="X97" s="4585"/>
      <c r="Y97" s="4585"/>
      <c r="Z97" s="2316"/>
      <c r="AA97" s="2346" t="str">
        <f>TEXT(D97,"0")&amp;E97</f>
        <v>60a</v>
      </c>
      <c r="AB97" s="4641"/>
      <c r="AC97" s="4642"/>
      <c r="AD97" s="4642"/>
      <c r="AE97" s="4642"/>
      <c r="AF97" s="4642"/>
      <c r="AG97" s="463"/>
      <c r="AH97" s="952"/>
      <c r="AI97" s="4580" t="s">
        <v>507</v>
      </c>
      <c r="AJ97" s="4580"/>
      <c r="AK97" s="4580"/>
      <c r="AL97" s="523"/>
      <c r="AM97" s="2070"/>
      <c r="AN97" s="2117"/>
      <c r="AO97" s="2117"/>
      <c r="AP97" s="2117"/>
      <c r="AQ97" s="4059">
        <v>184000</v>
      </c>
      <c r="AR97" s="4059">
        <f>AX97</f>
        <v>16470.75</v>
      </c>
      <c r="AS97" s="4111">
        <f>AW97/100</f>
        <v>0.33</v>
      </c>
      <c r="AT97" s="4059">
        <f>ROUND((AQ97*SectA_b5/100)-SectA_d5,0)</f>
        <v>44249</v>
      </c>
      <c r="AU97" s="3363">
        <v>5</v>
      </c>
      <c r="AV97" s="4113">
        <v>413350</v>
      </c>
      <c r="AW97" s="2399">
        <v>33</v>
      </c>
      <c r="AX97" s="4114">
        <v>16470.75</v>
      </c>
      <c r="AY97" s="2399"/>
      <c r="AZ97" s="2070"/>
      <c r="BA97" s="2070"/>
      <c r="BB97" s="2070"/>
      <c r="BC97" s="2070"/>
      <c r="BD97" s="2070"/>
    </row>
    <row r="98" spans="1:56" ht="13.5" customHeight="1">
      <c r="A98" s="857"/>
      <c r="B98" s="389"/>
      <c r="C98" s="1456"/>
      <c r="D98" s="2152"/>
      <c r="E98" s="2209" t="s">
        <v>84</v>
      </c>
      <c r="F98" s="2164" t="s">
        <v>1030</v>
      </c>
      <c r="G98" s="2316"/>
      <c r="H98" s="2316"/>
      <c r="I98" s="2320"/>
      <c r="J98" s="2321"/>
      <c r="K98" s="2213"/>
      <c r="L98" s="2213"/>
      <c r="M98" s="2213"/>
      <c r="N98" s="2213"/>
      <c r="O98" s="2348"/>
      <c r="P98" s="2348"/>
      <c r="Q98" s="2349"/>
      <c r="R98" s="2213"/>
      <c r="S98" s="2213"/>
      <c r="T98" s="2354"/>
      <c r="U98" s="2349"/>
      <c r="V98" s="4585"/>
      <c r="W98" s="4585"/>
      <c r="X98" s="4585"/>
      <c r="Y98" s="4585"/>
      <c r="Z98" s="2316"/>
      <c r="AA98" s="2346" t="str">
        <f>TEXT(D97,"0")&amp;E98</f>
        <v>60b</v>
      </c>
      <c r="AB98" s="4641"/>
      <c r="AC98" s="4642"/>
      <c r="AD98" s="4642"/>
      <c r="AE98" s="4642"/>
      <c r="AF98" s="4642"/>
      <c r="AG98" s="463"/>
      <c r="AH98" s="952"/>
      <c r="AI98" s="4580" t="s">
        <v>281</v>
      </c>
      <c r="AJ98" s="4580"/>
      <c r="AK98" s="4580"/>
      <c r="AL98" s="523"/>
      <c r="AM98" s="2070"/>
      <c r="AN98" s="2117"/>
      <c r="AO98" s="2117"/>
      <c r="AP98" s="2117"/>
      <c r="AQ98" s="4059">
        <v>399000</v>
      </c>
      <c r="AR98" s="4059">
        <f>AX98</f>
        <v>24737.75</v>
      </c>
      <c r="AS98" s="4111">
        <f>AW98/100</f>
        <v>0.35</v>
      </c>
      <c r="AT98" s="4059">
        <f>ROUND((AQ98*SectA_b6/100)-SectA_d6,0)</f>
        <v>114912</v>
      </c>
      <c r="AU98" s="3363">
        <v>6</v>
      </c>
      <c r="AV98" s="4113">
        <v>415050</v>
      </c>
      <c r="AW98" s="2399">
        <v>35</v>
      </c>
      <c r="AX98" s="2108">
        <v>24737.75</v>
      </c>
      <c r="AY98" s="2399"/>
      <c r="AZ98" s="2070"/>
      <c r="BA98" s="2070"/>
      <c r="BB98" s="2070"/>
      <c r="BC98" s="2070"/>
      <c r="BD98" s="2070"/>
    </row>
    <row r="99" spans="1:56" ht="12.75" customHeight="1">
      <c r="A99" s="857"/>
      <c r="B99" s="389"/>
      <c r="C99" s="1456"/>
      <c r="D99" s="2152">
        <f>D97+1</f>
        <v>61</v>
      </c>
      <c r="E99" s="2209"/>
      <c r="F99" s="2164" t="s">
        <v>2096</v>
      </c>
      <c r="G99" s="2164"/>
      <c r="H99" s="2164"/>
      <c r="I99" s="2164"/>
      <c r="J99" s="2164"/>
      <c r="K99" s="2164"/>
      <c r="L99" s="2164"/>
      <c r="M99" s="2164"/>
      <c r="N99" s="2164"/>
      <c r="O99" s="2164"/>
      <c r="P99" s="2164"/>
      <c r="Q99" s="2164" t="s">
        <v>2097</v>
      </c>
      <c r="R99" s="2164"/>
      <c r="S99" s="2164"/>
      <c r="T99" s="2164"/>
      <c r="U99" s="2124"/>
      <c r="V99" s="4585"/>
      <c r="W99" s="4585"/>
      <c r="X99" s="4585"/>
      <c r="Y99" s="4585"/>
      <c r="Z99" s="2316"/>
      <c r="AA99" s="2346" t="str">
        <f>TEXT(D99,"0")&amp;E99</f>
        <v>61</v>
      </c>
      <c r="AB99" s="4641"/>
      <c r="AC99" s="4642"/>
      <c r="AD99" s="4642"/>
      <c r="AE99" s="4642"/>
      <c r="AF99" s="4642"/>
      <c r="AG99" s="463"/>
      <c r="AH99" s="952"/>
      <c r="AI99" s="3619"/>
      <c r="AJ99" s="4577" t="s">
        <v>3340</v>
      </c>
      <c r="AK99" s="4578"/>
      <c r="AL99" s="523"/>
      <c r="AM99" s="4128" t="str">
        <f>IF(AI99&lt;&gt;"","See Form 8965.","")</f>
        <v/>
      </c>
      <c r="AN99" s="2117"/>
      <c r="AO99" s="2117"/>
      <c r="AP99" s="2117"/>
      <c r="AQ99" s="4059">
        <v>555555</v>
      </c>
      <c r="AR99" s="4059">
        <f>AX99</f>
        <v>43830.05</v>
      </c>
      <c r="AS99" s="4111">
        <f>AW99/100</f>
        <v>0.39600000000000002</v>
      </c>
      <c r="AT99" s="4059">
        <f>ROUND((AQ99*SectA_b7/100)-SectA_d7,0)</f>
        <v>176170</v>
      </c>
      <c r="AU99" s="3363">
        <v>7</v>
      </c>
      <c r="AV99" s="4115"/>
      <c r="AW99" s="3132">
        <v>39.6</v>
      </c>
      <c r="AX99" s="4116">
        <v>43830.05</v>
      </c>
      <c r="AY99" s="2399"/>
      <c r="AZ99" s="2070"/>
      <c r="BA99" s="2070"/>
      <c r="BB99" s="2070"/>
      <c r="BC99" s="2070"/>
      <c r="BD99" s="2070"/>
    </row>
    <row r="100" spans="1:56" ht="13.5" customHeight="1">
      <c r="A100" s="857"/>
      <c r="B100" s="389"/>
      <c r="C100" s="1456"/>
      <c r="D100" s="2152">
        <f>D99+1</f>
        <v>62</v>
      </c>
      <c r="E100" s="2209"/>
      <c r="F100" s="2164" t="s">
        <v>3017</v>
      </c>
      <c r="G100" s="2316"/>
      <c r="H100" s="2857" t="str">
        <f>IF(OR(AI101=0,AI101=""),"","X")</f>
        <v/>
      </c>
      <c r="I100" s="2650" t="s">
        <v>3016</v>
      </c>
      <c r="J100" s="2321"/>
      <c r="K100" s="2213"/>
      <c r="L100" s="2857" t="str">
        <f>IF(OR(AI102="",AI102=0),"","X")</f>
        <v/>
      </c>
      <c r="M100" s="2651" t="s">
        <v>1585</v>
      </c>
      <c r="N100" s="2124"/>
      <c r="O100" s="2647" t="s">
        <v>1586</v>
      </c>
      <c r="P100" s="2213"/>
      <c r="Q100" s="2213"/>
      <c r="R100" s="2213"/>
      <c r="S100" s="2213"/>
      <c r="T100" s="2213"/>
      <c r="U100" s="4638"/>
      <c r="V100" s="4639"/>
      <c r="W100" s="4640"/>
      <c r="X100" s="4640"/>
      <c r="Y100" s="4640"/>
      <c r="Z100" s="2316"/>
      <c r="AA100" s="2346" t="str">
        <f>TEXT(D100,"0")&amp;E100</f>
        <v>62</v>
      </c>
      <c r="AB100" s="4643">
        <f>IF(AL100&lt;&gt;"",AL100,SUM(AI101,AI102))</f>
        <v>0</v>
      </c>
      <c r="AC100" s="4644"/>
      <c r="AD100" s="4644"/>
      <c r="AE100" s="4644"/>
      <c r="AF100" s="4644"/>
      <c r="AG100" s="463"/>
      <c r="AH100" s="952"/>
      <c r="AI100" s="4574" t="s">
        <v>3341</v>
      </c>
      <c r="AJ100" s="4575"/>
      <c r="AK100" s="4576"/>
      <c r="AL100" s="522"/>
      <c r="AM100" s="2070"/>
      <c r="AN100" s="2117"/>
      <c r="AO100" s="2117"/>
      <c r="AP100" s="2117"/>
      <c r="AQ100" s="2117"/>
      <c r="AR100" s="2117"/>
      <c r="AS100" s="2117"/>
      <c r="AT100" s="2117"/>
      <c r="AU100" s="2117"/>
      <c r="AV100" s="2117"/>
      <c r="AW100" s="2117"/>
      <c r="AX100" s="2117"/>
      <c r="AY100" s="2399"/>
      <c r="AZ100" s="2070"/>
      <c r="BA100" s="2070"/>
      <c r="BB100" s="2070"/>
      <c r="BC100" s="2070"/>
      <c r="BD100" s="2070"/>
    </row>
    <row r="101" spans="1:56" ht="12.75" customHeight="1">
      <c r="A101" s="857"/>
      <c r="B101" s="862"/>
      <c r="C101" s="63"/>
      <c r="D101" s="2168">
        <f>D100+1</f>
        <v>63</v>
      </c>
      <c r="E101" s="2169"/>
      <c r="F101" s="2170" t="str">
        <f>"Add lines "&amp;D93&amp;" through "&amp;D100&amp;"."</f>
        <v>Add lines 56 through 62.</v>
      </c>
      <c r="G101" s="2317"/>
      <c r="H101" s="2317"/>
      <c r="I101" s="2317"/>
      <c r="J101" s="2317"/>
      <c r="K101" s="2317" t="s">
        <v>1031</v>
      </c>
      <c r="L101" s="2317"/>
      <c r="M101" s="2317"/>
      <c r="N101" s="2317"/>
      <c r="O101" s="2317"/>
      <c r="P101" s="2317"/>
      <c r="Q101" s="2317"/>
      <c r="R101" s="2317"/>
      <c r="S101" s="2356"/>
      <c r="T101" s="2356"/>
      <c r="U101" s="2356"/>
      <c r="V101" s="2356"/>
      <c r="W101" s="2356"/>
      <c r="X101" s="2356"/>
      <c r="Y101" s="2331"/>
      <c r="Z101" s="2344" t="s">
        <v>1032</v>
      </c>
      <c r="AA101" s="2252">
        <f t="shared" si="7"/>
        <v>63</v>
      </c>
      <c r="AB101" s="4643">
        <f>IF(AL101&lt;&gt;"",AL101,ROUND(SUM(AB93:AB100),0))</f>
        <v>0</v>
      </c>
      <c r="AC101" s="4644"/>
      <c r="AD101" s="4644"/>
      <c r="AE101" s="4644"/>
      <c r="AF101" s="4644"/>
      <c r="AG101" s="463"/>
      <c r="AH101" s="952"/>
      <c r="AI101" s="4579">
        <f>IF(ISERROR(F8959_Tax),0,F8959_Tax)</f>
        <v>0</v>
      </c>
      <c r="AJ101" s="4579"/>
      <c r="AK101" s="4579"/>
      <c r="AL101" s="522"/>
      <c r="AM101" s="2070"/>
      <c r="AN101" s="2117"/>
      <c r="AO101" s="2117"/>
      <c r="AP101" s="2117"/>
      <c r="AQ101" s="2117"/>
      <c r="AR101" s="2117"/>
      <c r="AS101" s="2117"/>
      <c r="AT101" s="2117"/>
      <c r="AU101" s="2117"/>
      <c r="AV101" s="4107" t="s">
        <v>61</v>
      </c>
      <c r="AW101" s="4107" t="s">
        <v>84</v>
      </c>
      <c r="AX101" s="4107" t="s">
        <v>151</v>
      </c>
      <c r="AY101" s="2399"/>
      <c r="AZ101" s="2070"/>
      <c r="BA101" s="2070"/>
      <c r="BB101" s="2070"/>
      <c r="BC101" s="2070"/>
      <c r="BD101" s="2070"/>
    </row>
    <row r="102" spans="1:56" ht="12.75" customHeight="1">
      <c r="A102" s="857"/>
      <c r="B102" s="389"/>
      <c r="C102" s="466" t="s">
        <v>312</v>
      </c>
      <c r="D102" s="2152">
        <f t="shared" si="6"/>
        <v>64</v>
      </c>
      <c r="E102" s="2163"/>
      <c r="F102" s="2315" t="s">
        <v>823</v>
      </c>
      <c r="G102" s="2159"/>
      <c r="H102" s="2159"/>
      <c r="I102" s="2159"/>
      <c r="J102" s="2159"/>
      <c r="K102" s="2159"/>
      <c r="L102" s="2159"/>
      <c r="M102" s="2159"/>
      <c r="N102" s="2159"/>
      <c r="O102" s="2159"/>
      <c r="P102" s="2159"/>
      <c r="Q102" s="2159"/>
      <c r="R102" s="2159"/>
      <c r="S102" s="2268" t="s">
        <v>1041</v>
      </c>
      <c r="T102" s="2338">
        <f>D102</f>
        <v>64</v>
      </c>
      <c r="U102" s="2362"/>
      <c r="V102" s="4615">
        <f>IF(AL102&lt;&gt;"",ROUND(AL102,0),ROUND(SUM(W2_Tax_Withheld,IRA_Fed_Tax_WH,PA_Fed_Tax_WH,'SSA-1099'!D6,'SSA-1099'!D11,AI103),0))</f>
        <v>0</v>
      </c>
      <c r="W102" s="4615"/>
      <c r="X102" s="4616"/>
      <c r="Y102" s="4617"/>
      <c r="Z102" s="2337"/>
      <c r="AA102" s="2138"/>
      <c r="AB102" s="4628" t="str">
        <f>IF(AND($AI$104="",$AI$103&gt;0),"Form 8959 added","")</f>
        <v/>
      </c>
      <c r="AC102" s="4629"/>
      <c r="AD102" s="4629"/>
      <c r="AE102" s="4629"/>
      <c r="AF102" s="4629"/>
      <c r="AG102" s="464"/>
      <c r="AH102" s="952"/>
      <c r="AI102" s="4579" t="str">
        <f>IF(ISERROR(F8960_Tax),0,F8960_Tax)</f>
        <v/>
      </c>
      <c r="AJ102" s="4579"/>
      <c r="AK102" s="4579"/>
      <c r="AL102" s="522"/>
      <c r="AM102" s="2070"/>
      <c r="AN102" s="4059"/>
      <c r="AO102" s="4059"/>
      <c r="AP102" s="4059"/>
      <c r="AQ102" s="2117"/>
      <c r="AR102" s="2117"/>
      <c r="AS102" s="2117"/>
      <c r="AT102" s="2117"/>
      <c r="AU102" s="2117"/>
      <c r="AV102" s="4117" t="s">
        <v>888</v>
      </c>
      <c r="AW102" s="2117"/>
      <c r="AX102" s="2117"/>
      <c r="AY102" s="2399"/>
      <c r="AZ102" s="2070"/>
      <c r="BA102" s="2070"/>
      <c r="BB102" s="2070"/>
      <c r="BC102" s="2070"/>
      <c r="BD102" s="2070"/>
    </row>
    <row r="103" spans="1:56" ht="12.75" customHeight="1">
      <c r="A103" s="857"/>
      <c r="B103" s="389"/>
      <c r="C103" s="61"/>
      <c r="D103" s="2152">
        <f t="shared" si="6"/>
        <v>65</v>
      </c>
      <c r="E103" s="2153"/>
      <c r="F103" s="2164" t="str">
        <f>TaxYear&amp;" estimated tax payments &amp; amount applied from "&amp;TaxYear-1&amp;" return"</f>
        <v>2016 estimated tax payments &amp; amount applied from 2015 return</v>
      </c>
      <c r="G103" s="2307"/>
      <c r="H103" s="2307"/>
      <c r="I103" s="2307"/>
      <c r="J103" s="2307"/>
      <c r="K103" s="2307"/>
      <c r="L103" s="2307"/>
      <c r="M103" s="2307"/>
      <c r="N103" s="2307"/>
      <c r="O103" s="2307"/>
      <c r="P103" s="2307"/>
      <c r="Q103" s="2307"/>
      <c r="R103" s="2307"/>
      <c r="S103" s="2268" t="s">
        <v>837</v>
      </c>
      <c r="T103" s="2338">
        <f>D103</f>
        <v>65</v>
      </c>
      <c r="U103" s="2362"/>
      <c r="V103" s="4598"/>
      <c r="W103" s="4598"/>
      <c r="X103" s="4599"/>
      <c r="Y103" s="4600"/>
      <c r="Z103" s="2337"/>
      <c r="AA103" s="2139"/>
      <c r="AB103" s="4630" t="str">
        <f>IF(AND($AI$104="",$AI$103&gt;0),TEXT($AI$103,"$0")&amp;" to Line 64.","")</f>
        <v/>
      </c>
      <c r="AC103" s="4631"/>
      <c r="AD103" s="4631"/>
      <c r="AE103" s="4631"/>
      <c r="AF103" s="4631"/>
      <c r="AG103" s="464"/>
      <c r="AH103" s="952"/>
      <c r="AI103" s="4579">
        <f>IF(ISERROR(F8959_WH),0,F8959_WH)</f>
        <v>0</v>
      </c>
      <c r="AJ103" s="4579"/>
      <c r="AK103" s="4579"/>
      <c r="AL103" s="523"/>
      <c r="AM103" s="2070"/>
      <c r="AN103" s="4059"/>
      <c r="AO103" s="4059"/>
      <c r="AP103" s="4059"/>
      <c r="AQ103" s="2117"/>
      <c r="AR103" s="2117"/>
      <c r="AS103" s="2117"/>
      <c r="AT103" s="2117"/>
      <c r="AU103" s="2070"/>
      <c r="AV103" s="4118" t="s">
        <v>715</v>
      </c>
      <c r="AW103" s="2117"/>
      <c r="AX103" s="2117"/>
      <c r="AY103" s="2399"/>
      <c r="AZ103" s="2070"/>
      <c r="BA103" s="2070"/>
      <c r="BB103" s="2070"/>
      <c r="BC103" s="2070"/>
      <c r="BD103" s="2070"/>
    </row>
    <row r="104" spans="1:56" ht="13.5" customHeight="1">
      <c r="A104" s="857"/>
      <c r="B104" s="389"/>
      <c r="C104" s="462" t="s">
        <v>313</v>
      </c>
      <c r="D104" s="2144">
        <f>D103+1</f>
        <v>66</v>
      </c>
      <c r="E104" s="2157" t="s">
        <v>61</v>
      </c>
      <c r="F104" s="2306" t="s">
        <v>825</v>
      </c>
      <c r="G104" s="2307"/>
      <c r="H104" s="2307"/>
      <c r="I104" s="2307"/>
      <c r="J104" s="2307"/>
      <c r="K104" s="2307"/>
      <c r="L104" s="2307"/>
      <c r="M104" s="2307"/>
      <c r="N104" s="2307"/>
      <c r="O104" s="2357"/>
      <c r="P104" s="2357"/>
      <c r="Q104" s="2357"/>
      <c r="R104" s="2357"/>
      <c r="S104" s="2268" t="str">
        <f>IF(OR(EIC_Line2_No&lt;&gt;"",EIC_Step3_Line3_Yes&lt;&gt;"",EIC_Step4_Line3_No&lt;&gt;"",EIC_Step4_Line5_Yes&lt;&gt;"")," .   .   .   .   .   .   .   .   .   .   .   .   .   .   No "," .   .   .   .   .   .   .   .   .   .   .   .   .   .   .   .   .  ")</f>
        <v xml:space="preserve"> .   .   .   .   .   .   .   .   .   .   .   .   .   .   .   .   .  </v>
      </c>
      <c r="T104" s="2338" t="str">
        <f>D104&amp;E104</f>
        <v>66a</v>
      </c>
      <c r="U104" s="2339"/>
      <c r="V104" s="4615" t="str">
        <f>IF(AL104&lt;&gt;"",AL104,EarnedIncomeCredit)</f>
        <v/>
      </c>
      <c r="W104" s="4615"/>
      <c r="X104" s="4616"/>
      <c r="Y104" s="4617"/>
      <c r="Z104" s="2363"/>
      <c r="AA104" s="2139"/>
      <c r="AB104" s="4704" t="str">
        <f>IF(AND($AI$106="",$V$104="",EIC_Check,EICNumQualChild=""),"See 'Line 66' sheet for","")</f>
        <v/>
      </c>
      <c r="AC104" s="4705"/>
      <c r="AD104" s="4705"/>
      <c r="AE104" s="4705"/>
      <c r="AF104" s="4705"/>
      <c r="AG104" s="464"/>
      <c r="AH104" s="952"/>
      <c r="AI104" s="3621"/>
      <c r="AJ104" s="4568" t="s">
        <v>2453</v>
      </c>
      <c r="AK104" s="4569"/>
      <c r="AL104" s="522"/>
      <c r="AM104" s="2070"/>
      <c r="AN104" s="2117"/>
      <c r="AO104" s="2117"/>
      <c r="AP104" s="2117"/>
      <c r="AQ104" s="4059"/>
      <c r="AR104" s="4059"/>
      <c r="AS104" s="4059"/>
      <c r="AT104" s="4059"/>
      <c r="AU104" s="3363">
        <v>1</v>
      </c>
      <c r="AV104" s="4108" t="s">
        <v>1610</v>
      </c>
      <c r="AW104" s="4119"/>
      <c r="AX104" s="4109"/>
      <c r="AY104" s="2399"/>
      <c r="AZ104" s="2070"/>
      <c r="BA104" s="2070"/>
      <c r="BB104" s="2070"/>
      <c r="BC104" s="2070"/>
      <c r="BD104" s="2070"/>
    </row>
    <row r="105" spans="1:56" ht="13.5" customHeight="1">
      <c r="A105" s="857"/>
      <c r="B105" s="389"/>
      <c r="C105" s="864" t="s">
        <v>617</v>
      </c>
      <c r="D105" s="2308"/>
      <c r="E105" s="2358" t="s">
        <v>84</v>
      </c>
      <c r="F105" s="2164" t="s">
        <v>261</v>
      </c>
      <c r="G105" s="2307"/>
      <c r="H105" s="2307"/>
      <c r="I105" s="2307"/>
      <c r="J105" s="2307"/>
      <c r="K105" s="2307"/>
      <c r="L105" s="2307"/>
      <c r="M105" s="2268" t="s">
        <v>390</v>
      </c>
      <c r="N105" s="2361" t="str">
        <f>D104&amp;E105</f>
        <v>66b</v>
      </c>
      <c r="O105" s="4623"/>
      <c r="P105" s="4624"/>
      <c r="Q105" s="4624"/>
      <c r="R105" s="4624"/>
      <c r="S105" s="4625"/>
      <c r="T105" s="2366"/>
      <c r="U105" s="2367"/>
      <c r="V105" s="4709"/>
      <c r="W105" s="4710"/>
      <c r="X105" s="4710"/>
      <c r="Y105" s="4710"/>
      <c r="Z105" s="2364"/>
      <c r="AA105" s="2139"/>
      <c r="AB105" s="4704" t="str">
        <f>IF(AND($AI$106="",$V$104="",EIC_Check,EICNumQualChild=""),"Earned Income Credit.","")</f>
        <v/>
      </c>
      <c r="AC105" s="4705"/>
      <c r="AD105" s="4705"/>
      <c r="AE105" s="4705"/>
      <c r="AF105" s="4705"/>
      <c r="AG105" s="464"/>
      <c r="AH105" s="952"/>
      <c r="AI105" s="4565" t="s">
        <v>3339</v>
      </c>
      <c r="AJ105" s="4570"/>
      <c r="AK105" s="4571"/>
      <c r="AL105" s="523"/>
      <c r="AM105" s="2070"/>
      <c r="AN105" s="2117"/>
      <c r="AO105" s="2117"/>
      <c r="AP105" s="2117"/>
      <c r="AQ105" s="4059">
        <v>66666</v>
      </c>
      <c r="AR105" s="4059">
        <f t="shared" ref="AR105:AR110" si="8">AX105</f>
        <v>0</v>
      </c>
      <c r="AS105" s="4111">
        <f t="shared" ref="AS105:AS110" si="9">AW105/100</f>
        <v>0</v>
      </c>
      <c r="AT105" s="4112" t="s">
        <v>1395</v>
      </c>
      <c r="AU105" s="3363">
        <v>2</v>
      </c>
      <c r="AV105" s="4113">
        <v>100000</v>
      </c>
      <c r="AW105" s="3825"/>
      <c r="AX105" s="2108"/>
      <c r="AY105" s="2399"/>
      <c r="AZ105" s="2070"/>
      <c r="BA105" s="2070"/>
      <c r="BB105" s="2070"/>
      <c r="BC105" s="2070"/>
      <c r="BD105" s="2070"/>
    </row>
    <row r="106" spans="1:56" ht="13.5" customHeight="1">
      <c r="A106" s="857"/>
      <c r="B106" s="389"/>
      <c r="C106" s="460" t="s">
        <v>326</v>
      </c>
      <c r="D106" s="2309">
        <f>D104+1</f>
        <v>67</v>
      </c>
      <c r="E106" s="2358"/>
      <c r="F106" s="2334" t="s">
        <v>2098</v>
      </c>
      <c r="G106" s="2307"/>
      <c r="H106" s="2307"/>
      <c r="I106" s="2307"/>
      <c r="J106" s="2307"/>
      <c r="K106" s="2307"/>
      <c r="L106" s="2307"/>
      <c r="M106" s="2307"/>
      <c r="N106" s="2307"/>
      <c r="O106" s="2307"/>
      <c r="P106" s="2307"/>
      <c r="Q106" s="2307"/>
      <c r="R106" s="2307"/>
      <c r="S106" s="2268" t="s">
        <v>833</v>
      </c>
      <c r="T106" s="2338">
        <f t="shared" ref="T106:T111" si="10">D106</f>
        <v>67</v>
      </c>
      <c r="U106" s="2362"/>
      <c r="V106" s="4593"/>
      <c r="W106" s="4593"/>
      <c r="X106" s="4594"/>
      <c r="Y106" s="4595"/>
      <c r="Z106" s="2255"/>
      <c r="AA106" s="2139"/>
      <c r="AB106" s="4704"/>
      <c r="AC106" s="4705"/>
      <c r="AD106" s="4705"/>
      <c r="AE106" s="4705"/>
      <c r="AF106" s="4705"/>
      <c r="AG106" s="464"/>
      <c r="AH106" s="952"/>
      <c r="AI106" s="3621"/>
      <c r="AJ106" s="4568" t="s">
        <v>2453</v>
      </c>
      <c r="AK106" s="4569"/>
      <c r="AL106" s="523"/>
      <c r="AM106" s="2070"/>
      <c r="AN106" s="2117"/>
      <c r="AO106" s="2117"/>
      <c r="AP106" s="2117"/>
      <c r="AQ106" s="4059">
        <v>111111</v>
      </c>
      <c r="AR106" s="4059">
        <f t="shared" si="8"/>
        <v>8457.5</v>
      </c>
      <c r="AS106" s="4111">
        <f t="shared" si="9"/>
        <v>0.25</v>
      </c>
      <c r="AT106" s="4059">
        <f>ROUND(((AQ106*SectB_b3/100)-SectB_d3),0)</f>
        <v>19320</v>
      </c>
      <c r="AU106" s="3363">
        <v>3</v>
      </c>
      <c r="AV106" s="4113">
        <v>151900</v>
      </c>
      <c r="AW106" s="3825">
        <v>25</v>
      </c>
      <c r="AX106" s="2108">
        <v>8457.5</v>
      </c>
      <c r="AY106" s="2117"/>
      <c r="AZ106" s="2070"/>
      <c r="BA106" s="2070"/>
      <c r="BB106" s="2070"/>
      <c r="BC106" s="2070"/>
      <c r="BD106" s="2070"/>
    </row>
    <row r="107" spans="1:56" ht="13.5" customHeight="1">
      <c r="A107" s="857"/>
      <c r="B107" s="389"/>
      <c r="C107" s="461" t="s">
        <v>327</v>
      </c>
      <c r="D107" s="2162">
        <f t="shared" ref="D107:D115" si="11">D106+1</f>
        <v>68</v>
      </c>
      <c r="E107" s="2163"/>
      <c r="F107" s="2264" t="s">
        <v>1473</v>
      </c>
      <c r="G107" s="2185"/>
      <c r="H107" s="2307"/>
      <c r="I107" s="2307"/>
      <c r="J107" s="2307"/>
      <c r="K107" s="2307"/>
      <c r="L107" s="2307"/>
      <c r="M107" s="2307"/>
      <c r="N107" s="2185"/>
      <c r="O107" s="2307"/>
      <c r="P107" s="2307"/>
      <c r="Q107" s="2307"/>
      <c r="R107" s="2307"/>
      <c r="S107" s="2268" t="s">
        <v>835</v>
      </c>
      <c r="T107" s="2338">
        <f t="shared" si="10"/>
        <v>68</v>
      </c>
      <c r="U107" s="2362"/>
      <c r="V107" s="4598"/>
      <c r="W107" s="4598"/>
      <c r="X107" s="4599"/>
      <c r="Y107" s="4600"/>
      <c r="Z107" s="2337"/>
      <c r="AA107" s="2139"/>
      <c r="AB107" s="4620"/>
      <c r="AC107" s="4621"/>
      <c r="AD107" s="4621"/>
      <c r="AE107" s="4621"/>
      <c r="AF107" s="4621"/>
      <c r="AG107" s="464"/>
      <c r="AH107" s="952"/>
      <c r="AI107" s="4565" t="s">
        <v>3049</v>
      </c>
      <c r="AJ107" s="4566"/>
      <c r="AK107" s="4567"/>
      <c r="AL107" s="523"/>
      <c r="AM107" s="2070"/>
      <c r="AN107" s="2117"/>
      <c r="AO107" s="2117"/>
      <c r="AP107" s="2117"/>
      <c r="AQ107" s="4059">
        <v>150000</v>
      </c>
      <c r="AR107" s="4059">
        <f t="shared" si="8"/>
        <v>13014.5</v>
      </c>
      <c r="AS107" s="4111">
        <f t="shared" si="9"/>
        <v>0.28000000000000003</v>
      </c>
      <c r="AT107" s="4059">
        <f>ROUND(((AQ107*SectB_b4/100)-SectB_d4),0)</f>
        <v>28986</v>
      </c>
      <c r="AU107" s="3363">
        <v>4</v>
      </c>
      <c r="AV107" s="4113">
        <v>231450</v>
      </c>
      <c r="AW107" s="3825">
        <v>28</v>
      </c>
      <c r="AX107" s="2108">
        <v>13014.5</v>
      </c>
      <c r="AY107" s="2399"/>
      <c r="AZ107" s="2070"/>
      <c r="BA107" s="2070"/>
      <c r="BB107" s="2070"/>
      <c r="BC107" s="2070"/>
      <c r="BD107" s="2070"/>
    </row>
    <row r="108" spans="1:56" ht="13.5" customHeight="1">
      <c r="A108" s="857"/>
      <c r="B108" s="389"/>
      <c r="C108" s="362"/>
      <c r="D108" s="2162">
        <f t="shared" si="11"/>
        <v>69</v>
      </c>
      <c r="E108" s="2163"/>
      <c r="F108" s="2164" t="s">
        <v>2099</v>
      </c>
      <c r="G108" s="2307"/>
      <c r="H108" s="2307"/>
      <c r="I108" s="2307"/>
      <c r="J108" s="2307"/>
      <c r="K108" s="2307"/>
      <c r="L108" s="2307"/>
      <c r="M108" s="2307"/>
      <c r="N108" s="2307"/>
      <c r="O108" s="2307"/>
      <c r="P108" s="2307"/>
      <c r="Q108" s="2307"/>
      <c r="R108" s="2307"/>
      <c r="S108" s="2268" t="s">
        <v>1911</v>
      </c>
      <c r="T108" s="2338">
        <f t="shared" si="10"/>
        <v>69</v>
      </c>
      <c r="U108" s="2362"/>
      <c r="V108" s="4615" t="str">
        <f>IF(AL108&lt;&gt;"",AL108,'8962'!AE71)</f>
        <v/>
      </c>
      <c r="W108" s="4615"/>
      <c r="X108" s="4616"/>
      <c r="Y108" s="4617"/>
      <c r="Z108" s="2337"/>
      <c r="AA108" s="2139"/>
      <c r="AB108" s="1348"/>
      <c r="AC108" s="1349"/>
      <c r="AD108" s="1349"/>
      <c r="AE108" s="1349"/>
      <c r="AF108" s="1349"/>
      <c r="AG108" s="464"/>
      <c r="AH108" s="952"/>
      <c r="AI108" s="4568"/>
      <c r="AJ108" s="4569"/>
      <c r="AK108" s="4563"/>
      <c r="AL108" s="522"/>
      <c r="AM108" s="2070"/>
      <c r="AN108" s="2117"/>
      <c r="AO108" s="2117"/>
      <c r="AP108" s="2117"/>
      <c r="AQ108" s="4059">
        <v>333333</v>
      </c>
      <c r="AR108" s="4059">
        <f t="shared" si="8"/>
        <v>24587</v>
      </c>
      <c r="AS108" s="4111">
        <f t="shared" si="9"/>
        <v>0.33</v>
      </c>
      <c r="AT108" s="4059">
        <f>ROUND(((AQ108*SectB_b5/100)-SectB_d5),0)</f>
        <v>85413</v>
      </c>
      <c r="AU108" s="3363">
        <v>5</v>
      </c>
      <c r="AV108" s="4113">
        <v>413350</v>
      </c>
      <c r="AW108" s="3825">
        <v>33</v>
      </c>
      <c r="AX108" s="4114">
        <v>24587</v>
      </c>
      <c r="AY108" s="2399"/>
      <c r="AZ108" s="2070"/>
      <c r="BA108" s="2070"/>
      <c r="BB108" s="2070"/>
      <c r="BC108" s="2070"/>
      <c r="BD108" s="2070"/>
    </row>
    <row r="109" spans="1:56" ht="13.5" customHeight="1">
      <c r="A109" s="857"/>
      <c r="B109" s="35"/>
      <c r="C109" s="649"/>
      <c r="D109" s="2162">
        <f t="shared" si="11"/>
        <v>70</v>
      </c>
      <c r="E109" s="2358"/>
      <c r="F109" s="2164" t="s">
        <v>826</v>
      </c>
      <c r="G109" s="2307"/>
      <c r="H109" s="2307"/>
      <c r="I109" s="2307"/>
      <c r="J109" s="2307"/>
      <c r="K109" s="2307"/>
      <c r="L109" s="2307"/>
      <c r="M109" s="2307"/>
      <c r="N109" s="2307"/>
      <c r="O109" s="2307"/>
      <c r="P109" s="2307"/>
      <c r="Q109" s="2307"/>
      <c r="R109" s="2307"/>
      <c r="S109" s="2268" t="s">
        <v>834</v>
      </c>
      <c r="T109" s="2253">
        <f t="shared" si="10"/>
        <v>70</v>
      </c>
      <c r="U109" s="2339"/>
      <c r="V109" s="4600"/>
      <c r="W109" s="4600"/>
      <c r="X109" s="4600"/>
      <c r="Y109" s="4600"/>
      <c r="Z109" s="2365"/>
      <c r="AA109" s="2139"/>
      <c r="AB109" s="4702"/>
      <c r="AC109" s="4703"/>
      <c r="AD109" s="4703"/>
      <c r="AE109" s="4703"/>
      <c r="AF109" s="4703"/>
      <c r="AG109" s="464"/>
      <c r="AH109" s="952"/>
      <c r="AI109" s="13"/>
      <c r="AJ109" s="13"/>
      <c r="AK109" s="13"/>
      <c r="AL109" s="523"/>
      <c r="AM109" s="2117"/>
      <c r="AN109" s="4059"/>
      <c r="AO109" s="4059"/>
      <c r="AP109" s="4059"/>
      <c r="AQ109" s="4059">
        <v>444444</v>
      </c>
      <c r="AR109" s="4059">
        <f t="shared" si="8"/>
        <v>32854</v>
      </c>
      <c r="AS109" s="4111">
        <f t="shared" si="9"/>
        <v>0.35</v>
      </c>
      <c r="AT109" s="4059">
        <f>ROUND(((AQ109*SectB_b6/100)-SectB_d6),0)</f>
        <v>122701</v>
      </c>
      <c r="AU109" s="3363">
        <v>6</v>
      </c>
      <c r="AV109" s="4113">
        <v>466950</v>
      </c>
      <c r="AW109" s="3825">
        <v>35</v>
      </c>
      <c r="AX109" s="4120">
        <v>32854</v>
      </c>
      <c r="AY109" s="2399"/>
      <c r="AZ109" s="2070"/>
      <c r="BA109" s="2070"/>
      <c r="BB109" s="2070"/>
      <c r="BC109" s="2070"/>
      <c r="BD109" s="2070"/>
    </row>
    <row r="110" spans="1:56" ht="13.5" customHeight="1">
      <c r="A110" s="857"/>
      <c r="B110" s="35"/>
      <c r="C110" s="649"/>
      <c r="D110" s="2162">
        <f t="shared" si="11"/>
        <v>71</v>
      </c>
      <c r="E110" s="2163"/>
      <c r="F110" s="2164" t="s">
        <v>827</v>
      </c>
      <c r="G110" s="2185"/>
      <c r="H110" s="2307"/>
      <c r="I110" s="2307"/>
      <c r="J110" s="2307"/>
      <c r="K110" s="2307"/>
      <c r="L110" s="2307"/>
      <c r="M110" s="2307"/>
      <c r="N110" s="2185"/>
      <c r="O110" s="2307"/>
      <c r="P110" s="2307"/>
      <c r="Q110" s="2307"/>
      <c r="R110" s="2307"/>
      <c r="S110" s="2268" t="s">
        <v>835</v>
      </c>
      <c r="T110" s="2338">
        <f t="shared" si="10"/>
        <v>71</v>
      </c>
      <c r="U110" s="2362"/>
      <c r="V110" s="4615">
        <f>IF(AL110&lt;&gt;"",AL110,W2_SS_Tax_Excess)</f>
        <v>0</v>
      </c>
      <c r="W110" s="4615"/>
      <c r="X110" s="4616"/>
      <c r="Y110" s="4617"/>
      <c r="Z110" s="2337"/>
      <c r="AA110" s="2139"/>
      <c r="AB110" s="4620"/>
      <c r="AC110" s="4621"/>
      <c r="AD110" s="4621"/>
      <c r="AE110" s="4621"/>
      <c r="AF110" s="4621"/>
      <c r="AG110" s="464"/>
      <c r="AH110" s="952"/>
      <c r="AI110" s="13"/>
      <c r="AJ110" s="13"/>
      <c r="AK110" s="13"/>
      <c r="AL110" s="522"/>
      <c r="AM110" s="2117"/>
      <c r="AN110" s="2117"/>
      <c r="AO110" s="2117"/>
      <c r="AP110" s="2117"/>
      <c r="AQ110" s="4059">
        <v>555555</v>
      </c>
      <c r="AR110" s="4059">
        <f t="shared" si="8"/>
        <v>54333.7</v>
      </c>
      <c r="AS110" s="4111">
        <f t="shared" si="9"/>
        <v>0.39600000000000002</v>
      </c>
      <c r="AT110" s="4059">
        <f>ROUND(((AQ110*SectB_b7/100)-SectB_d7),0)</f>
        <v>165666</v>
      </c>
      <c r="AU110" s="3363">
        <v>7</v>
      </c>
      <c r="AV110" s="4115"/>
      <c r="AW110" s="4121">
        <v>39.6</v>
      </c>
      <c r="AX110" s="4122">
        <v>54333.7</v>
      </c>
      <c r="AY110" s="2399"/>
      <c r="AZ110" s="2070"/>
      <c r="BA110" s="2070"/>
      <c r="BB110" s="2070"/>
      <c r="BC110" s="2070"/>
      <c r="BD110" s="2070"/>
    </row>
    <row r="111" spans="1:56" ht="13.5" customHeight="1">
      <c r="A111" s="857"/>
      <c r="B111" s="35"/>
      <c r="C111" s="649"/>
      <c r="D111" s="2162">
        <f t="shared" si="11"/>
        <v>72</v>
      </c>
      <c r="E111" s="2163"/>
      <c r="F111" s="2164" t="s">
        <v>828</v>
      </c>
      <c r="G111" s="2185"/>
      <c r="H111" s="2185"/>
      <c r="I111" s="2185"/>
      <c r="J111" s="2185"/>
      <c r="K111" s="2185"/>
      <c r="L111" s="2185"/>
      <c r="M111" s="2185"/>
      <c r="N111" s="2185"/>
      <c r="O111" s="2185"/>
      <c r="P111" s="2185"/>
      <c r="Q111" s="2185"/>
      <c r="R111" s="2185"/>
      <c r="S111" s="2268" t="s">
        <v>836</v>
      </c>
      <c r="T111" s="2338">
        <f t="shared" si="10"/>
        <v>72</v>
      </c>
      <c r="U111" s="2362"/>
      <c r="V111" s="4598"/>
      <c r="W111" s="4598"/>
      <c r="X111" s="4599"/>
      <c r="Y111" s="4600"/>
      <c r="Z111" s="2337"/>
      <c r="AA111" s="2139"/>
      <c r="AB111" s="1348"/>
      <c r="AC111" s="1349"/>
      <c r="AD111" s="1349"/>
      <c r="AE111" s="1349"/>
      <c r="AF111" s="1349"/>
      <c r="AG111" s="464"/>
      <c r="AH111" s="952"/>
      <c r="AI111" s="13"/>
      <c r="AJ111" s="13"/>
      <c r="AK111" s="13"/>
      <c r="AL111" s="523"/>
      <c r="AM111" s="2117"/>
      <c r="AN111" s="2117"/>
      <c r="AO111" s="2117"/>
      <c r="AP111" s="2117"/>
      <c r="AQ111" s="2117"/>
      <c r="AR111" s="2117"/>
      <c r="AS111" s="2117"/>
      <c r="AT111" s="2117"/>
      <c r="AU111" s="2117"/>
      <c r="AV111" s="2117"/>
      <c r="AW111" s="2117"/>
      <c r="AX111" s="3822"/>
      <c r="AY111" s="2399"/>
      <c r="AZ111" s="2070"/>
      <c r="BA111" s="2070"/>
      <c r="BB111" s="2070"/>
      <c r="BC111" s="2070"/>
      <c r="BD111" s="2070"/>
    </row>
    <row r="112" spans="1:56" ht="13.5" customHeight="1">
      <c r="A112" s="857"/>
      <c r="B112" s="35"/>
      <c r="C112" s="649"/>
      <c r="D112" s="2162">
        <f t="shared" si="11"/>
        <v>73</v>
      </c>
      <c r="E112" s="2163"/>
      <c r="F112" s="2199" t="s">
        <v>829</v>
      </c>
      <c r="G112" s="2185"/>
      <c r="H112" s="2185"/>
      <c r="I112" s="2118"/>
      <c r="J112" s="2360" t="s">
        <v>830</v>
      </c>
      <c r="K112" s="2185"/>
      <c r="L112" s="2118"/>
      <c r="M112" s="2360" t="s">
        <v>1403</v>
      </c>
      <c r="N112" s="2118"/>
      <c r="O112" s="2360" t="s">
        <v>1587</v>
      </c>
      <c r="P112" s="2185"/>
      <c r="Q112" s="2118"/>
      <c r="R112" s="4682"/>
      <c r="S112" s="4683"/>
      <c r="T112" s="2338">
        <f>D112</f>
        <v>73</v>
      </c>
      <c r="U112" s="2362"/>
      <c r="V112" s="4598"/>
      <c r="W112" s="4598"/>
      <c r="X112" s="4599"/>
      <c r="Y112" s="4600"/>
      <c r="Z112" s="2337"/>
      <c r="AA112" s="2139"/>
      <c r="AB112" s="1348"/>
      <c r="AC112" s="1349"/>
      <c r="AD112" s="1349"/>
      <c r="AE112" s="1349"/>
      <c r="AF112" s="1349"/>
      <c r="AG112" s="464"/>
      <c r="AH112" s="952"/>
      <c r="AI112" s="13"/>
      <c r="AJ112" s="13"/>
      <c r="AK112" s="13"/>
      <c r="AL112" s="523"/>
      <c r="AM112" s="2117"/>
      <c r="AN112" s="2117"/>
      <c r="AO112" s="2117"/>
      <c r="AP112" s="2117"/>
      <c r="AQ112" s="4059"/>
      <c r="AR112" s="4059"/>
      <c r="AS112" s="4059"/>
      <c r="AT112" s="4059"/>
      <c r="AU112" s="2117"/>
      <c r="AV112" s="4107" t="s">
        <v>61</v>
      </c>
      <c r="AW112" s="4107" t="s">
        <v>84</v>
      </c>
      <c r="AX112" s="4107" t="s">
        <v>151</v>
      </c>
      <c r="AY112" s="2399"/>
      <c r="AZ112" s="2070"/>
      <c r="BA112" s="2070"/>
      <c r="BB112" s="2070"/>
      <c r="BC112" s="2070"/>
      <c r="BD112" s="2070"/>
    </row>
    <row r="113" spans="1:56" ht="13.5" customHeight="1">
      <c r="A113" s="857"/>
      <c r="B113" s="389"/>
      <c r="C113" s="61"/>
      <c r="D113" s="2168">
        <f t="shared" si="11"/>
        <v>74</v>
      </c>
      <c r="E113" s="2359"/>
      <c r="F113" s="2164" t="str">
        <f>"Add lines "&amp;T102&amp;", "&amp;T103&amp;", "&amp;T104&amp;", and "&amp;T106&amp;" through "&amp;T112&amp;"."</f>
        <v>Add lines 64, 65, 66a, and 67 through 73.</v>
      </c>
      <c r="G113" s="2307"/>
      <c r="H113" s="2307"/>
      <c r="I113" s="2307"/>
      <c r="J113" s="2307"/>
      <c r="K113" s="2307"/>
      <c r="L113" s="2307"/>
      <c r="M113" s="2307"/>
      <c r="N113" s="2164"/>
      <c r="O113" s="2334" t="s">
        <v>917</v>
      </c>
      <c r="P113" s="2334"/>
      <c r="Q113" s="2307"/>
      <c r="R113" s="2307"/>
      <c r="S113" s="2306" t="s">
        <v>325</v>
      </c>
      <c r="T113" s="2212"/>
      <c r="U113" s="2164"/>
      <c r="V113" s="2164"/>
      <c r="W113" s="2164"/>
      <c r="X113" s="2164"/>
      <c r="Y113" s="2330" t="s">
        <v>824</v>
      </c>
      <c r="Z113" s="2164"/>
      <c r="AA113" s="2252">
        <f>D113</f>
        <v>74</v>
      </c>
      <c r="AB113" s="4665">
        <f>IF(AL113&lt;&gt;"",AL113,ROUND(SUM(V102:V112),0))</f>
        <v>0</v>
      </c>
      <c r="AC113" s="4666"/>
      <c r="AD113" s="4666"/>
      <c r="AE113" s="4666"/>
      <c r="AF113" s="4666"/>
      <c r="AG113" s="463"/>
      <c r="AH113" s="952"/>
      <c r="AI113" s="13"/>
      <c r="AJ113" s="13"/>
      <c r="AK113" s="13"/>
      <c r="AL113" s="522"/>
      <c r="AM113" s="2117"/>
      <c r="AN113" s="4059"/>
      <c r="AO113" s="4059"/>
      <c r="AP113" s="4059"/>
      <c r="AQ113" s="2117"/>
      <c r="AR113" s="2117"/>
      <c r="AS113" s="2117"/>
      <c r="AT113" s="2117"/>
      <c r="AU113" s="2117"/>
      <c r="AV113" s="4117" t="s">
        <v>889</v>
      </c>
      <c r="AW113" s="2117"/>
      <c r="AX113" s="3822"/>
      <c r="AY113" s="2399"/>
      <c r="AZ113" s="2070"/>
      <c r="BA113" s="2070"/>
      <c r="BB113" s="2070"/>
      <c r="BC113" s="2070"/>
      <c r="BD113" s="2070"/>
    </row>
    <row r="114" spans="1:56" ht="13.5" customHeight="1">
      <c r="A114" s="857"/>
      <c r="B114" s="389"/>
      <c r="C114" s="730" t="s">
        <v>134</v>
      </c>
      <c r="D114" s="2313">
        <f t="shared" si="11"/>
        <v>75</v>
      </c>
      <c r="E114" s="2185"/>
      <c r="F114" s="2315" t="str">
        <f>"If line "&amp;D113&amp;" is more than line "&amp;D101&amp;", subtract line "&amp;D101&amp;" from line "&amp;D113&amp;"."</f>
        <v>If line 74 is more than line 63, subtract line 63 from line 74.</v>
      </c>
      <c r="G114" s="2373"/>
      <c r="H114" s="2373"/>
      <c r="I114" s="2373"/>
      <c r="J114" s="2373"/>
      <c r="K114" s="2373"/>
      <c r="L114" s="2373"/>
      <c r="M114" s="2373"/>
      <c r="N114" s="2373"/>
      <c r="O114" s="2373"/>
      <c r="P114" s="2373"/>
      <c r="Q114" s="2373"/>
      <c r="R114" s="2373"/>
      <c r="S114" s="2315" t="s">
        <v>161</v>
      </c>
      <c r="T114" s="2315"/>
      <c r="U114" s="2374"/>
      <c r="V114" s="2368"/>
      <c r="W114" s="2368"/>
      <c r="X114" s="2368"/>
      <c r="Y114" s="2368"/>
      <c r="Z114" s="3373"/>
      <c r="AA114" s="2252">
        <f>D114</f>
        <v>75</v>
      </c>
      <c r="AB114" s="4643">
        <f>IF(AL114&lt;&gt;"",AL114,IF(Tot_Payments&gt;Tot_Tax,ROUND((Tot_Payments-Tot_Tax),0),0))</f>
        <v>0</v>
      </c>
      <c r="AC114" s="4644"/>
      <c r="AD114" s="4644"/>
      <c r="AE114" s="4644"/>
      <c r="AF114" s="4644"/>
      <c r="AG114" s="463"/>
      <c r="AH114" s="952"/>
      <c r="AI114" s="13"/>
      <c r="AJ114" s="13"/>
      <c r="AK114" s="13"/>
      <c r="AL114" s="522"/>
      <c r="AM114" s="2117"/>
      <c r="AN114" s="4059"/>
      <c r="AO114" s="4059"/>
      <c r="AP114" s="4059"/>
      <c r="AQ114" s="2117"/>
      <c r="AR114" s="2117"/>
      <c r="AS114" s="2117"/>
      <c r="AT114" s="2117"/>
      <c r="AU114" s="2070"/>
      <c r="AV114" s="4118" t="s">
        <v>490</v>
      </c>
      <c r="AW114" s="2117"/>
      <c r="AX114" s="4123"/>
      <c r="AY114" s="2399"/>
      <c r="AZ114" s="2070"/>
      <c r="BA114" s="2070"/>
      <c r="BB114" s="2070"/>
      <c r="BC114" s="2070"/>
      <c r="BD114" s="2070"/>
    </row>
    <row r="115" spans="1:56" ht="13.5" customHeight="1">
      <c r="A115" s="857"/>
      <c r="B115" s="389"/>
      <c r="C115" s="45" t="s">
        <v>535</v>
      </c>
      <c r="D115" s="2152">
        <f t="shared" si="11"/>
        <v>76</v>
      </c>
      <c r="E115" s="2358" t="s">
        <v>61</v>
      </c>
      <c r="F115" s="2164" t="str">
        <f>"Amount  of   line  "&amp;AA114&amp;" you want"</f>
        <v>Amount  of   line  75 you want</v>
      </c>
      <c r="G115" s="2199"/>
      <c r="H115" s="2316"/>
      <c r="I115" s="2164"/>
      <c r="J115" s="2164"/>
      <c r="K115" s="2164"/>
      <c r="L115" s="2306" t="s">
        <v>846</v>
      </c>
      <c r="M115" s="2164"/>
      <c r="N115" s="2316"/>
      <c r="O115" s="2316"/>
      <c r="P115" s="2316"/>
      <c r="Q115" s="2316"/>
      <c r="R115" s="2316"/>
      <c r="S115" s="2316"/>
      <c r="T115" s="2316"/>
      <c r="U115" s="2316"/>
      <c r="V115" s="2353"/>
      <c r="W115" s="2353" t="s">
        <v>55</v>
      </c>
      <c r="X115" s="2316"/>
      <c r="Y115" s="2118"/>
      <c r="Z115" s="2331"/>
      <c r="AA115" s="2253" t="str">
        <f>D115&amp;"a"</f>
        <v>76a</v>
      </c>
      <c r="AB115" s="4680">
        <f>IF(AL115&lt;&gt;"",AL115,IF(Overpaid-V118&gt;=0,ROUND(SUM(Overpaid,-V118),0),0))</f>
        <v>0</v>
      </c>
      <c r="AC115" s="4681"/>
      <c r="AD115" s="4681"/>
      <c r="AE115" s="4681"/>
      <c r="AF115" s="4681"/>
      <c r="AG115" s="463"/>
      <c r="AH115" s="952"/>
      <c r="AI115" s="13"/>
      <c r="AJ115" s="13"/>
      <c r="AK115" s="13"/>
      <c r="AL115" s="522"/>
      <c r="AM115" s="2117"/>
      <c r="AN115" s="2117"/>
      <c r="AO115" s="2117"/>
      <c r="AP115" s="2117"/>
      <c r="AQ115" s="4059"/>
      <c r="AR115" s="4059"/>
      <c r="AS115" s="4059"/>
      <c r="AT115" s="4059"/>
      <c r="AU115" s="3363">
        <v>1</v>
      </c>
      <c r="AV115" s="4108" t="s">
        <v>1610</v>
      </c>
      <c r="AW115" s="4119"/>
      <c r="AX115" s="4109"/>
      <c r="AY115" s="2399"/>
      <c r="AZ115" s="2070"/>
      <c r="BA115" s="2070"/>
      <c r="BB115" s="2070"/>
      <c r="BC115" s="2070"/>
      <c r="BD115" s="2070"/>
    </row>
    <row r="116" spans="1:56" ht="13.5" customHeight="1">
      <c r="A116" s="857"/>
      <c r="B116" s="389"/>
      <c r="C116" s="1425" t="s">
        <v>845</v>
      </c>
      <c r="D116" s="2152"/>
      <c r="E116" s="2157" t="s">
        <v>84</v>
      </c>
      <c r="F116" s="2154" t="s">
        <v>255</v>
      </c>
      <c r="G116" s="2155"/>
      <c r="H116" s="3374"/>
      <c r="I116" s="4661"/>
      <c r="J116" s="4600"/>
      <c r="K116" s="4600"/>
      <c r="L116" s="4600"/>
      <c r="M116" s="4600"/>
      <c r="N116" s="4600"/>
      <c r="O116" s="4600"/>
      <c r="P116" s="4662"/>
      <c r="Q116" s="3375"/>
      <c r="R116" s="3376"/>
      <c r="S116" s="2375" t="s">
        <v>844</v>
      </c>
      <c r="T116" s="2126"/>
      <c r="U116" s="2376" t="s">
        <v>256</v>
      </c>
      <c r="V116" s="2376"/>
      <c r="W116" s="2376"/>
      <c r="X116" s="2125"/>
      <c r="Y116" s="2316" t="s">
        <v>192</v>
      </c>
      <c r="Z116" s="2377"/>
      <c r="AA116" s="2140"/>
      <c r="AB116" s="4866" t="str">
        <f>IF(AND(AI116="",You_Owe&lt;&gt;"",You_Owe&gt;1000,You_Owe&gt;0.1*Tot_Tax),"Check sheet 2210","")</f>
        <v/>
      </c>
      <c r="AC116" s="4867"/>
      <c r="AD116" s="4867"/>
      <c r="AE116" s="4867"/>
      <c r="AF116" s="4867"/>
      <c r="AG116" s="464"/>
      <c r="AH116" s="952"/>
      <c r="AI116" s="3622"/>
      <c r="AJ116" s="13"/>
      <c r="AK116" s="13"/>
      <c r="AL116" s="523"/>
      <c r="AM116" s="2117"/>
      <c r="AN116" s="2117"/>
      <c r="AO116" s="2117"/>
      <c r="AP116" s="2117"/>
      <c r="AQ116" s="4059">
        <v>22222</v>
      </c>
      <c r="AR116" s="4059">
        <f>AX116</f>
        <v>0</v>
      </c>
      <c r="AS116" s="4059">
        <f>AW116/100</f>
        <v>0</v>
      </c>
      <c r="AT116" s="4112" t="s">
        <v>1395</v>
      </c>
      <c r="AU116" s="3363">
        <v>2</v>
      </c>
      <c r="AV116" s="4124">
        <v>100000</v>
      </c>
      <c r="AW116" s="3825"/>
      <c r="AX116" s="2108"/>
      <c r="AY116" s="2399"/>
      <c r="AZ116" s="2070"/>
      <c r="BA116" s="2070"/>
      <c r="BB116" s="2070"/>
      <c r="BC116" s="2070"/>
      <c r="BD116" s="2070"/>
    </row>
    <row r="117" spans="1:56" ht="13.5" customHeight="1">
      <c r="A117" s="857"/>
      <c r="B117" s="389"/>
      <c r="C117" s="1466" t="s">
        <v>780</v>
      </c>
      <c r="D117" s="3377"/>
      <c r="E117" s="2157" t="s">
        <v>151</v>
      </c>
      <c r="F117" s="2154" t="s">
        <v>257</v>
      </c>
      <c r="G117" s="2155"/>
      <c r="H117" s="3374"/>
      <c r="I117" s="4661"/>
      <c r="J117" s="4600"/>
      <c r="K117" s="4600"/>
      <c r="L117" s="4600"/>
      <c r="M117" s="4600"/>
      <c r="N117" s="4600"/>
      <c r="O117" s="4600"/>
      <c r="P117" s="4600"/>
      <c r="Q117" s="4600"/>
      <c r="R117" s="4662"/>
      <c r="S117" s="4604" t="str">
        <f>IF(SUM(AB115,V118)&gt;Overpaid,"Lines "&amp;AA115&amp;" &amp; "&amp;T118&amp;" must be &lt;= Line "&amp;AA114&amp;".","")</f>
        <v/>
      </c>
      <c r="T117" s="4605"/>
      <c r="U117" s="4605"/>
      <c r="V117" s="4605"/>
      <c r="W117" s="4605"/>
      <c r="X117" s="4605"/>
      <c r="Y117" s="4605"/>
      <c r="Z117" s="4606"/>
      <c r="AA117" s="2140"/>
      <c r="AB117" s="4868" t="str">
        <f>IF(AND(AI116="",You_Owe&lt;&gt;"",You_Owe&gt;1000,You_Owe&gt;0.1*Tot_Tax),"to see if any tax","")</f>
        <v/>
      </c>
      <c r="AC117" s="4869"/>
      <c r="AD117" s="4869"/>
      <c r="AE117" s="4869"/>
      <c r="AF117" s="4869"/>
      <c r="AG117" s="464"/>
      <c r="AH117" s="952"/>
      <c r="AI117" s="1416" t="str">
        <f>IF(AND(You_Owe&lt;&gt;"",You_Owe&gt;1000,You_Owe&gt;0.1*Tot_Tax),"Hide note.","")</f>
        <v/>
      </c>
      <c r="AJ117" s="13"/>
      <c r="AK117" s="13"/>
      <c r="AL117" s="523"/>
      <c r="AM117" s="2117"/>
      <c r="AN117" s="2117"/>
      <c r="AO117" s="2117"/>
      <c r="AP117" s="2117"/>
      <c r="AQ117" s="4059">
        <v>111111</v>
      </c>
      <c r="AR117" s="4059">
        <f>AX117</f>
        <v>6507.25</v>
      </c>
      <c r="AS117" s="4059">
        <f>AW117/100</f>
        <v>0.28000000000000003</v>
      </c>
      <c r="AT117" s="4059">
        <f>ROUND(((AQ117*SectC_b3/100)-SectC_d3),0)</f>
        <v>24604</v>
      </c>
      <c r="AU117" s="3363">
        <v>3</v>
      </c>
      <c r="AV117" s="4124">
        <v>115725</v>
      </c>
      <c r="AW117" s="3825">
        <v>28</v>
      </c>
      <c r="AX117" s="2108">
        <v>6507.25</v>
      </c>
      <c r="AY117" s="2399"/>
      <c r="AZ117" s="2070"/>
      <c r="BA117" s="2070"/>
      <c r="BB117" s="2070"/>
      <c r="BC117" s="2070"/>
      <c r="BD117" s="2070"/>
    </row>
    <row r="118" spans="1:56" ht="18" customHeight="1">
      <c r="A118" s="857"/>
      <c r="B118" s="389"/>
      <c r="C118" s="545"/>
      <c r="D118" s="2168">
        <f>D115+1</f>
        <v>77</v>
      </c>
      <c r="E118" s="2197"/>
      <c r="F118" s="2170" t="str">
        <f>"Amount  of  line  "&amp;AA114&amp;" you want"</f>
        <v>Amount  of  line  75 you want</v>
      </c>
      <c r="G118" s="2171"/>
      <c r="H118" s="2369"/>
      <c r="I118" s="2369"/>
      <c r="J118" s="2369"/>
      <c r="K118" s="2370"/>
      <c r="L118" s="2370"/>
      <c r="M118" s="2370"/>
      <c r="N118" s="2371"/>
      <c r="O118" s="2371"/>
      <c r="P118" s="2371"/>
      <c r="Q118" s="2369"/>
      <c r="R118" s="2369"/>
      <c r="S118" s="2372" t="str">
        <f>"applied to your "&amp;TaxYear+1&amp;" estimated tax     "</f>
        <v xml:space="preserve">applied to your 2017 estimated tax     </v>
      </c>
      <c r="T118" s="2338">
        <f>D118</f>
        <v>77</v>
      </c>
      <c r="U118" s="2362"/>
      <c r="V118" s="4593"/>
      <c r="W118" s="4593"/>
      <c r="X118" s="4594"/>
      <c r="Y118" s="4595"/>
      <c r="Z118" s="2255"/>
      <c r="AA118" s="2140"/>
      <c r="AB118" s="4610" t="str">
        <f>IF(AND(AI116="",You_Owe&lt;&gt;"",You_Owe&gt;1000,You_Owe&gt;0.1*Tot_Tax),"penalty is applicable.","")</f>
        <v/>
      </c>
      <c r="AC118" s="4611"/>
      <c r="AD118" s="4611"/>
      <c r="AE118" s="4611"/>
      <c r="AF118" s="4611"/>
      <c r="AG118" s="464"/>
      <c r="AH118" s="952"/>
      <c r="AI118" s="13"/>
      <c r="AJ118" s="13"/>
      <c r="AK118" s="13"/>
      <c r="AL118" s="523"/>
      <c r="AM118" s="2117"/>
      <c r="AN118" s="2117"/>
      <c r="AO118" s="2117"/>
      <c r="AP118" s="2117"/>
      <c r="AQ118" s="4059">
        <v>111555</v>
      </c>
      <c r="AR118" s="4059">
        <f>AX118</f>
        <v>12293.5</v>
      </c>
      <c r="AS118" s="4059">
        <f>AW118/100</f>
        <v>0.33</v>
      </c>
      <c r="AT118" s="4059">
        <f>ROUND(((AQ118*SectC_b4/100)-SectC_d4),0)</f>
        <v>24520</v>
      </c>
      <c r="AU118" s="3363">
        <v>4</v>
      </c>
      <c r="AV118" s="4113">
        <v>206675</v>
      </c>
      <c r="AW118" s="3825">
        <v>33</v>
      </c>
      <c r="AX118" s="4114">
        <v>12293.5</v>
      </c>
      <c r="AY118" s="2399"/>
      <c r="AZ118" s="2070"/>
      <c r="BA118" s="2070"/>
      <c r="BB118" s="2070"/>
      <c r="BC118" s="2070"/>
      <c r="BD118" s="2070"/>
    </row>
    <row r="119" spans="1:56" ht="15" customHeight="1">
      <c r="A119" s="857"/>
      <c r="B119" s="389"/>
      <c r="C119" s="466" t="s">
        <v>66</v>
      </c>
      <c r="D119" s="2152">
        <f>D118+1</f>
        <v>78</v>
      </c>
      <c r="E119" s="2358"/>
      <c r="F119" s="2306" t="s">
        <v>162</v>
      </c>
      <c r="G119" s="2155"/>
      <c r="H119" s="2155"/>
      <c r="I119" s="2164"/>
      <c r="J119" s="2164"/>
      <c r="K119" s="2164"/>
      <c r="L119" s="2164"/>
      <c r="M119" s="2164"/>
      <c r="N119" s="2155"/>
      <c r="O119" s="2259"/>
      <c r="P119" s="2259"/>
      <c r="Q119" s="2259"/>
      <c r="R119" s="2259"/>
      <c r="S119" s="2259"/>
      <c r="T119" s="2212"/>
      <c r="U119" s="2212"/>
      <c r="V119" s="2316"/>
      <c r="W119" s="2316"/>
      <c r="X119" s="2316"/>
      <c r="Y119" s="2378" t="str">
        <f>"Subtract line "&amp;$AA$113&amp;" from line "&amp;AA101&amp;". For details on how to pay, see instructions.      "</f>
        <v xml:space="preserve">Subtract line 74 from line 63. For details on how to pay, see instructions.      </v>
      </c>
      <c r="Z119" s="2331"/>
      <c r="AA119" s="2385">
        <f>D119</f>
        <v>78</v>
      </c>
      <c r="AB119" s="4665">
        <f>IF(AL119&lt;&gt;"",AL119,IF(ISERROR(Tot_Tax-Tot_Payments+TaxPenalty),"",IF(Tot_Tax-Tot_Payments+TaxPenalty&lt;0,"",Tot_Tax-Tot_Payments+TaxPenalty)))</f>
        <v>0</v>
      </c>
      <c r="AC119" s="4666"/>
      <c r="AD119" s="4666"/>
      <c r="AE119" s="4666"/>
      <c r="AF119" s="4666"/>
      <c r="AG119" s="463"/>
      <c r="AH119" s="952"/>
      <c r="AI119" s="3372"/>
      <c r="AJ119" s="13"/>
      <c r="AK119" s="13"/>
      <c r="AL119" s="522"/>
      <c r="AM119" s="2117"/>
      <c r="AN119" s="2117"/>
      <c r="AO119" s="2117"/>
      <c r="AP119" s="2117"/>
      <c r="AQ119" s="4059">
        <v>222222</v>
      </c>
      <c r="AR119" s="4059">
        <f>AX119</f>
        <v>16427</v>
      </c>
      <c r="AS119" s="4059">
        <f>AW119/100</f>
        <v>0.35</v>
      </c>
      <c r="AT119" s="4059">
        <f>ROUND(((AQ119*SectC_b5/100)-SectC_d5),0)</f>
        <v>61351</v>
      </c>
      <c r="AU119" s="3363">
        <v>5</v>
      </c>
      <c r="AV119" s="4113">
        <v>233475</v>
      </c>
      <c r="AW119" s="3825">
        <v>35</v>
      </c>
      <c r="AX119" s="4114">
        <v>16427</v>
      </c>
      <c r="AY119" s="2399"/>
      <c r="AZ119" s="2070"/>
      <c r="BA119" s="2070"/>
      <c r="BB119" s="2070"/>
      <c r="BC119" s="2070"/>
      <c r="BD119" s="2070"/>
    </row>
    <row r="120" spans="1:56" ht="18" customHeight="1" thickBot="1">
      <c r="A120" s="857"/>
      <c r="B120" s="389"/>
      <c r="C120" s="544" t="s">
        <v>179</v>
      </c>
      <c r="D120" s="2247">
        <f>D119+1</f>
        <v>79</v>
      </c>
      <c r="E120" s="2379"/>
      <c r="F120" s="2248" t="str">
        <f>IF(AND(You_Owe&lt;&gt;"",You_Owe&gt;1000,You_Owe&gt;0.1*Tot_Tax,TaxPenalty=""),"Enter Estimated Tax Penalty (or 0 if none applies)","Estimated tax penalty (see instructions)")</f>
        <v>Estimated tax penalty (see instructions)</v>
      </c>
      <c r="G120" s="2380"/>
      <c r="H120" s="2380"/>
      <c r="I120" s="2380"/>
      <c r="J120" s="2380"/>
      <c r="K120" s="2380"/>
      <c r="L120" s="2380"/>
      <c r="M120" s="2380"/>
      <c r="N120" s="2380"/>
      <c r="O120" s="2380"/>
      <c r="P120" s="2380"/>
      <c r="Q120" s="2380"/>
      <c r="R120" s="2380"/>
      <c r="S120" s="2381" t="s">
        <v>404</v>
      </c>
      <c r="T120" s="2382">
        <f>D120</f>
        <v>79</v>
      </c>
      <c r="U120" s="2383"/>
      <c r="V120" s="4601">
        <f>IF(AL120&lt;&gt;"",ROUND(AL120,0),SUM('2210'!U108,'2210'!U147))</f>
        <v>0</v>
      </c>
      <c r="W120" s="4601"/>
      <c r="X120" s="4602"/>
      <c r="Y120" s="4603"/>
      <c r="Z120" s="2384"/>
      <c r="AA120" s="2141"/>
      <c r="AB120" s="2142"/>
      <c r="AC120" s="2142"/>
      <c r="AD120" s="2142"/>
      <c r="AE120" s="2142"/>
      <c r="AF120" s="2142"/>
      <c r="AG120" s="1467"/>
      <c r="AH120" s="952"/>
      <c r="AI120" s="13"/>
      <c r="AJ120" s="13"/>
      <c r="AK120" s="13"/>
      <c r="AL120" s="522"/>
      <c r="AM120" s="2117"/>
      <c r="AN120" s="2117"/>
      <c r="AO120" s="2117"/>
      <c r="AP120" s="2117"/>
      <c r="AQ120" s="4059">
        <v>333333</v>
      </c>
      <c r="AR120" s="4059">
        <f>AX120</f>
        <v>27166.85</v>
      </c>
      <c r="AS120" s="4059">
        <f>AW120/100</f>
        <v>0.39600000000000002</v>
      </c>
      <c r="AT120" s="4059">
        <f>ROUND(((AQ120*SectC_b6/100)-SectC_d6),0)</f>
        <v>104833</v>
      </c>
      <c r="AU120" s="3363">
        <v>6</v>
      </c>
      <c r="AV120" s="4115"/>
      <c r="AW120" s="4121">
        <v>39.6</v>
      </c>
      <c r="AX120" s="4116">
        <v>27166.85</v>
      </c>
      <c r="AY120" s="2399"/>
      <c r="AZ120" s="2070"/>
      <c r="BA120" s="2070"/>
      <c r="BB120" s="2070"/>
      <c r="BC120" s="2070"/>
      <c r="BD120" s="2070"/>
    </row>
    <row r="121" spans="1:56" ht="13.5" customHeight="1" thickBot="1">
      <c r="A121" s="857"/>
      <c r="B121" s="389"/>
      <c r="C121" s="732" t="s">
        <v>602</v>
      </c>
      <c r="D121" s="3378" t="s">
        <v>849</v>
      </c>
      <c r="E121" s="3379"/>
      <c r="F121" s="3380"/>
      <c r="G121" s="3380"/>
      <c r="H121" s="3380"/>
      <c r="I121" s="3380"/>
      <c r="J121" s="3380"/>
      <c r="K121" s="3380"/>
      <c r="L121" s="3380"/>
      <c r="M121" s="3380"/>
      <c r="N121" s="3380"/>
      <c r="O121" s="3380"/>
      <c r="P121" s="3380"/>
      <c r="Q121" s="3380"/>
      <c r="R121" s="3380"/>
      <c r="S121" s="3380"/>
      <c r="T121" s="3381"/>
      <c r="U121" s="3381"/>
      <c r="V121" s="2348"/>
      <c r="W121" s="3732"/>
      <c r="X121" s="2127"/>
      <c r="Y121" s="2386" t="s">
        <v>848</v>
      </c>
      <c r="Z121" s="2213"/>
      <c r="AA121" s="2387"/>
      <c r="AB121" s="2155"/>
      <c r="AC121" s="2155"/>
      <c r="AD121" s="2155"/>
      <c r="AE121" s="2635" t="str">
        <f>IF(X121&lt;&gt;"","","X")</f>
        <v>X</v>
      </c>
      <c r="AF121" s="2158" t="s">
        <v>847</v>
      </c>
      <c r="AG121" s="2388"/>
      <c r="AH121" s="952"/>
      <c r="AI121" s="13"/>
      <c r="AJ121" s="13"/>
      <c r="AK121" s="13"/>
      <c r="AL121" s="523"/>
      <c r="AM121" s="2117"/>
      <c r="AN121" s="2117"/>
      <c r="AO121" s="2117"/>
      <c r="AP121" s="2117"/>
      <c r="AQ121" s="2117"/>
      <c r="AR121" s="2117"/>
      <c r="AS121" s="2117"/>
      <c r="AT121" s="2117"/>
      <c r="AU121" s="2117"/>
      <c r="AV121" s="4059"/>
      <c r="AW121" s="4059"/>
      <c r="AX121" s="4125"/>
      <c r="AY121" s="2399"/>
      <c r="AZ121" s="2070"/>
      <c r="BA121" s="2070"/>
      <c r="BB121" s="2070"/>
      <c r="BC121" s="2070"/>
      <c r="BD121" s="2070"/>
    </row>
    <row r="122" spans="1:56" ht="21" customHeight="1">
      <c r="A122" s="857"/>
      <c r="B122" s="389"/>
      <c r="C122" s="546" t="s">
        <v>603</v>
      </c>
      <c r="D122" s="4874" t="s">
        <v>851</v>
      </c>
      <c r="E122" s="4875"/>
      <c r="F122" s="4875"/>
      <c r="G122" s="4672"/>
      <c r="H122" s="4619"/>
      <c r="I122" s="4619"/>
      <c r="J122" s="4619"/>
      <c r="K122" s="4619"/>
      <c r="L122" s="4619"/>
      <c r="M122" s="4619"/>
      <c r="N122" s="4626" t="s">
        <v>850</v>
      </c>
      <c r="O122" s="4627"/>
      <c r="P122" s="4673"/>
      <c r="Q122" s="4673"/>
      <c r="R122" s="4673"/>
      <c r="S122" s="4673"/>
      <c r="T122" s="4673"/>
      <c r="U122" s="2389"/>
      <c r="V122" s="2390"/>
      <c r="W122" s="2390"/>
      <c r="X122" s="2391"/>
      <c r="Y122" s="2392"/>
      <c r="Z122" s="2392" t="s">
        <v>1401</v>
      </c>
      <c r="AA122" s="2393"/>
      <c r="AB122" s="4618"/>
      <c r="AC122" s="4619"/>
      <c r="AD122" s="4619"/>
      <c r="AE122" s="4619"/>
      <c r="AF122" s="4619"/>
      <c r="AG122" s="4619"/>
      <c r="AH122" s="952"/>
      <c r="AI122" s="13"/>
      <c r="AJ122" s="13"/>
      <c r="AK122" s="13"/>
      <c r="AL122" s="523"/>
      <c r="AM122" s="2117"/>
      <c r="AN122" s="2117"/>
      <c r="AO122" s="2117"/>
      <c r="AP122" s="2117"/>
      <c r="AQ122" s="2117"/>
      <c r="AR122" s="2117"/>
      <c r="AS122" s="2117"/>
      <c r="AT122" s="2117"/>
      <c r="AU122" s="2117"/>
      <c r="AV122" s="4107" t="s">
        <v>61</v>
      </c>
      <c r="AW122" s="4107" t="s">
        <v>84</v>
      </c>
      <c r="AX122" s="4107" t="s">
        <v>151</v>
      </c>
      <c r="AY122" s="2399"/>
      <c r="AZ122" s="2070"/>
      <c r="BA122" s="2070"/>
      <c r="BB122" s="2070"/>
      <c r="BC122" s="2070"/>
      <c r="BD122" s="2070"/>
    </row>
    <row r="123" spans="1:56" ht="15.75" customHeight="1">
      <c r="A123" s="857"/>
      <c r="B123" s="389"/>
      <c r="C123" s="466" t="s">
        <v>180</v>
      </c>
      <c r="D123" s="2234" t="s">
        <v>3426</v>
      </c>
      <c r="E123" s="2155"/>
      <c r="F123" s="2155"/>
      <c r="G123" s="2155"/>
      <c r="H123" s="2155"/>
      <c r="I123" s="2155"/>
      <c r="J123" s="2155"/>
      <c r="K123" s="2155"/>
      <c r="L123" s="2155"/>
      <c r="M123" s="2155"/>
      <c r="N123" s="2155"/>
      <c r="O123" s="2155"/>
      <c r="P123" s="2155"/>
      <c r="Q123" s="2155"/>
      <c r="R123" s="2155"/>
      <c r="S123" s="2155"/>
      <c r="T123" s="2155"/>
      <c r="U123" s="2155"/>
      <c r="V123" s="2155"/>
      <c r="W123" s="2155"/>
      <c r="X123" s="2155"/>
      <c r="Y123" s="2155"/>
      <c r="Z123" s="2155"/>
      <c r="AA123" s="2155"/>
      <c r="AB123" s="2155"/>
      <c r="AC123" s="2155"/>
      <c r="AD123" s="2155"/>
      <c r="AE123" s="2155"/>
      <c r="AF123" s="2155"/>
      <c r="AG123" s="2155"/>
      <c r="AH123" s="952"/>
      <c r="AI123" s="13"/>
      <c r="AJ123" s="13"/>
      <c r="AK123" s="13"/>
      <c r="AL123" s="523"/>
      <c r="AM123" s="2117"/>
      <c r="AN123" s="2117"/>
      <c r="AO123" s="2117"/>
      <c r="AP123" s="2117"/>
      <c r="AQ123" s="2117"/>
      <c r="AR123" s="2117"/>
      <c r="AS123" s="2117"/>
      <c r="AT123" s="2117"/>
      <c r="AU123" s="2070"/>
      <c r="AV123" s="2611" t="s">
        <v>890</v>
      </c>
      <c r="AW123" s="4049"/>
      <c r="AX123" s="4126"/>
      <c r="AY123" s="2399"/>
      <c r="AZ123" s="2070"/>
      <c r="BA123" s="2070"/>
      <c r="BB123" s="2070"/>
      <c r="BC123" s="2070"/>
      <c r="BD123" s="2070"/>
    </row>
    <row r="124" spans="1:56" ht="15.75" customHeight="1">
      <c r="A124" s="857"/>
      <c r="B124" s="389"/>
      <c r="C124" s="735" t="s">
        <v>181</v>
      </c>
      <c r="D124" s="4202" t="s">
        <v>3427</v>
      </c>
      <c r="E124" s="3395"/>
      <c r="F124" s="3395"/>
      <c r="G124" s="3395"/>
      <c r="H124" s="3395"/>
      <c r="I124" s="3395"/>
      <c r="J124" s="3395"/>
      <c r="K124" s="3395"/>
      <c r="L124" s="3395"/>
      <c r="M124" s="3395"/>
      <c r="N124" s="3395"/>
      <c r="O124" s="3395"/>
      <c r="P124" s="3395"/>
      <c r="Q124" s="3395"/>
      <c r="R124" s="3395"/>
      <c r="S124" s="3395"/>
      <c r="T124" s="3395"/>
      <c r="U124" s="3395"/>
      <c r="V124" s="3395"/>
      <c r="W124" s="3395"/>
      <c r="X124" s="3395"/>
      <c r="Y124" s="3395"/>
      <c r="Z124" s="3395"/>
      <c r="AA124" s="3395"/>
      <c r="AB124" s="3395"/>
      <c r="AC124" s="3395"/>
      <c r="AD124" s="3395"/>
      <c r="AE124" s="3395"/>
      <c r="AF124" s="3395"/>
      <c r="AG124" s="3395"/>
      <c r="AH124" s="952"/>
      <c r="AI124" s="13"/>
      <c r="AJ124" s="13"/>
      <c r="AK124" s="13"/>
      <c r="AL124" s="523"/>
      <c r="AM124" s="2117"/>
      <c r="AN124" s="2117"/>
      <c r="AO124" s="2117"/>
      <c r="AP124" s="2117"/>
      <c r="AQ124" s="4059"/>
      <c r="AR124" s="4059"/>
      <c r="AS124" s="4059"/>
      <c r="AT124" s="4059"/>
      <c r="AU124" s="3363">
        <v>1</v>
      </c>
      <c r="AV124" s="4108" t="s">
        <v>1610</v>
      </c>
      <c r="AW124" s="4119"/>
      <c r="AX124" s="4109"/>
      <c r="AY124" s="2117"/>
      <c r="AZ124" s="2070"/>
      <c r="BA124" s="4127"/>
      <c r="BB124" s="2070"/>
      <c r="BC124" s="2070"/>
      <c r="BD124" s="2070"/>
    </row>
    <row r="125" spans="1:56" ht="15.75" customHeight="1">
      <c r="A125" s="857"/>
      <c r="B125" s="35"/>
      <c r="C125" s="449" t="s">
        <v>182</v>
      </c>
      <c r="D125" s="2146" t="s">
        <v>183</v>
      </c>
      <c r="E125" s="2399"/>
      <c r="F125" s="2146"/>
      <c r="G125" s="2400"/>
      <c r="H125" s="2400"/>
      <c r="I125" s="2400"/>
      <c r="J125" s="2400"/>
      <c r="K125" s="2400"/>
      <c r="L125" s="2400"/>
      <c r="M125" s="2400"/>
      <c r="N125" s="2400"/>
      <c r="O125" s="2652" t="s">
        <v>184</v>
      </c>
      <c r="P125" s="2146"/>
      <c r="Q125" s="2146"/>
      <c r="R125" s="2653"/>
      <c r="S125" s="4596" t="s">
        <v>185</v>
      </c>
      <c r="T125" s="4597"/>
      <c r="U125" s="4597"/>
      <c r="V125" s="4597"/>
      <c r="W125" s="4597"/>
      <c r="X125" s="4597"/>
      <c r="Y125" s="4622"/>
      <c r="Z125" s="2654" t="s">
        <v>186</v>
      </c>
      <c r="AA125" s="2655"/>
      <c r="AB125" s="2146"/>
      <c r="AC125" s="2146"/>
      <c r="AD125" s="2146"/>
      <c r="AE125" s="2146"/>
      <c r="AF125" s="2146"/>
      <c r="AG125" s="2656"/>
      <c r="AH125" s="952"/>
      <c r="AI125" s="13"/>
      <c r="AJ125" s="13"/>
      <c r="AK125" s="13"/>
      <c r="AL125" s="523"/>
      <c r="AM125" s="2117"/>
      <c r="AN125" s="2117"/>
      <c r="AO125" s="2117"/>
      <c r="AP125" s="2117"/>
      <c r="AQ125" s="4059">
        <v>22222</v>
      </c>
      <c r="AR125" s="4059">
        <f t="shared" ref="AR125:AR130" si="12">AX125</f>
        <v>0</v>
      </c>
      <c r="AS125" s="4059">
        <f t="shared" ref="AS125:AS130" si="13">AW125/100</f>
        <v>0</v>
      </c>
      <c r="AT125" s="4112" t="s">
        <v>1395</v>
      </c>
      <c r="AU125" s="3363">
        <v>2</v>
      </c>
      <c r="AV125" s="4124">
        <v>100000</v>
      </c>
      <c r="AW125" s="3825"/>
      <c r="AX125" s="2108"/>
      <c r="AY125" s="2117"/>
      <c r="AZ125" s="2070"/>
      <c r="BA125" s="2070"/>
      <c r="BB125" s="2070"/>
      <c r="BC125" s="2070"/>
      <c r="BD125" s="2070"/>
    </row>
    <row r="126" spans="1:56" ht="16.5" customHeight="1">
      <c r="A126" s="857"/>
      <c r="B126" s="389"/>
      <c r="C126" s="734" t="s">
        <v>1042</v>
      </c>
      <c r="D126" s="4684"/>
      <c r="E126" s="4685"/>
      <c r="F126" s="4685"/>
      <c r="G126" s="4685"/>
      <c r="H126" s="4685"/>
      <c r="I126" s="4685"/>
      <c r="J126" s="4685"/>
      <c r="K126" s="4685"/>
      <c r="L126" s="4685"/>
      <c r="M126" s="4685"/>
      <c r="N126" s="4686"/>
      <c r="O126" s="4676"/>
      <c r="P126" s="4677"/>
      <c r="Q126" s="4678"/>
      <c r="R126" s="4679"/>
      <c r="S126" s="4590"/>
      <c r="T126" s="4591"/>
      <c r="U126" s="4591"/>
      <c r="V126" s="4591"/>
      <c r="W126" s="4591"/>
      <c r="X126" s="4592"/>
      <c r="Y126" s="4889"/>
      <c r="Z126" s="4667"/>
      <c r="AA126" s="4668"/>
      <c r="AB126" s="4668"/>
      <c r="AC126" s="4668"/>
      <c r="AD126" s="4668"/>
      <c r="AE126" s="4668"/>
      <c r="AF126" s="4668"/>
      <c r="AG126" s="4668"/>
      <c r="AH126" s="952"/>
      <c r="AI126" s="13"/>
      <c r="AJ126" s="13"/>
      <c r="AK126" s="13"/>
      <c r="AL126" s="523"/>
      <c r="AM126" s="2117"/>
      <c r="AN126" s="2117"/>
      <c r="AO126" s="2117"/>
      <c r="AP126" s="2117"/>
      <c r="AQ126" s="4059">
        <v>111111</v>
      </c>
      <c r="AR126" s="4059">
        <f t="shared" si="12"/>
        <v>5702.5</v>
      </c>
      <c r="AS126" s="4059">
        <f t="shared" si="13"/>
        <v>0.25</v>
      </c>
      <c r="AT126" s="4059">
        <f>ROUND(((AQ126*SectD_b3/100)-SectD_d3),0)</f>
        <v>22075</v>
      </c>
      <c r="AU126" s="3363">
        <v>3</v>
      </c>
      <c r="AV126" s="4124">
        <v>130150</v>
      </c>
      <c r="AW126" s="3825">
        <v>25</v>
      </c>
      <c r="AX126" s="2108">
        <v>5702.5</v>
      </c>
      <c r="AY126" s="2117"/>
      <c r="AZ126" s="2070"/>
      <c r="BA126" s="2070"/>
      <c r="BB126" s="2070"/>
      <c r="BC126" s="2070"/>
      <c r="BD126" s="2070"/>
    </row>
    <row r="127" spans="1:56" ht="16.5" customHeight="1" thickBot="1">
      <c r="A127" s="857"/>
      <c r="B127" s="35"/>
      <c r="C127" s="449" t="s">
        <v>537</v>
      </c>
      <c r="D127" s="2145" t="s">
        <v>536</v>
      </c>
      <c r="E127" s="2146"/>
      <c r="F127" s="2146"/>
      <c r="G127" s="2146"/>
      <c r="H127" s="2146"/>
      <c r="I127" s="2146"/>
      <c r="J127" s="2146"/>
      <c r="K127" s="2146"/>
      <c r="L127" s="2146"/>
      <c r="M127" s="2146"/>
      <c r="N127" s="2146"/>
      <c r="O127" s="2147" t="s">
        <v>184</v>
      </c>
      <c r="P127" s="2148"/>
      <c r="Q127" s="2148"/>
      <c r="R127" s="2149"/>
      <c r="S127" s="4596" t="s">
        <v>187</v>
      </c>
      <c r="T127" s="4597"/>
      <c r="U127" s="4597"/>
      <c r="V127" s="4597"/>
      <c r="W127" s="4597"/>
      <c r="X127" s="4597"/>
      <c r="Y127" s="4597"/>
      <c r="Z127" s="2150" t="s">
        <v>1043</v>
      </c>
      <c r="AA127" s="2151"/>
      <c r="AB127" s="2151"/>
      <c r="AC127" s="2151"/>
      <c r="AD127" s="2151"/>
      <c r="AE127" s="2151"/>
      <c r="AF127" s="2151"/>
      <c r="AG127" s="2151"/>
      <c r="AH127" s="952"/>
      <c r="AI127" s="13"/>
      <c r="AJ127" s="13"/>
      <c r="AK127" s="13"/>
      <c r="AL127" s="523"/>
      <c r="AM127" s="2117"/>
      <c r="AN127" s="2117"/>
      <c r="AO127" s="2117"/>
      <c r="AP127" s="2117"/>
      <c r="AQ127" s="4059">
        <v>200000</v>
      </c>
      <c r="AR127" s="4059">
        <f t="shared" si="12"/>
        <v>9607</v>
      </c>
      <c r="AS127" s="4059">
        <f t="shared" si="13"/>
        <v>0.28000000000000003</v>
      </c>
      <c r="AT127" s="4059">
        <f>ROUND(((AQ127*SectD_b4/100)-SectD_d4),0)</f>
        <v>46393</v>
      </c>
      <c r="AU127" s="3363">
        <v>4</v>
      </c>
      <c r="AV127" s="4124">
        <v>210800</v>
      </c>
      <c r="AW127" s="3825">
        <v>28</v>
      </c>
      <c r="AX127" s="2108">
        <v>9607</v>
      </c>
      <c r="AY127" s="2117"/>
      <c r="AZ127" s="2070"/>
      <c r="BA127" s="2070"/>
      <c r="BB127" s="2070"/>
      <c r="BC127" s="2070"/>
      <c r="BD127" s="2070"/>
    </row>
    <row r="128" spans="1:56" ht="13.5" customHeight="1" thickBot="1">
      <c r="A128" s="857"/>
      <c r="B128" s="389"/>
      <c r="C128" s="733" t="s">
        <v>429</v>
      </c>
      <c r="D128" s="4684"/>
      <c r="E128" s="4685"/>
      <c r="F128" s="4685"/>
      <c r="G128" s="4685"/>
      <c r="H128" s="4685"/>
      <c r="I128" s="4685"/>
      <c r="J128" s="4685"/>
      <c r="K128" s="4685"/>
      <c r="L128" s="4685"/>
      <c r="M128" s="4685"/>
      <c r="N128" s="4686"/>
      <c r="O128" s="4676"/>
      <c r="P128" s="4677"/>
      <c r="Q128" s="4678"/>
      <c r="R128" s="4679"/>
      <c r="S128" s="4590"/>
      <c r="T128" s="4591"/>
      <c r="U128" s="4591"/>
      <c r="V128" s="4591"/>
      <c r="W128" s="4591"/>
      <c r="X128" s="4592"/>
      <c r="Y128" s="4592"/>
      <c r="Z128" s="4607" t="s">
        <v>1044</v>
      </c>
      <c r="AA128" s="4608"/>
      <c r="AB128" s="4609"/>
      <c r="AC128" s="4612"/>
      <c r="AD128" s="4613"/>
      <c r="AE128" s="4613"/>
      <c r="AF128" s="4613"/>
      <c r="AG128" s="4614"/>
      <c r="AH128" s="952"/>
      <c r="AI128" s="13"/>
      <c r="AJ128" s="13"/>
      <c r="AK128" s="13"/>
      <c r="AL128" s="523"/>
      <c r="AM128" s="2117"/>
      <c r="AN128" s="2117"/>
      <c r="AO128" s="2117"/>
      <c r="AP128" s="2117"/>
      <c r="AQ128" s="4059">
        <v>222222</v>
      </c>
      <c r="AR128" s="4059">
        <f t="shared" si="12"/>
        <v>20147</v>
      </c>
      <c r="AS128" s="4059">
        <f t="shared" si="13"/>
        <v>0.33</v>
      </c>
      <c r="AT128" s="4059">
        <f>ROUND(((AQ128*SectD_b5/100)-SectD_d5),0)</f>
        <v>53186</v>
      </c>
      <c r="AU128" s="3363">
        <v>5</v>
      </c>
      <c r="AV128" s="4113">
        <v>413350</v>
      </c>
      <c r="AW128" s="3825">
        <v>33</v>
      </c>
      <c r="AX128" s="4114">
        <v>20147</v>
      </c>
      <c r="AY128" s="2117"/>
      <c r="AZ128" s="2070"/>
      <c r="BA128" s="2070"/>
      <c r="BB128" s="2070"/>
      <c r="BC128" s="2070"/>
      <c r="BD128" s="2070"/>
    </row>
    <row r="129" spans="1:56" ht="13.5" customHeight="1" thickBot="1">
      <c r="A129" s="857"/>
      <c r="B129" s="389"/>
      <c r="C129" s="466" t="s">
        <v>425</v>
      </c>
      <c r="D129" s="4711" t="s">
        <v>852</v>
      </c>
      <c r="E129" s="4675"/>
      <c r="F129" s="4675"/>
      <c r="G129" s="4675"/>
      <c r="H129" s="4675"/>
      <c r="I129" s="4675"/>
      <c r="J129" s="4712"/>
      <c r="K129" s="4674" t="s">
        <v>853</v>
      </c>
      <c r="L129" s="4675"/>
      <c r="M129" s="4675"/>
      <c r="N129" s="4675"/>
      <c r="O129" s="4675"/>
      <c r="P129" s="4675"/>
      <c r="Q129" s="4675"/>
      <c r="R129" s="4675"/>
      <c r="S129" s="1562"/>
      <c r="T129" s="1468"/>
      <c r="U129" s="1468"/>
      <c r="V129" s="1564" t="s">
        <v>184</v>
      </c>
      <c r="W129" s="1468"/>
      <c r="X129" s="1545"/>
      <c r="Y129" s="1561"/>
      <c r="Z129" s="4588" t="s">
        <v>1046</v>
      </c>
      <c r="AA129" s="4589"/>
      <c r="AB129" s="2128"/>
      <c r="AC129" s="85" t="s">
        <v>1045</v>
      </c>
      <c r="AD129" s="1558" t="s">
        <v>854</v>
      </c>
      <c r="AE129" s="1559"/>
      <c r="AF129" s="1559"/>
      <c r="AG129" s="1560"/>
      <c r="AH129" s="952"/>
      <c r="AI129" s="13"/>
      <c r="AJ129" s="13"/>
      <c r="AK129" s="13"/>
      <c r="AL129" s="523"/>
      <c r="AM129" s="2117"/>
      <c r="AN129" s="2117"/>
      <c r="AO129" s="2117"/>
      <c r="AP129" s="2117"/>
      <c r="AQ129" s="4059">
        <v>400000</v>
      </c>
      <c r="AR129" s="4059">
        <f t="shared" si="12"/>
        <v>28414</v>
      </c>
      <c r="AS129" s="4059">
        <f t="shared" si="13"/>
        <v>0.35</v>
      </c>
      <c r="AT129" s="4059">
        <f>ROUND(((AQ129*SectD_b6/100)-SectD_d6),0)</f>
        <v>111586</v>
      </c>
      <c r="AU129" s="3363">
        <v>6</v>
      </c>
      <c r="AV129" s="4113">
        <v>441000</v>
      </c>
      <c r="AW129" s="3825">
        <v>35</v>
      </c>
      <c r="AX129" s="2108">
        <v>28414</v>
      </c>
      <c r="AY129" s="2117"/>
      <c r="AZ129" s="2070"/>
      <c r="BA129" s="2070"/>
      <c r="BB129" s="2070"/>
      <c r="BC129" s="2070"/>
      <c r="BD129" s="2070"/>
    </row>
    <row r="130" spans="1:56" ht="13.5" customHeight="1">
      <c r="A130" s="857"/>
      <c r="B130" s="389"/>
      <c r="C130" s="466" t="s">
        <v>426</v>
      </c>
      <c r="D130" s="4638"/>
      <c r="E130" s="4638"/>
      <c r="F130" s="4638"/>
      <c r="G130" s="4638"/>
      <c r="H130" s="4638"/>
      <c r="I130" s="4839"/>
      <c r="J130" s="4839"/>
      <c r="K130" s="4854"/>
      <c r="L130" s="4855"/>
      <c r="M130" s="4855"/>
      <c r="N130" s="4855"/>
      <c r="O130" s="4855"/>
      <c r="P130" s="4855"/>
      <c r="Q130" s="4855"/>
      <c r="R130" s="4855"/>
      <c r="S130" s="1149"/>
      <c r="T130" s="1563"/>
      <c r="U130" s="1563"/>
      <c r="V130" s="4676"/>
      <c r="W130" s="4677"/>
      <c r="X130" s="4678"/>
      <c r="Y130" s="4679"/>
      <c r="Z130" s="4863" t="s">
        <v>1047</v>
      </c>
      <c r="AA130" s="4864"/>
      <c r="AB130" s="4864"/>
      <c r="AC130" s="4865"/>
      <c r="AD130" s="4586"/>
      <c r="AE130" s="4587"/>
      <c r="AF130" s="4587"/>
      <c r="AG130" s="4587"/>
      <c r="AH130" s="952"/>
      <c r="AI130" s="13"/>
      <c r="AJ130" s="13"/>
      <c r="AK130" s="13"/>
      <c r="AL130" s="523"/>
      <c r="AM130" s="2117"/>
      <c r="AN130" s="2117"/>
      <c r="AO130" s="2117"/>
      <c r="AP130" s="2117"/>
      <c r="AQ130" s="4059">
        <v>444444</v>
      </c>
      <c r="AR130" s="4059">
        <f t="shared" si="12"/>
        <v>48700</v>
      </c>
      <c r="AS130" s="4059">
        <f t="shared" si="13"/>
        <v>0.39600000000000002</v>
      </c>
      <c r="AT130" s="4059">
        <f>ROUND(((AQ130*SectD_b7/100)-SectD_d7),0)</f>
        <v>127300</v>
      </c>
      <c r="AU130" s="3363">
        <v>7</v>
      </c>
      <c r="AV130" s="4115"/>
      <c r="AW130" s="4121">
        <v>39.6</v>
      </c>
      <c r="AX130" s="4116">
        <v>48700</v>
      </c>
      <c r="AY130" s="2117"/>
      <c r="AZ130" s="2070"/>
      <c r="BA130" s="2070"/>
      <c r="BB130" s="2070"/>
      <c r="BC130" s="2070"/>
      <c r="BD130" s="2070"/>
    </row>
    <row r="131" spans="1:56" ht="15" customHeight="1">
      <c r="A131" s="857"/>
      <c r="B131" s="389"/>
      <c r="C131" s="735" t="s">
        <v>427</v>
      </c>
      <c r="D131" s="4851" t="s">
        <v>856</v>
      </c>
      <c r="E131" s="4852"/>
      <c r="F131" s="4852"/>
      <c r="G131" s="4853"/>
      <c r="H131" s="4663"/>
      <c r="I131" s="4595"/>
      <c r="J131" s="4595"/>
      <c r="K131" s="4595"/>
      <c r="L131" s="4595"/>
      <c r="M131" s="4595"/>
      <c r="N131" s="4595"/>
      <c r="O131" s="4595"/>
      <c r="P131" s="4595"/>
      <c r="Q131" s="4595"/>
      <c r="R131" s="4595"/>
      <c r="S131" s="4595"/>
      <c r="T131" s="4595"/>
      <c r="U131" s="4595"/>
      <c r="V131" s="4664"/>
      <c r="W131" s="1463"/>
      <c r="X131" s="59" t="s">
        <v>855</v>
      </c>
      <c r="Y131" s="1469"/>
      <c r="Z131" s="4697"/>
      <c r="AA131" s="4698"/>
      <c r="AB131" s="4699"/>
      <c r="AC131" s="4699"/>
      <c r="AD131" s="4699"/>
      <c r="AE131" s="4699"/>
      <c r="AF131" s="4699"/>
      <c r="AG131" s="4700"/>
      <c r="AH131" s="952"/>
      <c r="AI131" s="13"/>
      <c r="AJ131" s="13"/>
      <c r="AK131" s="13"/>
      <c r="AL131" s="523"/>
      <c r="AM131" s="2117"/>
      <c r="AN131" s="2117"/>
      <c r="AO131" s="2117"/>
      <c r="AP131" s="2117"/>
      <c r="AQ131" s="2399"/>
      <c r="AR131" s="2117"/>
      <c r="AS131" s="2117"/>
      <c r="AT131" s="2117"/>
      <c r="AU131" s="2117"/>
      <c r="AV131" s="2117"/>
      <c r="AW131" s="2117"/>
      <c r="AX131" s="2117"/>
      <c r="AY131" s="2117"/>
      <c r="AZ131" s="2070"/>
      <c r="BA131" s="2070"/>
      <c r="BB131" s="2070"/>
      <c r="BC131" s="2070"/>
      <c r="BD131" s="2070"/>
    </row>
    <row r="132" spans="1:56" ht="15" customHeight="1" thickBot="1">
      <c r="A132" s="857"/>
      <c r="B132" s="389"/>
      <c r="C132" s="471"/>
      <c r="D132" s="4890" t="s">
        <v>857</v>
      </c>
      <c r="E132" s="4891"/>
      <c r="F132" s="4891"/>
      <c r="G132" s="4892"/>
      <c r="H132" s="4669"/>
      <c r="I132" s="4670"/>
      <c r="J132" s="4670"/>
      <c r="K132" s="4670"/>
      <c r="L132" s="4670"/>
      <c r="M132" s="4670"/>
      <c r="N132" s="4670"/>
      <c r="O132" s="4670"/>
      <c r="P132" s="4670"/>
      <c r="Q132" s="4670"/>
      <c r="R132" s="4670"/>
      <c r="S132" s="4670"/>
      <c r="T132" s="4670"/>
      <c r="U132" s="4670"/>
      <c r="V132" s="4671"/>
      <c r="W132" s="1465"/>
      <c r="X132" s="42" t="s">
        <v>242</v>
      </c>
      <c r="Y132" s="4658"/>
      <c r="Z132" s="4659"/>
      <c r="AA132" s="4659"/>
      <c r="AB132" s="4659"/>
      <c r="AC132" s="4659"/>
      <c r="AD132" s="4659"/>
      <c r="AE132" s="4659"/>
      <c r="AF132" s="4660"/>
      <c r="AG132" s="4660"/>
      <c r="AH132" s="952"/>
      <c r="AI132" s="13"/>
      <c r="AJ132" s="13"/>
      <c r="AK132" s="13"/>
      <c r="AL132" s="523"/>
      <c r="AM132" s="2117"/>
      <c r="AN132" s="2117"/>
      <c r="AO132" s="2117"/>
      <c r="AP132" s="2117"/>
      <c r="AQ132" s="2399"/>
      <c r="AR132" s="2117"/>
      <c r="AS132" s="2117"/>
      <c r="AT132" s="2117"/>
      <c r="AU132" s="2117"/>
      <c r="AV132" s="2117"/>
      <c r="AW132" s="2117"/>
      <c r="AX132" s="2117"/>
      <c r="AY132" s="2117"/>
      <c r="AZ132" s="2070"/>
      <c r="BA132" s="2070"/>
      <c r="BB132" s="2070"/>
      <c r="BC132" s="2070"/>
      <c r="BD132" s="2070"/>
    </row>
    <row r="133" spans="1:56" ht="15" customHeight="1">
      <c r="A133" s="857"/>
      <c r="B133" s="389"/>
      <c r="C133" s="2283" t="s">
        <v>2100</v>
      </c>
      <c r="D133" s="2155"/>
      <c r="E133" s="2155"/>
      <c r="F133" s="2155"/>
      <c r="G133" s="2155"/>
      <c r="H133" s="2155"/>
      <c r="I133" s="2155"/>
      <c r="J133" s="2155"/>
      <c r="K133" s="2155"/>
      <c r="L133" s="2155"/>
      <c r="M133" s="2155"/>
      <c r="N133" s="2155"/>
      <c r="O133" s="2155"/>
      <c r="P133" s="2155"/>
      <c r="Q133" s="2155"/>
      <c r="R133" s="2155"/>
      <c r="S133" s="2155"/>
      <c r="T133" s="2155"/>
      <c r="U133" s="2155"/>
      <c r="V133" s="2155"/>
      <c r="W133" s="2155"/>
      <c r="X133" s="2155"/>
      <c r="Y133" s="2155"/>
      <c r="Z133" s="2155"/>
      <c r="AA133" s="2155"/>
      <c r="AB133" s="2155"/>
      <c r="AC133" s="2155"/>
      <c r="AD133" s="2155"/>
      <c r="AE133" s="2265" t="s">
        <v>3018</v>
      </c>
      <c r="AF133" s="3598"/>
      <c r="AG133" s="2265" t="str">
        <f>"("&amp;TaxYear&amp;")"</f>
        <v>(2016)</v>
      </c>
      <c r="AH133" s="952"/>
      <c r="AI133" s="13"/>
      <c r="AJ133" s="13"/>
      <c r="AK133" s="13"/>
      <c r="AL133" s="523"/>
      <c r="AM133" s="2117"/>
      <c r="AN133" s="2117"/>
      <c r="AO133" s="2117"/>
      <c r="AP133" s="2117"/>
      <c r="AQ133" s="2107"/>
      <c r="AR133" s="3054"/>
      <c r="AS133" s="3054"/>
      <c r="AT133" s="3054"/>
      <c r="AU133" s="2117"/>
      <c r="AV133" s="2117"/>
      <c r="AW133" s="2117"/>
      <c r="AX133" s="2117"/>
      <c r="AY133" s="2117"/>
      <c r="AZ133" s="2070"/>
      <c r="BA133" s="2070"/>
      <c r="BB133" s="2070"/>
      <c r="BC133" s="2070"/>
      <c r="BD133" s="2070"/>
    </row>
    <row r="134" spans="1:56" ht="13.5" customHeight="1">
      <c r="A134" s="857"/>
      <c r="B134" s="857"/>
      <c r="C134" s="936"/>
      <c r="D134" s="936"/>
      <c r="E134" s="936"/>
      <c r="F134" s="936"/>
      <c r="G134" s="936"/>
      <c r="H134" s="936"/>
      <c r="I134" s="936"/>
      <c r="J134" s="936"/>
      <c r="K134" s="936"/>
      <c r="L134" s="936"/>
      <c r="M134" s="936"/>
      <c r="N134" s="936"/>
      <c r="O134" s="936"/>
      <c r="P134" s="936"/>
      <c r="Q134" s="936"/>
      <c r="R134" s="936"/>
      <c r="S134" s="936"/>
      <c r="T134" s="936"/>
      <c r="U134" s="936"/>
      <c r="V134" s="936"/>
      <c r="W134" s="936"/>
      <c r="X134" s="936"/>
      <c r="Y134" s="936"/>
      <c r="Z134" s="936"/>
      <c r="AA134" s="936"/>
      <c r="AB134" s="936"/>
      <c r="AC134" s="936"/>
      <c r="AD134" s="936"/>
      <c r="AE134" s="936"/>
      <c r="AF134" s="936"/>
      <c r="AG134" s="936"/>
      <c r="AH134" s="952"/>
      <c r="AI134" s="13"/>
      <c r="AJ134" s="13"/>
      <c r="AK134" s="13"/>
      <c r="AL134" s="2399"/>
      <c r="AM134" s="2399"/>
      <c r="AN134" s="2117"/>
      <c r="AO134" s="2117"/>
      <c r="AP134" s="2117"/>
      <c r="AQ134" s="2107"/>
      <c r="AR134" s="3054"/>
      <c r="AS134" s="3054"/>
      <c r="AT134" s="3054"/>
      <c r="AU134" s="2117"/>
      <c r="AV134" s="2117"/>
      <c r="AW134" s="2117"/>
      <c r="AX134" s="2117"/>
      <c r="AY134" s="2117"/>
      <c r="AZ134" s="2070"/>
      <c r="BA134" s="2070"/>
      <c r="BB134" s="2070"/>
      <c r="BC134" s="2070"/>
      <c r="BD134" s="2070"/>
    </row>
    <row r="135" spans="1:56" ht="13.5" customHeight="1" thickBot="1">
      <c r="A135" s="857"/>
      <c r="B135" s="389"/>
      <c r="C135" s="366"/>
      <c r="D135" s="366"/>
      <c r="E135" s="366"/>
      <c r="F135" s="366"/>
      <c r="G135" s="366"/>
      <c r="H135" s="366"/>
      <c r="I135" s="366"/>
      <c r="J135" s="366"/>
      <c r="K135" s="366"/>
      <c r="L135" s="366"/>
      <c r="M135" s="366"/>
      <c r="N135" s="366"/>
      <c r="O135" s="366"/>
      <c r="P135" s="366"/>
      <c r="Q135" s="366"/>
      <c r="R135" s="366"/>
      <c r="S135" s="366"/>
      <c r="T135" s="366"/>
      <c r="U135" s="366"/>
      <c r="V135" s="366"/>
      <c r="W135" s="366"/>
      <c r="X135" s="366"/>
      <c r="Y135" s="366"/>
      <c r="Z135" s="366"/>
      <c r="AA135" s="366"/>
      <c r="AB135" s="366"/>
      <c r="AC135" s="366"/>
      <c r="AD135" s="366"/>
      <c r="AE135" s="366"/>
      <c r="AF135" s="366"/>
      <c r="AG135" s="366"/>
      <c r="AH135" s="366"/>
      <c r="AI135" s="366"/>
      <c r="AJ135" s="366"/>
      <c r="AK135" s="366"/>
      <c r="AL135" s="2399"/>
      <c r="AM135" s="2117"/>
      <c r="AN135" s="2117"/>
      <c r="AO135" s="2117"/>
      <c r="AP135" s="2117"/>
      <c r="AQ135" s="2107"/>
      <c r="AR135" s="3054"/>
      <c r="AS135" s="3054"/>
      <c r="AT135" s="3054"/>
      <c r="AU135" s="2117"/>
      <c r="AV135" s="2117"/>
      <c r="AW135" s="2117"/>
      <c r="AX135" s="2117"/>
      <c r="AY135" s="2117"/>
      <c r="AZ135" s="2070"/>
      <c r="BA135" s="2070"/>
      <c r="BB135" s="2070"/>
      <c r="BC135" s="2070"/>
      <c r="BD135" s="2070"/>
    </row>
    <row r="136" spans="1:56" ht="14.25" customHeight="1" thickTop="1" thickBot="1">
      <c r="A136" s="857"/>
      <c r="C136" s="3"/>
      <c r="D136" s="4884" t="s">
        <v>266</v>
      </c>
      <c r="E136" s="4885"/>
      <c r="F136" s="4885"/>
      <c r="G136" s="4885"/>
      <c r="H136" s="4885"/>
      <c r="I136" s="4885"/>
      <c r="J136" s="4885"/>
      <c r="K136" s="4885"/>
      <c r="L136" s="4885"/>
      <c r="M136" s="4885"/>
      <c r="N136" s="4885"/>
      <c r="O136" s="4885"/>
      <c r="P136" s="4885"/>
      <c r="Q136" s="4885"/>
      <c r="R136" s="4885"/>
      <c r="S136" s="4886"/>
      <c r="T136" s="3"/>
      <c r="U136" s="3"/>
      <c r="V136" s="3"/>
      <c r="W136" s="3"/>
      <c r="X136" s="3"/>
      <c r="Y136" s="3"/>
      <c r="Z136" s="3"/>
      <c r="AA136" s="3"/>
      <c r="AB136" s="3"/>
      <c r="AC136" s="3"/>
      <c r="AD136" s="3"/>
      <c r="AE136" s="3"/>
      <c r="AF136" s="3"/>
      <c r="AG136" s="3"/>
      <c r="AH136" s="12"/>
      <c r="AI136" s="12"/>
      <c r="AJ136" s="12"/>
      <c r="AK136" s="12"/>
      <c r="AL136" s="304"/>
      <c r="AM136" s="64"/>
      <c r="AN136" s="425"/>
      <c r="AO136" s="425"/>
      <c r="AP136" s="425"/>
      <c r="AQ136" s="342"/>
      <c r="AR136" s="342"/>
      <c r="AS136" s="342"/>
      <c r="AT136" s="342"/>
      <c r="AU136" s="64"/>
      <c r="AV136" s="64"/>
      <c r="AW136" s="64"/>
      <c r="AX136" s="64"/>
      <c r="AY136" s="304"/>
    </row>
    <row r="137" spans="1:56" ht="14.25" customHeight="1" thickTop="1" thickBot="1">
      <c r="A137" s="38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12"/>
      <c r="AI137" s="12"/>
      <c r="AJ137" s="12"/>
      <c r="AK137" s="12"/>
      <c r="AL137" s="304"/>
      <c r="AM137" s="64"/>
      <c r="AN137" s="425"/>
      <c r="AO137" s="425"/>
      <c r="AP137" s="425"/>
      <c r="AQ137" s="1475"/>
      <c r="AR137" s="342"/>
      <c r="AS137" s="342"/>
      <c r="AT137" s="342"/>
      <c r="AU137" s="64"/>
      <c r="AV137" s="64"/>
      <c r="AW137" s="64"/>
      <c r="AX137" s="64"/>
      <c r="AY137" s="64"/>
    </row>
    <row r="138" spans="1:56" ht="13.5" customHeight="1" thickTop="1" thickBot="1">
      <c r="C138" s="3"/>
      <c r="D138" s="1273" t="s">
        <v>86</v>
      </c>
      <c r="E138" s="1274"/>
      <c r="F138" s="1274"/>
      <c r="G138" s="1274"/>
      <c r="H138" s="1274"/>
      <c r="I138" s="1274"/>
      <c r="J138" s="1274"/>
      <c r="K138" s="1274"/>
      <c r="L138" s="1274"/>
      <c r="M138" s="1274"/>
      <c r="N138" s="1274"/>
      <c r="O138" s="1274"/>
      <c r="P138" s="1274"/>
      <c r="Q138" s="1274"/>
      <c r="R138" s="1274"/>
      <c r="S138" s="1275"/>
      <c r="T138" s="3"/>
      <c r="U138" s="3"/>
      <c r="V138" s="3"/>
      <c r="W138" s="3"/>
      <c r="X138" s="3"/>
      <c r="Y138" s="3"/>
      <c r="Z138" s="3"/>
      <c r="AA138" s="3"/>
      <c r="AB138" s="3"/>
      <c r="AC138" s="3"/>
      <c r="AD138" s="3"/>
      <c r="AE138" s="3"/>
      <c r="AF138" s="3"/>
      <c r="AG138" s="3"/>
      <c r="AH138" s="12"/>
      <c r="AI138" s="12"/>
      <c r="AJ138" s="12"/>
      <c r="AK138" s="12"/>
      <c r="AL138" s="304"/>
      <c r="AM138" s="64"/>
      <c r="AN138" s="425"/>
      <c r="AO138" s="425"/>
      <c r="AP138" s="425"/>
      <c r="AQ138" s="1475"/>
      <c r="AR138" s="342"/>
      <c r="AS138" s="342"/>
      <c r="AT138" s="342"/>
      <c r="AU138" s="64"/>
      <c r="AV138" s="64"/>
      <c r="AW138" s="64"/>
      <c r="AX138" s="64"/>
      <c r="AY138" s="64"/>
    </row>
    <row r="139" spans="1:56" ht="12" customHeight="1" thickTop="1">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12"/>
      <c r="AI139" s="12"/>
      <c r="AJ139" s="12"/>
      <c r="AK139" s="12"/>
      <c r="AL139" s="304"/>
      <c r="AM139" s="64"/>
      <c r="AN139" s="425"/>
      <c r="AO139" s="425"/>
      <c r="AP139" s="425"/>
      <c r="AQ139" s="1475"/>
      <c r="AR139" s="342"/>
      <c r="AS139" s="342"/>
      <c r="AT139" s="342"/>
      <c r="AU139" s="64"/>
      <c r="AV139" s="64"/>
      <c r="AW139" s="64"/>
      <c r="AX139" s="64"/>
      <c r="AY139" s="64"/>
    </row>
    <row r="140" spans="1:56">
      <c r="X140" s="3"/>
      <c r="Y140" s="3"/>
      <c r="Z140" s="3"/>
      <c r="AA140" s="3"/>
      <c r="AB140" s="3"/>
      <c r="AC140" s="3"/>
      <c r="AD140" s="3"/>
      <c r="AE140" s="3"/>
      <c r="AF140" s="3"/>
      <c r="AG140" s="3"/>
      <c r="AH140" s="12"/>
      <c r="AI140" s="12"/>
      <c r="AJ140" s="12"/>
      <c r="AK140" s="12"/>
      <c r="AL140" s="304"/>
      <c r="AM140" s="64"/>
      <c r="AN140" s="425"/>
      <c r="AO140" s="425"/>
      <c r="AP140" s="425"/>
      <c r="AQ140" s="1475"/>
      <c r="AR140" s="342"/>
      <c r="AS140" s="342"/>
      <c r="AT140" s="342"/>
      <c r="AU140" s="64"/>
      <c r="AV140" s="64"/>
      <c r="AW140" s="64"/>
      <c r="AX140" s="64"/>
      <c r="AY140" s="64"/>
    </row>
    <row r="141" spans="1:56">
      <c r="AH141" s="12"/>
      <c r="AI141" s="12"/>
      <c r="AJ141" s="12"/>
      <c r="AK141" s="12"/>
      <c r="AM141" s="64"/>
      <c r="AN141" s="425"/>
      <c r="AO141" s="425"/>
      <c r="AP141" s="425"/>
      <c r="AQ141" s="1475"/>
      <c r="AR141" s="342"/>
      <c r="AS141" s="1475"/>
      <c r="AT141" s="1475"/>
      <c r="AU141" s="64"/>
      <c r="AV141" s="64"/>
      <c r="AW141" s="64"/>
      <c r="AX141" s="64"/>
      <c r="AY141" s="64"/>
    </row>
    <row r="142" spans="1:56" ht="14.25" customHeight="1">
      <c r="AH142" s="12"/>
      <c r="AI142" s="12"/>
      <c r="AJ142" s="12"/>
      <c r="AK142" s="12"/>
      <c r="AM142" s="64"/>
      <c r="AN142" s="425"/>
      <c r="AO142" s="425"/>
      <c r="AP142" s="425"/>
      <c r="AQ142" s="1475"/>
      <c r="AR142" s="342"/>
      <c r="AS142" s="342"/>
      <c r="AT142" s="342"/>
      <c r="AU142" s="64"/>
      <c r="AV142" s="64"/>
      <c r="AW142" s="64"/>
      <c r="AX142" s="64"/>
      <c r="AY142" s="64"/>
    </row>
    <row r="143" spans="1:56">
      <c r="AQ143" s="1475"/>
      <c r="AR143" s="342"/>
      <c r="AS143" s="1475"/>
      <c r="AT143" s="1475"/>
      <c r="AU143" s="64"/>
      <c r="AV143" s="64"/>
      <c r="AW143" s="64"/>
      <c r="AX143" s="64"/>
      <c r="AY143" s="64"/>
    </row>
    <row r="144" spans="1:56">
      <c r="AQ144" s="1475"/>
      <c r="AR144" s="342"/>
      <c r="AS144" s="342"/>
      <c r="AT144" s="342"/>
      <c r="AU144" s="64"/>
      <c r="AV144" s="64"/>
      <c r="AW144" s="64"/>
      <c r="AX144" s="64"/>
      <c r="AY144" s="64"/>
    </row>
    <row r="145" spans="43:51" ht="14.25" customHeight="1">
      <c r="AQ145" s="1475"/>
      <c r="AR145" s="342"/>
      <c r="AS145" s="1475"/>
      <c r="AT145" s="1475"/>
      <c r="AU145" s="64"/>
      <c r="AV145" s="64"/>
      <c r="AW145" s="64"/>
      <c r="AX145" s="64"/>
      <c r="AY145" s="64"/>
    </row>
    <row r="146" spans="43:51">
      <c r="AQ146" s="1475"/>
      <c r="AR146" s="342"/>
      <c r="AS146" s="342"/>
      <c r="AT146" s="342"/>
      <c r="AU146" s="64"/>
      <c r="AV146" s="64"/>
      <c r="AW146" s="64"/>
      <c r="AX146" s="64"/>
      <c r="AY146" s="64"/>
    </row>
    <row r="147" spans="43:51">
      <c r="AQ147" s="1475"/>
      <c r="AR147" s="342"/>
      <c r="AS147" s="1475"/>
      <c r="AT147" s="1475"/>
      <c r="AU147" s="64"/>
      <c r="AV147" s="64"/>
      <c r="AW147" s="64"/>
      <c r="AX147" s="64"/>
      <c r="AY147" s="64"/>
    </row>
    <row r="148" spans="43:51">
      <c r="AQ148" s="1475"/>
      <c r="AR148" s="342"/>
      <c r="AS148" s="342"/>
      <c r="AT148" s="342"/>
      <c r="AU148" s="64"/>
      <c r="AV148" s="64"/>
      <c r="AW148" s="64"/>
      <c r="AX148" s="64"/>
      <c r="AY148" s="64"/>
    </row>
    <row r="149" spans="43:51">
      <c r="AQ149" s="1475"/>
      <c r="AR149" s="342"/>
      <c r="AS149" s="1475"/>
      <c r="AT149" s="1475"/>
      <c r="AU149" s="64"/>
      <c r="AV149" s="64"/>
      <c r="AW149" s="64"/>
      <c r="AX149" s="64"/>
      <c r="AY149" s="64"/>
    </row>
    <row r="150" spans="43:51">
      <c r="AQ150" s="1475"/>
      <c r="AR150" s="342"/>
      <c r="AS150" s="342"/>
      <c r="AT150" s="342"/>
      <c r="AU150" s="64"/>
      <c r="AV150" s="64"/>
      <c r="AW150" s="64"/>
      <c r="AX150" s="64"/>
      <c r="AY150" s="64"/>
    </row>
    <row r="151" spans="43:51">
      <c r="AQ151" s="1475"/>
      <c r="AR151" s="342"/>
      <c r="AS151" s="1475"/>
      <c r="AT151" s="1475"/>
      <c r="AU151" s="64"/>
      <c r="AV151" s="64"/>
      <c r="AW151" s="64"/>
      <c r="AX151" s="64"/>
      <c r="AY151" s="64"/>
    </row>
    <row r="152" spans="43:51">
      <c r="AQ152" s="1475"/>
      <c r="AR152" s="342"/>
      <c r="AS152" s="342"/>
      <c r="AT152" s="342"/>
      <c r="AU152" s="64"/>
      <c r="AV152" s="64"/>
      <c r="AW152" s="64"/>
      <c r="AX152" s="64"/>
      <c r="AY152" s="64"/>
    </row>
    <row r="153" spans="43:51">
      <c r="AQ153" s="1475"/>
      <c r="AR153" s="342"/>
      <c r="AS153" s="1475"/>
      <c r="AT153" s="1475"/>
      <c r="AU153" s="64"/>
      <c r="AV153" s="64"/>
      <c r="AW153" s="64"/>
      <c r="AX153" s="64"/>
      <c r="AY153" s="64"/>
    </row>
    <row r="154" spans="43:51">
      <c r="AQ154" s="1475"/>
      <c r="AR154" s="342"/>
      <c r="AS154" s="342"/>
      <c r="AT154" s="342"/>
      <c r="AU154" s="64"/>
      <c r="AV154" s="64"/>
      <c r="AW154" s="64"/>
      <c r="AX154" s="64"/>
      <c r="AY154" s="64"/>
    </row>
    <row r="155" spans="43:51">
      <c r="AQ155" s="1475"/>
      <c r="AR155" s="342"/>
      <c r="AS155" s="1475"/>
      <c r="AT155" s="1475"/>
      <c r="AU155" s="64"/>
      <c r="AV155" s="64"/>
      <c r="AW155" s="64"/>
      <c r="AX155" s="64"/>
      <c r="AY155" s="64"/>
    </row>
    <row r="156" spans="43:51">
      <c r="AQ156" s="1475"/>
      <c r="AR156" s="342"/>
      <c r="AS156" s="342"/>
      <c r="AT156" s="342"/>
      <c r="AU156" s="64"/>
      <c r="AV156" s="64"/>
      <c r="AW156" s="64"/>
      <c r="AX156" s="64"/>
      <c r="AY156" s="64"/>
    </row>
    <row r="157" spans="43:51">
      <c r="AQ157" s="1475"/>
      <c r="AR157" s="342"/>
      <c r="AS157" s="1475"/>
      <c r="AT157" s="1475"/>
      <c r="AU157" s="64"/>
      <c r="AV157" s="64"/>
      <c r="AW157" s="64"/>
      <c r="AX157" s="64"/>
      <c r="AY157" s="64"/>
    </row>
    <row r="158" spans="43:51">
      <c r="AQ158" s="1475"/>
      <c r="AR158" s="342"/>
      <c r="AS158" s="342"/>
      <c r="AT158" s="342"/>
      <c r="AU158" s="64"/>
      <c r="AV158" s="64"/>
      <c r="AW158" s="64"/>
      <c r="AX158" s="64"/>
      <c r="AY158" s="64"/>
    </row>
    <row r="159" spans="43:51">
      <c r="AQ159" s="1475"/>
      <c r="AR159" s="342"/>
      <c r="AS159" s="1475"/>
      <c r="AT159" s="1475"/>
      <c r="AU159" s="64"/>
      <c r="AV159" s="64"/>
      <c r="AW159" s="64"/>
      <c r="AX159" s="64"/>
      <c r="AY159" s="64"/>
    </row>
    <row r="160" spans="43:51">
      <c r="AQ160" s="1475"/>
      <c r="AR160" s="342"/>
      <c r="AS160" s="342"/>
      <c r="AT160" s="342"/>
      <c r="AU160" s="64"/>
      <c r="AV160" s="64"/>
      <c r="AW160" s="64"/>
      <c r="AX160" s="64"/>
      <c r="AY160" s="64"/>
    </row>
    <row r="161" spans="43:51">
      <c r="AQ161" s="1475"/>
      <c r="AR161" s="342"/>
      <c r="AS161" s="1475"/>
      <c r="AT161" s="1475"/>
      <c r="AU161" s="64"/>
      <c r="AV161" s="64"/>
      <c r="AW161" s="64"/>
      <c r="AX161" s="64"/>
      <c r="AY161" s="64"/>
    </row>
    <row r="162" spans="43:51">
      <c r="AQ162" s="1475"/>
      <c r="AR162" s="342"/>
      <c r="AS162" s="342"/>
      <c r="AT162" s="342"/>
      <c r="AU162" s="64"/>
      <c r="AV162" s="64"/>
      <c r="AW162" s="64"/>
      <c r="AX162" s="64"/>
      <c r="AY162" s="64"/>
    </row>
    <row r="163" spans="43:51">
      <c r="AQ163" s="1475"/>
      <c r="AR163" s="342"/>
      <c r="AS163" s="1475"/>
      <c r="AT163" s="1475"/>
      <c r="AU163" s="64"/>
      <c r="AV163" s="64"/>
      <c r="AW163" s="64"/>
      <c r="AX163" s="64"/>
      <c r="AY163" s="64"/>
    </row>
    <row r="164" spans="43:51">
      <c r="AQ164" s="1475"/>
      <c r="AR164" s="342"/>
      <c r="AS164" s="342"/>
      <c r="AT164" s="342"/>
      <c r="AU164" s="64"/>
      <c r="AV164" s="64"/>
      <c r="AW164" s="64"/>
      <c r="AX164" s="64"/>
      <c r="AY164" s="64"/>
    </row>
    <row r="165" spans="43:51">
      <c r="AQ165" s="1475"/>
      <c r="AR165" s="342"/>
      <c r="AS165" s="1475"/>
      <c r="AT165" s="1475"/>
      <c r="AU165" s="64"/>
      <c r="AV165" s="64"/>
      <c r="AW165" s="64"/>
      <c r="AX165" s="64"/>
      <c r="AY165" s="64"/>
    </row>
    <row r="166" spans="43:51">
      <c r="AQ166" s="1475"/>
      <c r="AR166" s="342"/>
      <c r="AS166" s="342"/>
      <c r="AT166" s="342"/>
      <c r="AU166" s="64"/>
      <c r="AV166" s="64"/>
      <c r="AW166" s="64"/>
      <c r="AX166" s="64"/>
      <c r="AY166" s="64"/>
    </row>
    <row r="167" spans="43:51">
      <c r="AQ167" s="1475"/>
      <c r="AR167" s="342"/>
      <c r="AS167" s="1475"/>
      <c r="AT167" s="1475"/>
      <c r="AU167" s="64"/>
      <c r="AV167" s="64"/>
      <c r="AW167" s="64"/>
      <c r="AX167" s="64"/>
      <c r="AY167" s="64"/>
    </row>
    <row r="168" spans="43:51">
      <c r="AQ168" s="1475"/>
      <c r="AR168" s="342"/>
      <c r="AS168" s="342"/>
      <c r="AT168" s="342"/>
      <c r="AU168" s="64"/>
      <c r="AV168" s="64"/>
      <c r="AW168" s="64"/>
      <c r="AX168" s="64"/>
      <c r="AY168" s="64"/>
    </row>
  </sheetData>
  <sheetProtection password="F07E" sheet="1" objects="1" scenarios="1"/>
  <mergeCells count="254">
    <mergeCell ref="AL35:AL37"/>
    <mergeCell ref="AJ23:AL24"/>
    <mergeCell ref="AJ2:AK2"/>
    <mergeCell ref="AI74:AJ74"/>
    <mergeCell ref="D136:S136"/>
    <mergeCell ref="AB93:AF93"/>
    <mergeCell ref="AB95:AF95"/>
    <mergeCell ref="AB74:AF74"/>
    <mergeCell ref="AB68:AF68"/>
    <mergeCell ref="O128:R128"/>
    <mergeCell ref="S126:Y126"/>
    <mergeCell ref="D132:G132"/>
    <mergeCell ref="O32:R32"/>
    <mergeCell ref="B15:M16"/>
    <mergeCell ref="N15:S16"/>
    <mergeCell ref="T15:X16"/>
    <mergeCell ref="B32:C32"/>
    <mergeCell ref="Y13:AG14"/>
    <mergeCell ref="AG28:AG29"/>
    <mergeCell ref="AB37:AE37"/>
    <mergeCell ref="AB38:AF38"/>
    <mergeCell ref="AB31:AE33"/>
    <mergeCell ref="AB27:AE28"/>
    <mergeCell ref="AG34:AG35"/>
    <mergeCell ref="AN81:AN82"/>
    <mergeCell ref="D131:G131"/>
    <mergeCell ref="K130:R130"/>
    <mergeCell ref="D130:J130"/>
    <mergeCell ref="D128:N128"/>
    <mergeCell ref="V85:Y85"/>
    <mergeCell ref="V90:Y90"/>
    <mergeCell ref="AM79:AN79"/>
    <mergeCell ref="V69:Z69"/>
    <mergeCell ref="AM77:AN77"/>
    <mergeCell ref="AM78:AN78"/>
    <mergeCell ref="Z130:AC130"/>
    <mergeCell ref="V130:Y130"/>
    <mergeCell ref="AB116:AF116"/>
    <mergeCell ref="AB117:AF117"/>
    <mergeCell ref="V87:Y87"/>
    <mergeCell ref="AB76:AF76"/>
    <mergeCell ref="AB70:AF70"/>
    <mergeCell ref="AB75:AF75"/>
    <mergeCell ref="AB73:AF73"/>
    <mergeCell ref="V88:Y88"/>
    <mergeCell ref="Y74:Z75"/>
    <mergeCell ref="V86:Y86"/>
    <mergeCell ref="D122:F122"/>
    <mergeCell ref="B34:C34"/>
    <mergeCell ref="S34:V34"/>
    <mergeCell ref="O30:R30"/>
    <mergeCell ref="O31:R31"/>
    <mergeCell ref="E35:N35"/>
    <mergeCell ref="Y38:Z38"/>
    <mergeCell ref="E34:N34"/>
    <mergeCell ref="F2:O2"/>
    <mergeCell ref="E32:N32"/>
    <mergeCell ref="E33:N33"/>
    <mergeCell ref="Y6:AG6"/>
    <mergeCell ref="S32:V32"/>
    <mergeCell ref="J23:S23"/>
    <mergeCell ref="AA10:AG11"/>
    <mergeCell ref="AB25:AF26"/>
    <mergeCell ref="Y12:AG12"/>
    <mergeCell ref="AA22:AG22"/>
    <mergeCell ref="S33:V33"/>
    <mergeCell ref="O29:R29"/>
    <mergeCell ref="O33:R33"/>
    <mergeCell ref="W30:AA30"/>
    <mergeCell ref="W29:AA29"/>
    <mergeCell ref="B7:I7"/>
    <mergeCell ref="O34:R34"/>
    <mergeCell ref="B9:I9"/>
    <mergeCell ref="B33:C33"/>
    <mergeCell ref="J7:X7"/>
    <mergeCell ref="J9:X9"/>
    <mergeCell ref="B11:U11"/>
    <mergeCell ref="B13:X13"/>
    <mergeCell ref="Y4:AG4"/>
    <mergeCell ref="B31:C31"/>
    <mergeCell ref="Y7:AG7"/>
    <mergeCell ref="Y5:AG5"/>
    <mergeCell ref="Y8:AG8"/>
    <mergeCell ref="Q3:T4"/>
    <mergeCell ref="B3:B4"/>
    <mergeCell ref="C3:D4"/>
    <mergeCell ref="B18:C19"/>
    <mergeCell ref="K5:Q5"/>
    <mergeCell ref="Y3:AG3"/>
    <mergeCell ref="R5:T5"/>
    <mergeCell ref="U5:X5"/>
    <mergeCell ref="Y9:AG9"/>
    <mergeCell ref="V11:X11"/>
    <mergeCell ref="O49:R49"/>
    <mergeCell ref="O48:R48"/>
    <mergeCell ref="V58:Y58"/>
    <mergeCell ref="V59:Y59"/>
    <mergeCell ref="T55:Y55"/>
    <mergeCell ref="V42:Y42"/>
    <mergeCell ref="K49:M49"/>
    <mergeCell ref="S35:V35"/>
    <mergeCell ref="T38:X38"/>
    <mergeCell ref="O54:Y54"/>
    <mergeCell ref="V40:Y40"/>
    <mergeCell ref="O53:R53"/>
    <mergeCell ref="K48:M48"/>
    <mergeCell ref="V56:Y56"/>
    <mergeCell ref="P59:S59"/>
    <mergeCell ref="O35:R35"/>
    <mergeCell ref="AI39:AK39"/>
    <mergeCell ref="AI38:AK38"/>
    <mergeCell ref="AI35:AK35"/>
    <mergeCell ref="V63:Y63"/>
    <mergeCell ref="O64:S64"/>
    <mergeCell ref="L66:S66"/>
    <mergeCell ref="V66:Y66"/>
    <mergeCell ref="V62:Y62"/>
    <mergeCell ref="V57:Y57"/>
    <mergeCell ref="F57:S57"/>
    <mergeCell ref="AB46:AF46"/>
    <mergeCell ref="AB43:AF43"/>
    <mergeCell ref="AB39:AF39"/>
    <mergeCell ref="AB41:AF41"/>
    <mergeCell ref="AB34:AE35"/>
    <mergeCell ref="AB44:AF44"/>
    <mergeCell ref="AI47:AK47"/>
    <mergeCell ref="AB47:AF47"/>
    <mergeCell ref="AI48:AK48"/>
    <mergeCell ref="AB45:AF45"/>
    <mergeCell ref="AI49:AK49"/>
    <mergeCell ref="AB50:AF50"/>
    <mergeCell ref="AB53:AF53"/>
    <mergeCell ref="V61:Y61"/>
    <mergeCell ref="AB51:AF51"/>
    <mergeCell ref="C77:C83"/>
    <mergeCell ref="AB78:AF78"/>
    <mergeCell ref="AB77:AF77"/>
    <mergeCell ref="V60:Y60"/>
    <mergeCell ref="V65:Y65"/>
    <mergeCell ref="V64:Y64"/>
    <mergeCell ref="V67:Y67"/>
    <mergeCell ref="V68:Y68"/>
    <mergeCell ref="X81:Z81"/>
    <mergeCell ref="C85:C86"/>
    <mergeCell ref="C88:C89"/>
    <mergeCell ref="O91:P91"/>
    <mergeCell ref="AB101:AF101"/>
    <mergeCell ref="R91:S91"/>
    <mergeCell ref="R69:T69"/>
    <mergeCell ref="Z131:AG131"/>
    <mergeCell ref="C91:C92"/>
    <mergeCell ref="AB96:AF96"/>
    <mergeCell ref="AB98:AF98"/>
    <mergeCell ref="AB92:AF92"/>
    <mergeCell ref="AB109:AF109"/>
    <mergeCell ref="AB106:AF106"/>
    <mergeCell ref="AB107:AF107"/>
    <mergeCell ref="AB104:AF104"/>
    <mergeCell ref="AB105:AF105"/>
    <mergeCell ref="V104:Y104"/>
    <mergeCell ref="B73:C73"/>
    <mergeCell ref="B74:C74"/>
    <mergeCell ref="AB99:AF99"/>
    <mergeCell ref="AB80:AF80"/>
    <mergeCell ref="V112:Y112"/>
    <mergeCell ref="V105:Y105"/>
    <mergeCell ref="D129:J129"/>
    <mergeCell ref="Y132:AG132"/>
    <mergeCell ref="V103:Y103"/>
    <mergeCell ref="I116:P116"/>
    <mergeCell ref="I117:R117"/>
    <mergeCell ref="H131:V131"/>
    <mergeCell ref="AB119:AF119"/>
    <mergeCell ref="Z126:AG126"/>
    <mergeCell ref="H132:V132"/>
    <mergeCell ref="G122:M122"/>
    <mergeCell ref="P122:T122"/>
    <mergeCell ref="K129:R129"/>
    <mergeCell ref="O126:R126"/>
    <mergeCell ref="V106:Y106"/>
    <mergeCell ref="AB115:AF115"/>
    <mergeCell ref="AB113:AF113"/>
    <mergeCell ref="AB114:AF114"/>
    <mergeCell ref="R112:S112"/>
    <mergeCell ref="D126:N126"/>
    <mergeCell ref="V110:Y110"/>
    <mergeCell ref="V107:Y107"/>
    <mergeCell ref="AB48:AF48"/>
    <mergeCell ref="AB49:AF49"/>
    <mergeCell ref="AB82:AF82"/>
    <mergeCell ref="V102:Y102"/>
    <mergeCell ref="V91:Y91"/>
    <mergeCell ref="AB59:AF59"/>
    <mergeCell ref="U100:Y100"/>
    <mergeCell ref="AB97:AF97"/>
    <mergeCell ref="AB100:AF100"/>
    <mergeCell ref="AB84:AF84"/>
    <mergeCell ref="AB81:AF81"/>
    <mergeCell ref="AB83:AF83"/>
    <mergeCell ref="AB52:AF52"/>
    <mergeCell ref="AB94:AF94"/>
    <mergeCell ref="V89:Y89"/>
    <mergeCell ref="AB79:AF79"/>
    <mergeCell ref="AB69:AF69"/>
    <mergeCell ref="AB67:AF67"/>
    <mergeCell ref="AB55:AF55"/>
    <mergeCell ref="AB54:AF54"/>
    <mergeCell ref="AB66:AF66"/>
    <mergeCell ref="AB65:AF65"/>
    <mergeCell ref="AB58:AF58"/>
    <mergeCell ref="AB64:AF64"/>
    <mergeCell ref="V97:Y99"/>
    <mergeCell ref="AD130:AG130"/>
    <mergeCell ref="Z129:AA129"/>
    <mergeCell ref="S128:Y128"/>
    <mergeCell ref="V118:Y118"/>
    <mergeCell ref="S127:Y127"/>
    <mergeCell ref="V111:Y111"/>
    <mergeCell ref="V120:Y120"/>
    <mergeCell ref="S117:Z117"/>
    <mergeCell ref="Z128:AB128"/>
    <mergeCell ref="AB118:AF118"/>
    <mergeCell ref="AC128:AG128"/>
    <mergeCell ref="V108:Y108"/>
    <mergeCell ref="V109:Y109"/>
    <mergeCell ref="AB122:AG122"/>
    <mergeCell ref="AB110:AF110"/>
    <mergeCell ref="S125:Y125"/>
    <mergeCell ref="O105:S105"/>
    <mergeCell ref="N122:O122"/>
    <mergeCell ref="AB102:AF102"/>
    <mergeCell ref="AB103:AF103"/>
    <mergeCell ref="AM81:AM82"/>
    <mergeCell ref="AI100:AK100"/>
    <mergeCell ref="AJ99:AK99"/>
    <mergeCell ref="AI101:AK101"/>
    <mergeCell ref="AI103:AK103"/>
    <mergeCell ref="AI102:AK102"/>
    <mergeCell ref="AI98:AK98"/>
    <mergeCell ref="AJ96:AK96"/>
    <mergeCell ref="AI97:AK97"/>
    <mergeCell ref="AI82:AK82"/>
    <mergeCell ref="AJ83:AK83"/>
    <mergeCell ref="AI40:AK40"/>
    <mergeCell ref="AI45:AK45"/>
    <mergeCell ref="AI44:AK44"/>
    <mergeCell ref="AI41:AK41"/>
    <mergeCell ref="AI42:AK42"/>
    <mergeCell ref="AI43:AK43"/>
    <mergeCell ref="AI107:AK107"/>
    <mergeCell ref="AI108:AK108"/>
    <mergeCell ref="AJ106:AK106"/>
    <mergeCell ref="AJ104:AK104"/>
    <mergeCell ref="AI105:AK105"/>
  </mergeCells>
  <phoneticPr fontId="12" type="noConversion"/>
  <conditionalFormatting sqref="F123">
    <cfRule type="expression" dxfId="1944" priority="239" stopIfTrue="1">
      <formula>IF(AND($AB$119&gt;1000,$AB$119&gt;0.1*$AB$103,$U$120="",$AB$119&lt;&gt;""),1,0)</formula>
    </cfRule>
  </conditionalFormatting>
  <conditionalFormatting sqref="AI110 AI113:AI114">
    <cfRule type="expression" dxfId="1943" priority="243" stopIfTrue="1">
      <formula>IF($AB$104&lt;&gt;"",1,0)</formula>
    </cfRule>
  </conditionalFormatting>
  <conditionalFormatting sqref="AB116:AF118">
    <cfRule type="expression" dxfId="1942" priority="244" stopIfTrue="1">
      <formula>IF($AI$119&lt;&gt;"",1,0)</formula>
    </cfRule>
  </conditionalFormatting>
  <conditionalFormatting sqref="AI96">
    <cfRule type="expression" dxfId="1941" priority="246" stopIfTrue="1">
      <formula>IF($AH$96,1,0)</formula>
    </cfRule>
  </conditionalFormatting>
  <conditionalFormatting sqref="E4:AG4 E3:Y3">
    <cfRule type="expression" dxfId="1940" priority="233">
      <formula>IF($AJ$3&lt;&gt;"",1,0)</formula>
    </cfRule>
  </conditionalFormatting>
  <conditionalFormatting sqref="K5">
    <cfRule type="expression" dxfId="1939" priority="232">
      <formula>IF($AJ$3&lt;&gt;"",1,0)</formula>
    </cfRule>
  </conditionalFormatting>
  <conditionalFormatting sqref="U5">
    <cfRule type="expression" dxfId="1938" priority="230">
      <formula>IF($AJ$3&lt;&gt;"",1,0)</formula>
    </cfRule>
  </conditionalFormatting>
  <conditionalFormatting sqref="B7:AG7">
    <cfRule type="expression" dxfId="1937" priority="229">
      <formula>IF(NoColor,1,0)</formula>
    </cfRule>
  </conditionalFormatting>
  <conditionalFormatting sqref="B9:AG9">
    <cfRule type="expression" dxfId="1936" priority="228">
      <formula>IF($AJ$3&lt;&gt;"",1,0)</formula>
    </cfRule>
  </conditionalFormatting>
  <conditionalFormatting sqref="B11:X11">
    <cfRule type="expression" dxfId="1935" priority="227">
      <formula>IF($AJ$3&lt;&gt;"",1,0)</formula>
    </cfRule>
  </conditionalFormatting>
  <conditionalFormatting sqref="B13:X13">
    <cfRule type="expression" dxfId="1934" priority="226">
      <formula>IF($AJ$3&lt;&gt;"",1,0)</formula>
    </cfRule>
  </conditionalFormatting>
  <conditionalFormatting sqref="B15:X16">
    <cfRule type="expression" dxfId="1933" priority="225">
      <formula>IF($AJ$3&lt;&gt;"",1,0)</formula>
    </cfRule>
  </conditionalFormatting>
  <conditionalFormatting sqref="J23:S23 AB77:AF82 D82:AA82 AB84:AF84 AB92:AF98 AB100:AF101 D84:AA96 D98:U98 D97:V97 Z97:AA98">
    <cfRule type="expression" dxfId="1932" priority="224">
      <formula>IF(NoColor,1,0)</formula>
    </cfRule>
  </conditionalFormatting>
  <conditionalFormatting sqref="E32:V35">
    <cfRule type="expression" dxfId="1931" priority="223">
      <formula>IF($AJ$3&lt;&gt;"",1,0)</formula>
    </cfRule>
  </conditionalFormatting>
  <conditionalFormatting sqref="Y32:Y35">
    <cfRule type="expression" dxfId="1930" priority="222">
      <formula>IF($AJ$3&lt;&gt;"",1,0)</formula>
    </cfRule>
  </conditionalFormatting>
  <conditionalFormatting sqref="AG26">
    <cfRule type="expression" dxfId="1929" priority="221">
      <formula>IF($AJ$3&lt;&gt;"",1,0)</formula>
    </cfRule>
  </conditionalFormatting>
  <conditionalFormatting sqref="AG28:AG29">
    <cfRule type="expression" dxfId="1928" priority="220">
      <formula>IF($AJ$3&lt;&gt;"",1,0)</formula>
    </cfRule>
  </conditionalFormatting>
  <conditionalFormatting sqref="AG32">
    <cfRule type="expression" dxfId="1927" priority="219">
      <formula>IF($AJ$3&lt;&gt;"",1,0)</formula>
    </cfRule>
  </conditionalFormatting>
  <conditionalFormatting sqref="AG34:AG35">
    <cfRule type="expression" dxfId="1926" priority="218">
      <formula>IF($AJ$3&lt;&gt;"",1,0)</formula>
    </cfRule>
  </conditionalFormatting>
  <conditionalFormatting sqref="AG37">
    <cfRule type="expression" dxfId="1925" priority="217">
      <formula>IF($AJ$3&lt;&gt;"",1,0)</formula>
    </cfRule>
  </conditionalFormatting>
  <conditionalFormatting sqref="E18">
    <cfRule type="expression" dxfId="1924" priority="216">
      <formula>IF($AJ$3&lt;&gt;"",1,0)</formula>
    </cfRule>
  </conditionalFormatting>
  <conditionalFormatting sqref="E20">
    <cfRule type="expression" dxfId="1923" priority="215">
      <formula>IF($AJ$3&lt;&gt;"",1,0)</formula>
    </cfRule>
  </conditionalFormatting>
  <conditionalFormatting sqref="E22">
    <cfRule type="expression" dxfId="1922" priority="214">
      <formula>IF($AJ$3&lt;&gt;"",1,0)</formula>
    </cfRule>
  </conditionalFormatting>
  <conditionalFormatting sqref="E26">
    <cfRule type="expression" dxfId="1921" priority="213">
      <formula>IF($AJ$3&lt;&gt;"",1,0)</formula>
    </cfRule>
  </conditionalFormatting>
  <conditionalFormatting sqref="E28">
    <cfRule type="expression" dxfId="1920" priority="212">
      <formula>IF($AJ$3&lt;&gt;"",1,0)</formula>
    </cfRule>
  </conditionalFormatting>
  <conditionalFormatting sqref="AB15">
    <cfRule type="expression" dxfId="1919" priority="211">
      <formula>IF($AJ$3&lt;&gt;"",1,0)</formula>
    </cfRule>
  </conditionalFormatting>
  <conditionalFormatting sqref="AE15">
    <cfRule type="expression" dxfId="1918" priority="210">
      <formula>IF($AJ$3&lt;&gt;"",1,0)</formula>
    </cfRule>
  </conditionalFormatting>
  <conditionalFormatting sqref="AA22:AG22">
    <cfRule type="expression" dxfId="1917" priority="209">
      <formula>IF($AJ$3&lt;&gt;"",1,0)</formula>
    </cfRule>
  </conditionalFormatting>
  <conditionalFormatting sqref="U18">
    <cfRule type="expression" dxfId="1916" priority="208">
      <formula>IF($AJ$3&lt;&gt;"",1,0)</formula>
    </cfRule>
  </conditionalFormatting>
  <conditionalFormatting sqref="U23">
    <cfRule type="expression" dxfId="1915" priority="207">
      <formula>IF($AJ$3&lt;&gt;"",1,0)</formula>
    </cfRule>
  </conditionalFormatting>
  <conditionalFormatting sqref="D34">
    <cfRule type="expression" dxfId="1914" priority="206">
      <formula>IF($AJ$3&lt;&gt;"",1,0)</formula>
    </cfRule>
  </conditionalFormatting>
  <conditionalFormatting sqref="AB38:AF39">
    <cfRule type="expression" dxfId="1913" priority="205">
      <formula>IF($AJ$3&lt;&gt;"",1,0)</formula>
    </cfRule>
  </conditionalFormatting>
  <conditionalFormatting sqref="AB41:AF41">
    <cfRule type="expression" dxfId="1912" priority="202">
      <formula>IF($AJ$3&lt;&gt;"",1,0)</formula>
    </cfRule>
  </conditionalFormatting>
  <conditionalFormatting sqref="V56:Y68">
    <cfRule type="expression" dxfId="1911" priority="196">
      <formula>IF($AJ$3&lt;&gt;"",1,0)</formula>
    </cfRule>
  </conditionalFormatting>
  <conditionalFormatting sqref="AB69:AF70">
    <cfRule type="expression" dxfId="1910" priority="195">
      <formula>IF($AJ$3&lt;&gt;"",1,0)</formula>
    </cfRule>
  </conditionalFormatting>
  <conditionalFormatting sqref="H74:H75">
    <cfRule type="expression" dxfId="1909" priority="194">
      <formula>IF($AJ$3&lt;&gt;"",1,0)</formula>
    </cfRule>
  </conditionalFormatting>
  <conditionalFormatting sqref="S74:S75">
    <cfRule type="expression" dxfId="1908" priority="193">
      <formula>IF($AJ$3&lt;&gt;"",1,0)</formula>
    </cfRule>
  </conditionalFormatting>
  <conditionalFormatting sqref="Y74:Z75">
    <cfRule type="expression" dxfId="1907" priority="192">
      <formula>IF($AJ$3&lt;&gt;"",1,0)</formula>
    </cfRule>
  </conditionalFormatting>
  <conditionalFormatting sqref="Z76">
    <cfRule type="expression" dxfId="1906" priority="191">
      <formula>IF($AJ$3&lt;&gt;"",1,0)</formula>
    </cfRule>
  </conditionalFormatting>
  <conditionalFormatting sqref="N81">
    <cfRule type="expression" dxfId="1905" priority="189">
      <formula>IF($AJ$3&lt;&gt;"",1,0)</formula>
    </cfRule>
  </conditionalFormatting>
  <conditionalFormatting sqref="S81">
    <cfRule type="expression" dxfId="1904" priority="188">
      <formula>IF($AJ$3&lt;&gt;"",1,0)</formula>
    </cfRule>
  </conditionalFormatting>
  <conditionalFormatting sqref="W81">
    <cfRule type="expression" dxfId="1903" priority="187">
      <formula>IF($AJ$3&lt;&gt;"",1,0)</formula>
    </cfRule>
  </conditionalFormatting>
  <conditionalFormatting sqref="V85:Y91">
    <cfRule type="expression" dxfId="1902" priority="186">
      <formula>IF($AJ$3&lt;&gt;"",1,0)</formula>
    </cfRule>
  </conditionalFormatting>
  <conditionalFormatting sqref="K91">
    <cfRule type="expression" dxfId="1901" priority="185">
      <formula>IF($AJ$3&lt;&gt;"",1,0)</formula>
    </cfRule>
  </conditionalFormatting>
  <conditionalFormatting sqref="N91">
    <cfRule type="expression" dxfId="1900" priority="184">
      <formula>IF($AJ$3&lt;&gt;"",1,0)</formula>
    </cfRule>
  </conditionalFormatting>
  <conditionalFormatting sqref="Q91">
    <cfRule type="expression" dxfId="1899" priority="183">
      <formula>IF($AJ$3&lt;&gt;"",1,0)</formula>
    </cfRule>
  </conditionalFormatting>
  <conditionalFormatting sqref="S95">
    <cfRule type="expression" dxfId="1898" priority="181">
      <formula>IF($AJ$3&lt;&gt;"",1,0)</formula>
    </cfRule>
  </conditionalFormatting>
  <conditionalFormatting sqref="V95">
    <cfRule type="expression" dxfId="1897" priority="180">
      <formula>IF($AJ$3&lt;&gt;"",1,0)</formula>
    </cfRule>
  </conditionalFormatting>
  <conditionalFormatting sqref="O100:V100">
    <cfRule type="expression" dxfId="1896" priority="179">
      <formula>IF($AJ$3&lt;&gt;"",1,0)</formula>
    </cfRule>
  </conditionalFormatting>
  <conditionalFormatting sqref="V102:Y104">
    <cfRule type="expression" dxfId="1895" priority="178">
      <formula>IF($AJ$3&lt;&gt;"",1,0)</formula>
    </cfRule>
  </conditionalFormatting>
  <conditionalFormatting sqref="O105:S105">
    <cfRule type="expression" dxfId="1894" priority="177">
      <formula>IF($AJ$3&lt;&gt;"",1,0)</formula>
    </cfRule>
  </conditionalFormatting>
  <conditionalFormatting sqref="V106:Y112">
    <cfRule type="expression" dxfId="1893" priority="176">
      <formula>IF($AJ$3&lt;&gt;"",1,0)</formula>
    </cfRule>
  </conditionalFormatting>
  <conditionalFormatting sqref="I112">
    <cfRule type="expression" dxfId="1892" priority="175">
      <formula>IF($AJ$3&lt;&gt;"",1,0)</formula>
    </cfRule>
  </conditionalFormatting>
  <conditionalFormatting sqref="L112">
    <cfRule type="expression" dxfId="1891" priority="174">
      <formula>IF($AJ$3&lt;&gt;"",1,0)</formula>
    </cfRule>
  </conditionalFormatting>
  <conditionalFormatting sqref="N112">
    <cfRule type="expression" dxfId="1890" priority="173">
      <formula>IF($AJ$3&lt;&gt;"",1,0)</formula>
    </cfRule>
  </conditionalFormatting>
  <conditionalFormatting sqref="Q112">
    <cfRule type="expression" dxfId="1889" priority="172">
      <formula>IF($AJ$3&lt;&gt;"",1,0)</formula>
    </cfRule>
  </conditionalFormatting>
  <conditionalFormatting sqref="AB113:AF115">
    <cfRule type="expression" dxfId="1888" priority="171">
      <formula>IF($AJ$3&lt;&gt;"",1,0)</formula>
    </cfRule>
  </conditionalFormatting>
  <conditionalFormatting sqref="Y115">
    <cfRule type="expression" dxfId="1887" priority="170">
      <formula>IF($AJ$3&lt;&gt;"",1,0)</formula>
    </cfRule>
  </conditionalFormatting>
  <conditionalFormatting sqref="X116">
    <cfRule type="expression" dxfId="1886" priority="169">
      <formula>IF($AJ$3&lt;&gt;"",1,0)</formula>
    </cfRule>
  </conditionalFormatting>
  <conditionalFormatting sqref="T116">
    <cfRule type="expression" dxfId="1885" priority="168">
      <formula>IF($AJ$3&lt;&gt;"",1,0)</formula>
    </cfRule>
  </conditionalFormatting>
  <conditionalFormatting sqref="I116:P116">
    <cfRule type="expression" dxfId="1884" priority="167">
      <formula>IF($AJ$3&lt;&gt;"",1,0)</formula>
    </cfRule>
  </conditionalFormatting>
  <conditionalFormatting sqref="I117:R117">
    <cfRule type="expression" dxfId="1883" priority="166">
      <formula>IF($AJ$3&lt;&gt;"",1,0)</formula>
    </cfRule>
  </conditionalFormatting>
  <conditionalFormatting sqref="V118:Y118">
    <cfRule type="expression" dxfId="1882" priority="165">
      <formula>IF($AJ$3&lt;&gt;"",1,0)</formula>
    </cfRule>
  </conditionalFormatting>
  <conditionalFormatting sqref="V120:Y120">
    <cfRule type="expression" dxfId="1881" priority="164">
      <formula>IF($AJ$3&lt;&gt;"",1,0)</formula>
    </cfRule>
  </conditionalFormatting>
  <conditionalFormatting sqref="AB119:AF119">
    <cfRule type="expression" dxfId="1880" priority="163">
      <formula>IF($AJ$3&lt;&gt;"",1,0)</formula>
    </cfRule>
  </conditionalFormatting>
  <conditionalFormatting sqref="AE121">
    <cfRule type="expression" dxfId="1879" priority="162">
      <formula>IF($AJ$3&lt;&gt;"",1,0)</formula>
    </cfRule>
  </conditionalFormatting>
  <conditionalFormatting sqref="X121">
    <cfRule type="expression" dxfId="1878" priority="161">
      <formula>IF($AJ$3&lt;&gt;"",1,0)</formula>
    </cfRule>
  </conditionalFormatting>
  <conditionalFormatting sqref="G122:M122">
    <cfRule type="expression" dxfId="1877" priority="160">
      <formula>IF($AJ$3&lt;&gt;"",1,0)</formula>
    </cfRule>
  </conditionalFormatting>
  <conditionalFormatting sqref="P122:T122">
    <cfRule type="expression" dxfId="1876" priority="159">
      <formula>IF($AJ$3&lt;&gt;"",1,0)</formula>
    </cfRule>
  </conditionalFormatting>
  <conditionalFormatting sqref="AB122:AG122">
    <cfRule type="expression" dxfId="1875" priority="158">
      <formula>IF($AJ$3&lt;&gt;"",1,0)</formula>
    </cfRule>
  </conditionalFormatting>
  <conditionalFormatting sqref="D126:N126">
    <cfRule type="expression" dxfId="1874" priority="157">
      <formula>IF($AJ$3&lt;&gt;"",1,0)</formula>
    </cfRule>
  </conditionalFormatting>
  <conditionalFormatting sqref="O126:R126">
    <cfRule type="expression" dxfId="1873" priority="156">
      <formula>IF($AJ$3&lt;&gt;"",1,0)</formula>
    </cfRule>
  </conditionalFormatting>
  <conditionalFormatting sqref="S126:Y126">
    <cfRule type="expression" dxfId="1872" priority="155">
      <formula>IF($AJ$3&lt;&gt;"",1,0)</formula>
    </cfRule>
  </conditionalFormatting>
  <conditionalFormatting sqref="Z126:AG126">
    <cfRule type="expression" dxfId="1871" priority="154">
      <formula>IF($AJ$3&lt;&gt;"",1,0)</formula>
    </cfRule>
  </conditionalFormatting>
  <conditionalFormatting sqref="D128:N128">
    <cfRule type="expression" dxfId="1870" priority="153">
      <formula>IF($AJ$3&lt;&gt;"",1,0)</formula>
    </cfRule>
  </conditionalFormatting>
  <conditionalFormatting sqref="O128:R128">
    <cfRule type="expression" dxfId="1869" priority="152">
      <formula>IF($AJ$3&lt;&gt;"",1,0)</formula>
    </cfRule>
  </conditionalFormatting>
  <conditionalFormatting sqref="S128:Y128">
    <cfRule type="expression" dxfId="1868" priority="151">
      <formula>IF($AJ$3&lt;&gt;"",1,0)</formula>
    </cfRule>
  </conditionalFormatting>
  <conditionalFormatting sqref="AC128:AG128">
    <cfRule type="expression" dxfId="1867" priority="150">
      <formula>IF($AJ$3&lt;&gt;"",1,0)</formula>
    </cfRule>
  </conditionalFormatting>
  <conditionalFormatting sqref="AB129">
    <cfRule type="expression" dxfId="1866" priority="149">
      <formula>IF($AJ$3&lt;&gt;"",1,0)</formula>
    </cfRule>
  </conditionalFormatting>
  <conditionalFormatting sqref="D130:J130">
    <cfRule type="expression" dxfId="1865" priority="148">
      <formula>IF($AJ$3&lt;&gt;"",1,0)</formula>
    </cfRule>
  </conditionalFormatting>
  <conditionalFormatting sqref="K130:R130">
    <cfRule type="expression" dxfId="1864" priority="147">
      <formula>IF($AJ$3&lt;&gt;"",1,0)</formula>
    </cfRule>
  </conditionalFormatting>
  <conditionalFormatting sqref="V130:Y130">
    <cfRule type="expression" dxfId="1863" priority="146">
      <formula>IF($AJ$3&lt;&gt;"",1,0)</formula>
    </cfRule>
  </conditionalFormatting>
  <conditionalFormatting sqref="AD130:AG130">
    <cfRule type="expression" dxfId="1862" priority="145">
      <formula>IF($AJ$3&lt;&gt;"",1,0)</formula>
    </cfRule>
  </conditionalFormatting>
  <conditionalFormatting sqref="H131:V132">
    <cfRule type="expression" dxfId="1861" priority="144">
      <formula>IF($AJ$3&lt;&gt;"",1,0)</formula>
    </cfRule>
  </conditionalFormatting>
  <conditionalFormatting sqref="Z131:AG131">
    <cfRule type="expression" dxfId="1860" priority="143">
      <formula>IF($AJ$3&lt;&gt;"",1,0)</formula>
    </cfRule>
  </conditionalFormatting>
  <conditionalFormatting sqref="Y132:AE132">
    <cfRule type="expression" dxfId="1859" priority="142">
      <formula>IF($AJ$3&lt;&gt;"",1,0)</formula>
    </cfRule>
  </conditionalFormatting>
  <conditionalFormatting sqref="Y10:AG14">
    <cfRule type="expression" dxfId="1858" priority="141">
      <formula>IF($AJ$3&lt;&gt;"",1,0)</formula>
    </cfRule>
  </conditionalFormatting>
  <conditionalFormatting sqref="Y15:AA16">
    <cfRule type="expression" dxfId="1857" priority="140">
      <formula>IF(NoColor,1,0)</formula>
    </cfRule>
  </conditionalFormatting>
  <conditionalFormatting sqref="AB16:AG16">
    <cfRule type="expression" dxfId="1856" priority="139">
      <formula>IF($AJ$3&lt;&gt;"",1,0)</formula>
    </cfRule>
  </conditionalFormatting>
  <conditionalFormatting sqref="AC15:AD15">
    <cfRule type="expression" dxfId="1855" priority="138">
      <formula>IF(NoColor,1,0)</formula>
    </cfRule>
  </conditionalFormatting>
  <conditionalFormatting sqref="AF15:AG15">
    <cfRule type="expression" dxfId="1854" priority="137">
      <formula>IF(NoColor,1,0)</formula>
    </cfRule>
  </conditionalFormatting>
  <conditionalFormatting sqref="D17:AG24">
    <cfRule type="expression" dxfId="1853" priority="136">
      <formula>IF($AJ$3&lt;&gt;"",1,0)</formula>
    </cfRule>
  </conditionalFormatting>
  <conditionalFormatting sqref="D25:AG37">
    <cfRule type="expression" dxfId="1852" priority="135">
      <formula>IF($AJ$3&lt;&gt;"",1,0)</formula>
    </cfRule>
  </conditionalFormatting>
  <conditionalFormatting sqref="B71:AG72">
    <cfRule type="expression" dxfId="1851" priority="132">
      <formula>IF($AJ$3&lt;&gt;"",1,0)</formula>
    </cfRule>
  </conditionalFormatting>
  <conditionalFormatting sqref="D81:Y81 AA81 Z100:AA100 D100:V100 D101:AA120 D73:AA80">
    <cfRule type="expression" dxfId="1850" priority="131">
      <formula>IF($AJ$3&lt;&gt;"",1,0)</formula>
    </cfRule>
  </conditionalFormatting>
  <conditionalFormatting sqref="S73:Y73">
    <cfRule type="expression" dxfId="1849" priority="129">
      <formula>IF($AJ$3&lt;&gt;"",1,0)</formula>
    </cfRule>
    <cfRule type="expression" dxfId="1848" priority="130">
      <formula>IF($AJ$3&lt;&gt;"",1,0)</formula>
    </cfRule>
  </conditionalFormatting>
  <conditionalFormatting sqref="D121:AG126">
    <cfRule type="expression" dxfId="1847" priority="128">
      <formula>IF(NoColor,1,0)</formula>
    </cfRule>
  </conditionalFormatting>
  <conditionalFormatting sqref="D127:AG127">
    <cfRule type="expression" dxfId="1846" priority="127">
      <formula>IF($AJ$3&lt;&gt;"",1,0)</formula>
    </cfRule>
  </conditionalFormatting>
  <conditionalFormatting sqref="D133:AG133">
    <cfRule type="expression" dxfId="1845" priority="112">
      <formula>IF($AJ$3&lt;&gt;"",1,0)</formula>
    </cfRule>
    <cfRule type="expression" dxfId="1844" priority="126">
      <formula>IF($AJ$3&lt;&gt;"",1,0)</formula>
    </cfRule>
  </conditionalFormatting>
  <conditionalFormatting sqref="R91:S91 T66 L66 T59 P59 R69">
    <cfRule type="expression" dxfId="1843" priority="125">
      <formula>IF(NoColor,1,0)</formula>
    </cfRule>
  </conditionalFormatting>
  <conditionalFormatting sqref="D56:T58 D66:K66 D59:O59 D67:T68 D70:T70 D69:Q69 D60:T65">
    <cfRule type="expression" dxfId="1842" priority="122">
      <formula>IF(NoColor,1,0)</formula>
    </cfRule>
  </conditionalFormatting>
  <conditionalFormatting sqref="U69:AA70">
    <cfRule type="expression" dxfId="1841" priority="121">
      <formula>IF(NoColor,1,0)</formula>
    </cfRule>
  </conditionalFormatting>
  <conditionalFormatting sqref="AB43:AF55">
    <cfRule type="expression" dxfId="1840" priority="120">
      <formula>IF(NoColor,1,0)</formula>
    </cfRule>
  </conditionalFormatting>
  <conditionalFormatting sqref="X81:Y81">
    <cfRule type="expression" dxfId="1839" priority="119">
      <formula>IF(NoColor,1,0)</formula>
    </cfRule>
  </conditionalFormatting>
  <conditionalFormatting sqref="H100">
    <cfRule type="expression" dxfId="1838" priority="118">
      <formula>IF($AJ$3&lt;&gt;"",1,0)</formula>
    </cfRule>
  </conditionalFormatting>
  <conditionalFormatting sqref="L100">
    <cfRule type="expression" dxfId="1837" priority="117">
      <formula>IF($AJ$3&lt;&gt;"",1,0)</formula>
    </cfRule>
  </conditionalFormatting>
  <conditionalFormatting sqref="N100">
    <cfRule type="expression" dxfId="1836" priority="116">
      <formula>IF($AJ$3&lt;&gt;"",1,0)</formula>
    </cfRule>
  </conditionalFormatting>
  <conditionalFormatting sqref="U100:V100">
    <cfRule type="expression" dxfId="1835" priority="115">
      <formula>IF(NoColor,1,0)</formula>
    </cfRule>
  </conditionalFormatting>
  <conditionalFormatting sqref="R112:S112">
    <cfRule type="expression" dxfId="1834" priority="114">
      <formula>IF(NoColor,1,0)</formula>
    </cfRule>
  </conditionalFormatting>
  <conditionalFormatting sqref="R112:S112">
    <cfRule type="expression" dxfId="1833" priority="113">
      <formula>IF(NoColor,1,0)</formula>
    </cfRule>
  </conditionalFormatting>
  <conditionalFormatting sqref="L100">
    <cfRule type="expression" dxfId="1832" priority="107">
      <formula>IF($AJ$3&lt;&gt;"",1,0)</formula>
    </cfRule>
  </conditionalFormatting>
  <conditionalFormatting sqref="AB73:AF73">
    <cfRule type="expression" dxfId="1831" priority="105">
      <formula>IF($AJ$3&lt;&gt;"",1,0)</formula>
    </cfRule>
  </conditionalFormatting>
  <conditionalFormatting sqref="L66">
    <cfRule type="expression" dxfId="1830" priority="104">
      <formula>IF($AL$66&gt;AI66,1,0)</formula>
    </cfRule>
  </conditionalFormatting>
  <conditionalFormatting sqref="D83:AA83">
    <cfRule type="expression" dxfId="1829" priority="103">
      <formula>IF($AJ$3&lt;&gt;"",1,0)</formula>
    </cfRule>
  </conditionalFormatting>
  <conditionalFormatting sqref="D99:T99 Z99:AA99">
    <cfRule type="expression" dxfId="1828" priority="99">
      <formula>IF($AJ$3&lt;&gt;"",1,0)</formula>
    </cfRule>
  </conditionalFormatting>
  <conditionalFormatting sqref="U99">
    <cfRule type="expression" dxfId="1827" priority="92">
      <formula>IF($AJ$3&lt;&gt;"",1,0)</formula>
    </cfRule>
  </conditionalFormatting>
  <conditionalFormatting sqref="U99">
    <cfRule type="expression" dxfId="1826" priority="93">
      <formula>IF($AJ$3&lt;&gt;"",1,0)</formula>
    </cfRule>
  </conditionalFormatting>
  <conditionalFormatting sqref="AB99:AF99">
    <cfRule type="expression" dxfId="1825" priority="91">
      <formula>IF($AJ$3&lt;&gt;"",1,0)</formula>
    </cfRule>
  </conditionalFormatting>
  <conditionalFormatting sqref="D38:AA55">
    <cfRule type="expression" dxfId="1824" priority="90">
      <formula>IF(NoColor,1,0)</formula>
    </cfRule>
  </conditionalFormatting>
  <conditionalFormatting sqref="X46">
    <cfRule type="expression" dxfId="1823" priority="89">
      <formula>IF(NoColor,1,0)</formula>
    </cfRule>
  </conditionalFormatting>
  <conditionalFormatting sqref="AB83:AF83">
    <cfRule type="expression" dxfId="1822" priority="88">
      <formula>IF($AJ$3&lt;&gt;"",1,0)</formula>
    </cfRule>
  </conditionalFormatting>
  <conditionalFormatting sqref="AI97:AK97">
    <cfRule type="expression" dxfId="1821" priority="87" stopIfTrue="1">
      <formula>IF($AH$96,1,0)</formula>
    </cfRule>
  </conditionalFormatting>
  <conditionalFormatting sqref="AI98:AK98">
    <cfRule type="expression" dxfId="1820" priority="86" stopIfTrue="1">
      <formula>IF($AH$96,1,0)</formula>
    </cfRule>
  </conditionalFormatting>
  <conditionalFormatting sqref="AJ96:AK96">
    <cfRule type="expression" dxfId="1819" priority="85" stopIfTrue="1">
      <formula>IF($AH$96,1,0)</formula>
    </cfRule>
  </conditionalFormatting>
  <conditionalFormatting sqref="AI99">
    <cfRule type="expression" dxfId="1818" priority="83">
      <formula>IF($U$99&lt;&gt;"",1,0)</formula>
    </cfRule>
  </conditionalFormatting>
  <conditionalFormatting sqref="AJ99:AK99">
    <cfRule type="expression" dxfId="1817" priority="81">
      <formula>IF($U$99&lt;&gt;"",1,0)</formula>
    </cfRule>
  </conditionalFormatting>
  <conditionalFormatting sqref="AI100:AJ100">
    <cfRule type="expression" dxfId="1816" priority="80">
      <formula>IF($U$99&lt;&gt;"",1,0)</formula>
    </cfRule>
  </conditionalFormatting>
  <conditionalFormatting sqref="V104:Y104">
    <cfRule type="expression" dxfId="1815" priority="79">
      <formula>IF($AJ$3&lt;&gt;"",1,0)</formula>
    </cfRule>
  </conditionalFormatting>
  <conditionalFormatting sqref="C133:AG133">
    <cfRule type="expression" dxfId="1814" priority="78">
      <formula>IF(NoColor,1,0)</formula>
    </cfRule>
  </conditionalFormatting>
  <conditionalFormatting sqref="AB53:AF53">
    <cfRule type="expression" dxfId="1813" priority="77">
      <formula>IF(ISERROR(ROUND(Tax_SS_Benefits,0)),1,0)</formula>
    </cfRule>
  </conditionalFormatting>
  <conditionalFormatting sqref="AJ104:AK104">
    <cfRule type="expression" dxfId="1812" priority="75">
      <formula>IF($AI$103&gt;0,1,0)</formula>
    </cfRule>
  </conditionalFormatting>
  <conditionalFormatting sqref="AI104">
    <cfRule type="expression" dxfId="1811" priority="73">
      <formula>IF($AI$103&gt;0,1,0)</formula>
    </cfRule>
  </conditionalFormatting>
  <conditionalFormatting sqref="AI116">
    <cfRule type="expression" dxfId="1810" priority="72">
      <formula>IF(AND(You_Owe&lt;&gt;"",You_Owe&gt;1000,You_Owe&gt;0.1*Tot_Tax),1,0)</formula>
    </cfRule>
  </conditionalFormatting>
  <conditionalFormatting sqref="AB54:AF54">
    <cfRule type="expression" dxfId="1809" priority="71">
      <formula>IF(ISERROR(ROUND(Tax_SS_Benefits,0)),1,0)</formula>
    </cfRule>
  </conditionalFormatting>
  <conditionalFormatting sqref="AB77:AF77">
    <cfRule type="expression" dxfId="1808" priority="2">
      <formula>IF(Birthday_Needed&lt;&gt;"",1,0)</formula>
    </cfRule>
    <cfRule type="expression" dxfId="1807" priority="31">
      <formula>IF(OR(NumFileStatusBoxes=0,NumFileStatusBoxes&gt;1),1,0)</formula>
    </cfRule>
  </conditionalFormatting>
  <conditionalFormatting sqref="E28">
    <cfRule type="expression" dxfId="1806" priority="30">
      <formula>IF($AJ$3&lt;&gt;"",1,0)</formula>
    </cfRule>
  </conditionalFormatting>
  <conditionalFormatting sqref="V120:Y120">
    <cfRule type="expression" dxfId="1805" priority="29">
      <formula>IF($AJ$3&lt;&gt;"",1,0)</formula>
    </cfRule>
  </conditionalFormatting>
  <conditionalFormatting sqref="V118:Y118">
    <cfRule type="expression" dxfId="1804" priority="28">
      <formula>IF($AJ$3&lt;&gt;"",1,0)</formula>
    </cfRule>
  </conditionalFormatting>
  <conditionalFormatting sqref="AK28">
    <cfRule type="expression" dxfId="1803" priority="25">
      <formula>IF(File_Marr_Joint="",1,0)</formula>
    </cfRule>
  </conditionalFormatting>
  <conditionalFormatting sqref="E20">
    <cfRule type="expression" dxfId="1802" priority="24">
      <formula>IF($AJ$3&lt;&gt;"",1,0)</formula>
    </cfRule>
  </conditionalFormatting>
  <conditionalFormatting sqref="AM13:AO13">
    <cfRule type="expression" dxfId="1801" priority="20">
      <formula>IF(File_Marr_Joint="",1,0)</formula>
    </cfRule>
    <cfRule type="expression" dxfId="1800" priority="22">
      <formula>IF(NoColor,1,0)</formula>
    </cfRule>
  </conditionalFormatting>
  <conditionalFormatting sqref="AM11:AO11">
    <cfRule type="expression" dxfId="1799" priority="21">
      <formula>IF(NoColor,1,0)</formula>
    </cfRule>
  </conditionalFormatting>
  <conditionalFormatting sqref="AK9">
    <cfRule type="expression" dxfId="1798" priority="19">
      <formula>IF(OR(AND(File_Marr_Joint&lt;&gt;"",AQ11,AQ13),AND(File_Marr_Joint="",AQ11)),1,0)</formula>
    </cfRule>
  </conditionalFormatting>
  <conditionalFormatting sqref="AM14">
    <cfRule type="expression" dxfId="1797" priority="18">
      <formula>IF($AT$57,1,0)</formula>
    </cfRule>
  </conditionalFormatting>
  <conditionalFormatting sqref="AM12">
    <cfRule type="expression" dxfId="1796" priority="17">
      <formula>IF($AT$42,1,0)</formula>
    </cfRule>
  </conditionalFormatting>
  <conditionalFormatting sqref="AI107:AJ107">
    <cfRule type="expression" dxfId="1795" priority="15">
      <formula>IF(AND($V$104="",EIC_Check,EICNumQualChild=""),1,0)</formula>
    </cfRule>
  </conditionalFormatting>
  <conditionalFormatting sqref="AI108:AJ108">
    <cfRule type="expression" dxfId="1794" priority="12">
      <formula>IF(AND($AI$104="",$V$104="",EIC_Check,EICNumQualChild=""),1,0)</formula>
    </cfRule>
  </conditionalFormatting>
  <conditionalFormatting sqref="AI106">
    <cfRule type="expression" dxfId="1793" priority="11">
      <formula>IF(AND($V$104="",EIC_Check,EICNumQualChild=""),1,0)</formula>
    </cfRule>
  </conditionalFormatting>
  <conditionalFormatting sqref="AJ106:AK106">
    <cfRule type="expression" dxfId="1792" priority="10">
      <formula>IF(AND($V$104="",EIC_Check,EICNumQualChild=""),1,0)</formula>
    </cfRule>
  </conditionalFormatting>
  <conditionalFormatting sqref="AB103:AF103">
    <cfRule type="expression" dxfId="1791" priority="9">
      <formula>IF($AB$103&lt;&gt;"",1,0)</formula>
    </cfRule>
  </conditionalFormatting>
  <conditionalFormatting sqref="AI105:AJ105">
    <cfRule type="expression" dxfId="1790" priority="8">
      <formula>IF($AI$103&gt;0,1,0)</formula>
    </cfRule>
  </conditionalFormatting>
  <conditionalFormatting sqref="AB104:AF104">
    <cfRule type="expression" dxfId="1789" priority="7">
      <formula>IF($AB$104&lt;&gt;"",1,0)</formula>
    </cfRule>
  </conditionalFormatting>
  <conditionalFormatting sqref="AB105:AF105">
    <cfRule type="expression" dxfId="1788" priority="6">
      <formula>IF($AB$105&lt;&gt;"",1,0)</formula>
    </cfRule>
  </conditionalFormatting>
  <conditionalFormatting sqref="AI43:AK43">
    <cfRule type="expression" dxfId="1787" priority="5">
      <formula>$AM$40</formula>
    </cfRule>
  </conditionalFormatting>
  <conditionalFormatting sqref="AI46:AK46">
    <cfRule type="expression" dxfId="1786" priority="4">
      <formula>IF(AND($AL$46="",$X$46),1,0)</formula>
    </cfRule>
  </conditionalFormatting>
  <conditionalFormatting sqref="AI44:AK44">
    <cfRule type="expression" dxfId="1785" priority="3">
      <formula>IF(AND($AL$46="",$X$46),1,0)</formula>
    </cfRule>
  </conditionalFormatting>
  <conditionalFormatting sqref="AI83">
    <cfRule type="expression" dxfId="1784" priority="1">
      <formula>IF(NOT(F6251_Needed),1,0)</formula>
    </cfRule>
  </conditionalFormatting>
  <hyperlinks>
    <hyperlink ref="F2" r:id="rId1"/>
    <hyperlink ref="D136" r:id="rId2"/>
    <hyperlink ref="D138" r:id="rId3"/>
    <hyperlink ref="D138:S138" r:id="rId4" display="Download Form 1040 from IRS"/>
    <hyperlink ref="D140:S140" r:id="rId5" display="Download Form 1040 from IRS"/>
  </hyperlinks>
  <printOptions horizontalCentered="1"/>
  <pageMargins left="0.42" right="0.17" top="0.39" bottom="0.56000000000000005" header="0" footer="0"/>
  <pageSetup scale="80" fitToHeight="0" orientation="portrait" horizontalDpi="4294967293" verticalDpi="4294967293" r:id="rId6"/>
  <headerFooter alignWithMargins="0"/>
  <rowBreaks count="1" manualBreakCount="1">
    <brk id="71" min="1" max="32" man="1"/>
  </rowBreaks>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Y61"/>
  <sheetViews>
    <sheetView zoomScaleNormal="100" workbookViewId="0">
      <selection activeCell="B35" sqref="B35"/>
    </sheetView>
  </sheetViews>
  <sheetFormatPr defaultColWidth="9.140625" defaultRowHeight="12.75"/>
  <cols>
    <col min="1" max="1" width="2" style="64" customWidth="1"/>
    <col min="2" max="2" width="3.5703125" style="64" customWidth="1"/>
    <col min="3" max="3" width="2.85546875" style="64" customWidth="1"/>
    <col min="4" max="4" width="5.28515625" style="64" customWidth="1"/>
    <col min="5" max="5" width="9.5703125" style="64" customWidth="1"/>
    <col min="6" max="6" width="2.85546875" style="64" customWidth="1"/>
    <col min="7" max="7" width="40.7109375" style="64" customWidth="1"/>
    <col min="8" max="8" width="7.5703125" style="64" customWidth="1"/>
    <col min="9" max="9" width="4.85546875" style="64" customWidth="1"/>
    <col min="10" max="10" width="13.42578125" style="64" customWidth="1"/>
    <col min="11" max="11" width="3.5703125" style="64" customWidth="1"/>
    <col min="12" max="12" width="13.42578125" style="64" customWidth="1"/>
    <col min="13" max="13" width="3.42578125" style="64" customWidth="1"/>
    <col min="14" max="14" width="2.5703125" style="64" customWidth="1"/>
    <col min="15" max="15" width="2.7109375" style="64" customWidth="1"/>
    <col min="16" max="16" width="3.28515625" style="64" customWidth="1"/>
    <col min="17" max="17" width="1.85546875" style="64" customWidth="1"/>
    <col min="18" max="18" width="10.85546875" style="64" customWidth="1"/>
    <col min="19" max="19" width="18.5703125" style="64" customWidth="1"/>
    <col min="20" max="20" width="8.85546875" style="64" customWidth="1"/>
    <col min="21" max="16384" width="9.140625" style="64"/>
  </cols>
  <sheetData>
    <row r="1" spans="1:14" ht="15.75" customHeight="1">
      <c r="A1" s="112"/>
      <c r="B1" s="112"/>
      <c r="C1" s="112"/>
      <c r="D1" s="112"/>
      <c r="E1" s="112"/>
      <c r="F1" s="112"/>
      <c r="G1" s="112"/>
      <c r="H1" s="112"/>
      <c r="I1" s="112"/>
      <c r="J1" s="112"/>
      <c r="K1" s="112"/>
      <c r="L1" s="112"/>
      <c r="M1" s="112"/>
      <c r="N1" s="112"/>
    </row>
    <row r="2" spans="1:14" ht="13.5" customHeight="1">
      <c r="A2" s="112"/>
      <c r="B2" s="2771" t="s">
        <v>1685</v>
      </c>
      <c r="C2" s="2770"/>
      <c r="D2" s="2770"/>
      <c r="E2" s="2770"/>
      <c r="F2" s="2770"/>
      <c r="G2" s="2770"/>
      <c r="H2" s="2770"/>
      <c r="I2" s="2770"/>
      <c r="J2" s="2770"/>
      <c r="K2" s="2770"/>
      <c r="L2" s="2770"/>
      <c r="M2" s="112"/>
      <c r="N2" s="112"/>
    </row>
    <row r="3" spans="1:14" ht="13.5" customHeight="1">
      <c r="A3" s="112"/>
      <c r="B3" s="2772" t="str">
        <f>"1. You received a refund in "&amp;TaxYear&amp;" that is for a tax year other than "&amp;TaxYear-1&amp;"."</f>
        <v>1. You received a refund in 2016 that is for a tax year other than 2015.</v>
      </c>
      <c r="C3" s="2770"/>
      <c r="D3" s="2770"/>
      <c r="E3" s="2770"/>
      <c r="F3" s="2770"/>
      <c r="G3" s="2770"/>
      <c r="H3" s="2770"/>
      <c r="I3" s="2770"/>
      <c r="J3" s="2770"/>
      <c r="K3" s="2770"/>
      <c r="L3" s="2770"/>
      <c r="M3" s="112"/>
      <c r="N3" s="112"/>
    </row>
    <row r="4" spans="1:14" ht="13.5" customHeight="1">
      <c r="A4" s="112"/>
      <c r="B4" s="2772" t="str">
        <f>"2. You received a refund other than an income tax refund, such as a general sales tax or real property tax refund, in "&amp;TaxYear&amp;" of an amount deducted or"</f>
        <v>2. You received a refund other than an income tax refund, such as a general sales tax or real property tax refund, in 2016 of an amount deducted or</v>
      </c>
      <c r="C4" s="2770"/>
      <c r="D4" s="2770"/>
      <c r="E4" s="2770"/>
      <c r="F4" s="2770"/>
      <c r="G4" s="2770"/>
      <c r="H4" s="2770"/>
      <c r="I4" s="2770"/>
      <c r="J4" s="2770"/>
      <c r="K4" s="2770"/>
      <c r="L4" s="2770"/>
      <c r="M4" s="112"/>
      <c r="N4" s="112"/>
    </row>
    <row r="5" spans="1:14" ht="13.5" customHeight="1">
      <c r="A5" s="112"/>
      <c r="B5" s="2772" t="s">
        <v>1686</v>
      </c>
      <c r="C5" s="2770"/>
      <c r="D5" s="2770"/>
      <c r="E5" s="2770"/>
      <c r="F5" s="2770"/>
      <c r="G5" s="2770"/>
      <c r="H5" s="2770"/>
      <c r="I5" s="2770"/>
      <c r="J5" s="2770"/>
      <c r="K5" s="2770"/>
      <c r="L5" s="2770"/>
      <c r="M5" s="112"/>
      <c r="N5" s="112"/>
    </row>
    <row r="6" spans="1:14" ht="13.5" customHeight="1">
      <c r="A6" s="112"/>
      <c r="B6" s="2772" t="str">
        <f>"3. The amount on your "&amp;TaxYear-1&amp;" Form 1040, line 42, was more than the amount on your "&amp;TaxYear-1&amp;" Form 1040, line 41."</f>
        <v>3. The amount on your 2015 Form 1040, line 42, was more than the amount on your 2015 Form 1040, line 41.</v>
      </c>
      <c r="C6" s="2770"/>
      <c r="D6" s="2770"/>
      <c r="E6" s="2770"/>
      <c r="F6" s="2770"/>
      <c r="G6" s="2770"/>
      <c r="H6" s="2770"/>
      <c r="I6" s="2770"/>
      <c r="J6" s="2770"/>
      <c r="K6" s="2770"/>
      <c r="L6" s="2770"/>
      <c r="M6" s="112"/>
      <c r="N6" s="112"/>
    </row>
    <row r="7" spans="1:14" ht="13.5" customHeight="1">
      <c r="A7" s="112"/>
      <c r="B7" s="2772" t="str">
        <f>"4. You had taxable income on your "&amp;TaxYear-1&amp;" Form 1040, line 43, but no tax on your Form 1040, line 44, because of the 0% tax rate on net capital gain and"</f>
        <v>4. You had taxable income on your 2015 Form 1040, line 43, but no tax on your Form 1040, line 44, because of the 0% tax rate on net capital gain and</v>
      </c>
      <c r="C7" s="2770"/>
      <c r="D7" s="2770"/>
      <c r="E7" s="2770"/>
      <c r="F7" s="2770"/>
      <c r="G7" s="2770"/>
      <c r="H7" s="2770"/>
      <c r="I7" s="2770"/>
      <c r="J7" s="2770"/>
      <c r="K7" s="2770"/>
      <c r="L7" s="2770"/>
      <c r="M7" s="112"/>
      <c r="N7" s="112"/>
    </row>
    <row r="8" spans="1:14" ht="13.5" customHeight="1">
      <c r="A8" s="112"/>
      <c r="B8" s="2772" t="s">
        <v>1687</v>
      </c>
      <c r="C8" s="2770"/>
      <c r="D8" s="2770"/>
      <c r="E8" s="2770"/>
      <c r="F8" s="2770"/>
      <c r="G8" s="2770"/>
      <c r="H8" s="2770"/>
      <c r="I8" s="2770"/>
      <c r="J8" s="2770"/>
      <c r="K8" s="2770"/>
      <c r="L8" s="2770"/>
      <c r="M8" s="112"/>
      <c r="N8" s="112"/>
    </row>
    <row r="9" spans="1:14" ht="13.5" customHeight="1">
      <c r="A9" s="112"/>
      <c r="B9" s="2772" t="str">
        <f>"5. Your "&amp;TaxYear-1&amp;" state and local income tax refund is more than your "&amp;TaxYear-1&amp;" state and local income tax deduction minus the amount you could have"</f>
        <v>5. Your 2015 state and local income tax refund is more than your 2015 state and local income tax deduction minus the amount you could have</v>
      </c>
      <c r="C9" s="2770"/>
      <c r="D9" s="2770"/>
      <c r="E9" s="2770"/>
      <c r="F9" s="2770"/>
      <c r="G9" s="2770"/>
      <c r="H9" s="2770"/>
      <c r="I9" s="2770"/>
      <c r="J9" s="2770"/>
      <c r="K9" s="2770"/>
      <c r="L9" s="2770"/>
      <c r="M9" s="112"/>
      <c r="N9" s="112"/>
    </row>
    <row r="10" spans="1:14" ht="12.75" customHeight="1">
      <c r="A10" s="112"/>
      <c r="B10" s="2772" t="str">
        <f>"    deducted as your "&amp;TaxYear-1&amp;" state and local general sales taxes."</f>
        <v xml:space="preserve">    deducted as your 2015 state and local general sales taxes.</v>
      </c>
      <c r="C10" s="2770"/>
      <c r="D10" s="2770"/>
      <c r="E10" s="2770"/>
      <c r="F10" s="2770"/>
      <c r="G10" s="2770"/>
      <c r="H10" s="2770"/>
      <c r="I10" s="2770"/>
      <c r="J10" s="2770"/>
      <c r="K10" s="2770"/>
      <c r="L10" s="2770"/>
      <c r="M10" s="112"/>
      <c r="N10" s="112"/>
    </row>
    <row r="11" spans="1:14" ht="13.5" customHeight="1">
      <c r="A11" s="112"/>
      <c r="B11" s="2772" t="str">
        <f>"6. You made your last payment of "&amp;TaxYear-1&amp;" estimated state or local income tax in "&amp;TaxYear&amp;"."</f>
        <v>6. You made your last payment of 2015 estimated state or local income tax in 2016.</v>
      </c>
      <c r="C11" s="2770"/>
      <c r="D11" s="2770"/>
      <c r="E11" s="2770"/>
      <c r="F11" s="2770"/>
      <c r="G11" s="2770"/>
      <c r="H11" s="2770"/>
      <c r="I11" s="2770"/>
      <c r="J11" s="2770"/>
      <c r="K11" s="2770"/>
      <c r="L11" s="2770"/>
      <c r="M11" s="112"/>
      <c r="N11" s="112"/>
    </row>
    <row r="12" spans="1:14" ht="13.5" customHeight="1">
      <c r="A12" s="112"/>
      <c r="B12" s="2772" t="str">
        <f>"7. You owed alternative minimum tax in "&amp;TaxYear-1&amp;"."</f>
        <v>7. You owed alternative minimum tax in 2015.</v>
      </c>
      <c r="C12" s="2770"/>
      <c r="D12" s="2770"/>
      <c r="E12" s="2770"/>
      <c r="F12" s="2770"/>
      <c r="G12" s="2770"/>
      <c r="H12" s="2770"/>
      <c r="I12" s="2770"/>
      <c r="J12" s="2770"/>
      <c r="K12" s="2770"/>
      <c r="L12" s="2770"/>
      <c r="M12" s="112"/>
      <c r="N12" s="112"/>
    </row>
    <row r="13" spans="1:14" ht="13.5" customHeight="1">
      <c r="A13" s="112"/>
      <c r="B13" s="2772" t="str">
        <f>"8. You could not use the full amount of credits you were entitled to in "&amp;TaxYear-1&amp;" because the total credits were more than"</f>
        <v>8. You could not use the full amount of credits you were entitled to in 2015 because the total credits were more than</v>
      </c>
      <c r="C13" s="2770"/>
      <c r="D13" s="2770"/>
      <c r="E13" s="2770"/>
      <c r="F13" s="2770"/>
      <c r="G13" s="2770"/>
      <c r="H13" s="2770"/>
      <c r="I13" s="2770"/>
      <c r="J13" s="2770"/>
      <c r="K13" s="2770"/>
      <c r="L13" s="2770"/>
      <c r="M13" s="112"/>
      <c r="N13" s="112"/>
    </row>
    <row r="14" spans="1:14" ht="13.5" customHeight="1">
      <c r="A14" s="112"/>
      <c r="B14" s="2772" t="str">
        <f>"    the amount shown on your "&amp;TaxYear-1&amp;" Form 1040, line 47."</f>
        <v xml:space="preserve">    the amount shown on your 2015 Form 1040, line 47.</v>
      </c>
      <c r="C14" s="2770"/>
      <c r="D14" s="2770"/>
      <c r="E14" s="2770"/>
      <c r="F14" s="2770"/>
      <c r="G14" s="2770"/>
      <c r="H14" s="2770"/>
      <c r="I14" s="2770"/>
      <c r="J14" s="2770"/>
      <c r="K14" s="2770"/>
      <c r="L14" s="2770"/>
      <c r="M14" s="112"/>
      <c r="N14" s="112"/>
    </row>
    <row r="15" spans="1:14" ht="13.5" customHeight="1">
      <c r="A15" s="112"/>
      <c r="B15" s="2772" t="str">
        <f>"9. You could be claimed as a dependent someone else in "&amp;TaxYear-1&amp;"."</f>
        <v>9. You could be claimed as a dependent someone else in 2015.</v>
      </c>
      <c r="C15" s="2770"/>
      <c r="D15" s="2770"/>
      <c r="E15" s="2770"/>
      <c r="F15" s="2770"/>
      <c r="G15" s="2770"/>
      <c r="H15" s="2770"/>
      <c r="I15" s="2770"/>
      <c r="J15" s="2770"/>
      <c r="K15" s="2770"/>
      <c r="L15" s="2770"/>
      <c r="M15" s="112"/>
      <c r="N15" s="112"/>
    </row>
    <row r="16" spans="1:14" ht="13.5" customHeight="1">
      <c r="A16" s="112"/>
      <c r="B16" s="2772" t="str">
        <f>"10. You received a refund because of a jointly filed state or local income tax return, but you are not filing a joint "&amp;TaxYear&amp;" Form 1040 with the same person."</f>
        <v>10. You received a refund because of a jointly filed state or local income tax return, but you are not filing a joint 2016 Form 1040 with the same person.</v>
      </c>
      <c r="C16" s="2770"/>
      <c r="D16" s="2770"/>
      <c r="E16" s="2770"/>
      <c r="F16" s="2770"/>
      <c r="G16" s="2770"/>
      <c r="H16" s="2770"/>
      <c r="I16" s="2770"/>
      <c r="J16" s="2770"/>
      <c r="K16" s="2770"/>
      <c r="L16" s="2770"/>
      <c r="M16" s="112"/>
      <c r="N16" s="112"/>
    </row>
    <row r="17" spans="1:25" ht="13.5" customHeight="1">
      <c r="A17" s="112"/>
      <c r="B17" s="2772" t="str">
        <f>"11. You had to use the Itemized Deductions Worksheet in the "&amp;TaxYear-1&amp;" Instructions for Schedule A and both of the following apply."</f>
        <v>11. You had to use the Itemized Deductions Worksheet in the 2015 Instructions for Schedule A and both of the following apply.</v>
      </c>
      <c r="C17" s="2770"/>
      <c r="D17" s="2770"/>
      <c r="E17" s="2770"/>
      <c r="F17" s="2770"/>
      <c r="G17" s="2770"/>
      <c r="H17" s="2770"/>
      <c r="I17" s="2770"/>
      <c r="J17" s="2770"/>
      <c r="K17" s="2770"/>
      <c r="L17" s="2770"/>
      <c r="M17" s="112"/>
      <c r="N17" s="112"/>
    </row>
    <row r="18" spans="1:25" ht="13.5" customHeight="1">
      <c r="A18" s="112"/>
      <c r="B18" s="2772"/>
      <c r="C18" s="2770" t="str">
        <f>"a.  You could not deduct all of the amount on the "&amp;TaxYear-1&amp;" Itemized Deductions Worksheet, line 1."</f>
        <v>a.  You could not deduct all of the amount on the 2015 Itemized Deductions Worksheet, line 1.</v>
      </c>
      <c r="D18" s="2770"/>
      <c r="E18" s="2770"/>
      <c r="F18" s="2770"/>
      <c r="G18" s="2770"/>
      <c r="H18" s="2770"/>
      <c r="I18" s="2770"/>
      <c r="J18" s="2770"/>
      <c r="K18" s="2770"/>
      <c r="L18" s="2770"/>
      <c r="M18" s="112"/>
      <c r="N18" s="112"/>
    </row>
    <row r="19" spans="1:25" ht="13.5" customHeight="1">
      <c r="A19" s="112"/>
      <c r="B19" s="2772"/>
      <c r="C19" s="2770" t="str">
        <f>"b.  The amount on line 8 of that "&amp;TaxYear-1&amp;" worksheet would be more than the amount on line 4 of that worksheet if the amount on line 4 were reduced"</f>
        <v>b.  The amount on line 8 of that 2015 worksheet would be more than the amount on line 4 of that worksheet if the amount on line 4 were reduced</v>
      </c>
      <c r="D19" s="2770"/>
      <c r="E19" s="2770"/>
      <c r="F19" s="2770"/>
      <c r="G19" s="2770"/>
      <c r="H19" s="2770"/>
      <c r="I19" s="2770"/>
      <c r="J19" s="2770"/>
      <c r="K19" s="2770"/>
      <c r="L19" s="2770"/>
      <c r="M19" s="112"/>
      <c r="N19" s="112"/>
    </row>
    <row r="20" spans="1:25" ht="13.5" customHeight="1">
      <c r="A20" s="112"/>
      <c r="B20" s="2772"/>
      <c r="C20" s="2770" t="str">
        <f>"      by 80% of the refund you received in "&amp;TaxYear&amp;"."</f>
        <v xml:space="preserve">      by 80% of the refund you received in 2016.</v>
      </c>
      <c r="D20" s="2770"/>
      <c r="E20" s="2770"/>
      <c r="F20" s="2770"/>
      <c r="G20" s="2770"/>
      <c r="H20" s="2770"/>
      <c r="I20" s="2770"/>
      <c r="J20" s="2770"/>
      <c r="K20" s="2770"/>
      <c r="L20" s="2770"/>
      <c r="M20" s="112"/>
      <c r="N20" s="112"/>
    </row>
    <row r="21" spans="1:25">
      <c r="A21" s="112"/>
      <c r="B21" s="112"/>
      <c r="C21" s="112"/>
      <c r="D21" s="112"/>
      <c r="E21" s="112"/>
      <c r="F21" s="112"/>
      <c r="G21" s="112"/>
      <c r="H21" s="112"/>
      <c r="I21" s="112"/>
      <c r="J21" s="112"/>
      <c r="K21" s="112"/>
      <c r="L21" s="112"/>
      <c r="M21" s="112"/>
      <c r="N21" s="112"/>
    </row>
    <row r="22" spans="1:25" ht="31.5" customHeight="1" thickBot="1">
      <c r="A22" s="961"/>
      <c r="B22" s="119" t="s">
        <v>408</v>
      </c>
      <c r="C22" s="120"/>
      <c r="D22" s="121"/>
      <c r="E22" s="121"/>
      <c r="F22" s="121"/>
      <c r="G22" s="121"/>
      <c r="H22" s="121"/>
      <c r="I22" s="472"/>
      <c r="J22" s="485"/>
      <c r="K22" s="472" t="s">
        <v>290</v>
      </c>
      <c r="L22" s="123"/>
      <c r="M22" s="123"/>
      <c r="N22" s="961"/>
      <c r="O22" s="124"/>
      <c r="P22" s="124"/>
      <c r="Q22" s="124"/>
      <c r="R22" s="124"/>
    </row>
    <row r="23" spans="1:25" ht="15.75" customHeight="1">
      <c r="A23" s="961"/>
      <c r="B23" s="473"/>
      <c r="C23" s="720" t="s">
        <v>348</v>
      </c>
      <c r="D23" s="1169"/>
      <c r="E23" s="1169"/>
      <c r="F23" s="1172" t="s">
        <v>72</v>
      </c>
      <c r="G23" s="1508" t="s">
        <v>921</v>
      </c>
      <c r="H23" s="1169"/>
      <c r="I23" s="1170"/>
      <c r="J23" s="1171"/>
      <c r="K23" s="1170"/>
      <c r="L23" s="1097"/>
      <c r="M23" s="1098"/>
      <c r="N23" s="961"/>
      <c r="Y23" s="305"/>
    </row>
    <row r="24" spans="1:25" ht="15.75" customHeight="1" thickBot="1">
      <c r="A24" s="961"/>
      <c r="B24" s="1173"/>
      <c r="C24" s="1174"/>
      <c r="D24" s="1175"/>
      <c r="E24" s="1175"/>
      <c r="F24" s="1176"/>
      <c r="G24" s="1181" t="s">
        <v>213</v>
      </c>
      <c r="H24" s="1175"/>
      <c r="I24" s="1177"/>
      <c r="J24" s="1178"/>
      <c r="K24" s="1177"/>
      <c r="L24" s="1179"/>
      <c r="M24" s="1180"/>
      <c r="N24" s="961"/>
    </row>
    <row r="25" spans="1:25" ht="14.25" customHeight="1">
      <c r="A25" s="961"/>
      <c r="B25" s="397">
        <v>1</v>
      </c>
      <c r="C25" s="94" t="s">
        <v>502</v>
      </c>
      <c r="D25" s="416"/>
      <c r="E25" s="416"/>
      <c r="F25" s="416"/>
      <c r="G25" s="416"/>
      <c r="H25" s="416"/>
      <c r="I25" s="120"/>
      <c r="J25" s="416"/>
      <c r="K25" s="1168"/>
      <c r="L25" s="416"/>
      <c r="M25" s="479"/>
      <c r="N25" s="961"/>
      <c r="O25" s="791"/>
      <c r="P25" s="481"/>
      <c r="Q25" s="88"/>
      <c r="R25" s="88"/>
      <c r="S25" s="88"/>
      <c r="T25" s="480"/>
    </row>
    <row r="26" spans="1:25">
      <c r="A26" s="112"/>
      <c r="B26" s="93"/>
      <c r="C26" s="94" t="str">
        <f>"the amount of your state and local income taxes shown on your "&amp;TaxYear-1&amp;" Schedule A, line 5"</f>
        <v>the amount of your state and local income taxes shown on your 2015 Schedule A, line 5</v>
      </c>
      <c r="D26" s="89"/>
      <c r="E26" s="89"/>
      <c r="F26" s="89"/>
      <c r="G26" s="89"/>
      <c r="H26" s="89"/>
      <c r="I26" s="95"/>
      <c r="J26" s="383" t="s">
        <v>922</v>
      </c>
      <c r="K26" s="96">
        <v>1</v>
      </c>
      <c r="L26" s="2774"/>
      <c r="M26" s="477"/>
      <c r="N26" s="112"/>
      <c r="O26" s="787"/>
      <c r="P26" s="171" t="str">
        <f>"Indicate your "&amp;TaxYear-1&amp;" filing status below:"</f>
        <v>Indicate your 2015 filing status below:</v>
      </c>
      <c r="Q26" s="44"/>
      <c r="R26" s="44"/>
      <c r="S26" s="44"/>
      <c r="T26" s="135"/>
    </row>
    <row r="27" spans="1:25" ht="15.75" customHeight="1">
      <c r="A27" s="112"/>
      <c r="B27" s="93">
        <v>2</v>
      </c>
      <c r="C27" s="94" t="str">
        <f>"Enter your total allowable itemized deductions from your "&amp;TaxYear-1&amp;" Schedule A, line 29."</f>
        <v>Enter your total allowable itemized deductions from your 2015 Schedule A, line 29.</v>
      </c>
      <c r="D27" s="89"/>
      <c r="E27" s="89"/>
      <c r="F27" s="89"/>
      <c r="G27" s="89"/>
      <c r="H27" s="1022"/>
      <c r="I27" s="95">
        <v>2</v>
      </c>
      <c r="J27" s="3607"/>
      <c r="K27" s="95"/>
      <c r="L27" s="2903">
        <f>ROUND(L26,0)</f>
        <v>0</v>
      </c>
      <c r="M27" s="477"/>
      <c r="N27" s="112"/>
      <c r="O27" s="789"/>
      <c r="P27" s="171" t="str">
        <f>IF(O27=0,"Check one.",IF(O38&gt;1,"Check only one.",""))</f>
        <v>Check one.</v>
      </c>
      <c r="Q27" s="44"/>
      <c r="R27" s="44"/>
      <c r="S27" s="44"/>
      <c r="T27" s="135"/>
    </row>
    <row r="28" spans="1:25" ht="9" customHeight="1" thickBot="1">
      <c r="A28" s="112"/>
      <c r="B28" s="93"/>
      <c r="C28" s="94"/>
      <c r="D28" s="89"/>
      <c r="E28" s="89"/>
      <c r="F28" s="89"/>
      <c r="G28" s="89"/>
      <c r="H28" s="89"/>
      <c r="I28" s="95"/>
      <c r="J28" s="427"/>
      <c r="K28" s="95"/>
      <c r="L28" s="484"/>
      <c r="M28" s="477"/>
      <c r="N28" s="112"/>
      <c r="O28" s="1510" t="b">
        <f>IF(O38=1,TRUE,FALSE)</f>
        <v>0</v>
      </c>
      <c r="P28" s="44"/>
      <c r="Q28" s="44"/>
      <c r="R28" s="44"/>
      <c r="S28" s="44"/>
      <c r="T28" s="135"/>
    </row>
    <row r="29" spans="1:25" ht="16.5" customHeight="1" thickBot="1">
      <c r="A29" s="112"/>
      <c r="B29" s="93"/>
      <c r="C29" s="475" t="s">
        <v>503</v>
      </c>
      <c r="D29" s="475"/>
      <c r="E29" s="476" t="str">
        <f>"If the filing status on your "&amp;TaxYear-1&amp;" Form 1040 return was married filing separately and"</f>
        <v>If the filing status on your 2015 Form 1040 return was married filing separately and</v>
      </c>
      <c r="F29" s="476"/>
      <c r="G29" s="476"/>
      <c r="H29" s="476"/>
      <c r="I29" s="95"/>
      <c r="J29" s="89"/>
      <c r="K29" s="95"/>
      <c r="L29" s="1299"/>
      <c r="M29" s="97"/>
      <c r="N29" s="112"/>
      <c r="O29" s="789">
        <f>IF(P29&lt;&gt;"",1,0)</f>
        <v>0</v>
      </c>
      <c r="P29" s="2128"/>
      <c r="Q29" s="44"/>
      <c r="R29" s="44" t="s">
        <v>124</v>
      </c>
      <c r="S29" s="44"/>
      <c r="T29" s="135"/>
    </row>
    <row r="30" spans="1:25" ht="13.5" thickBot="1">
      <c r="A30" s="112"/>
      <c r="B30" s="93"/>
      <c r="C30" s="474" t="str">
        <f>"your spouse itemized deductions in "&amp;TaxYear-1&amp;", skip lines 3 through 5, enter the amount from"</f>
        <v>your spouse itemized deductions in 2015, skip lines 3 through 5, enter the amount from</v>
      </c>
      <c r="D30" s="89"/>
      <c r="E30" s="89"/>
      <c r="F30" s="89"/>
      <c r="G30" s="89"/>
      <c r="H30" s="89"/>
      <c r="I30" s="95"/>
      <c r="J30" s="1299"/>
      <c r="K30" s="95"/>
      <c r="L30" s="1707"/>
      <c r="M30" s="97"/>
      <c r="N30" s="112"/>
      <c r="O30" s="789"/>
      <c r="P30" s="711"/>
      <c r="Q30" s="44"/>
      <c r="R30" s="44"/>
      <c r="S30" s="44"/>
      <c r="T30" s="135"/>
    </row>
    <row r="31" spans="1:25" ht="15" customHeight="1" thickBot="1">
      <c r="A31" s="112"/>
      <c r="B31" s="93"/>
      <c r="C31" s="1509" t="s">
        <v>1521</v>
      </c>
      <c r="D31" s="796"/>
      <c r="E31" s="796"/>
      <c r="F31" s="796"/>
      <c r="G31" s="796"/>
      <c r="H31" s="3609"/>
      <c r="I31" s="1707"/>
      <c r="J31" s="1707"/>
      <c r="K31" s="95"/>
      <c r="L31" s="1707"/>
      <c r="M31" s="97"/>
      <c r="N31" s="112"/>
      <c r="O31" s="789">
        <f>IF(P31&lt;&gt;"",1,0)</f>
        <v>0</v>
      </c>
      <c r="P31" s="2128"/>
      <c r="Q31" s="44"/>
      <c r="R31" s="44" t="s">
        <v>749</v>
      </c>
      <c r="S31" s="44"/>
      <c r="T31" s="135"/>
    </row>
    <row r="32" spans="1:25" ht="24.75" customHeight="1" thickBot="1">
      <c r="A32" s="112"/>
      <c r="B32" s="397">
        <v>3</v>
      </c>
      <c r="C32" s="483" t="s">
        <v>665</v>
      </c>
      <c r="D32" s="476"/>
      <c r="E32" s="476"/>
      <c r="F32" s="476"/>
      <c r="G32" s="476"/>
      <c r="H32" s="428"/>
      <c r="I32" s="95"/>
      <c r="J32" s="89"/>
      <c r="K32" s="95"/>
      <c r="L32" s="729">
        <v>6300</v>
      </c>
      <c r="M32" s="97"/>
      <c r="N32" s="112"/>
      <c r="O32" s="789"/>
      <c r="P32" s="711"/>
      <c r="Q32" s="44"/>
      <c r="R32" s="44"/>
      <c r="S32" s="44"/>
      <c r="T32" s="135"/>
    </row>
    <row r="33" spans="1:20" ht="13.5" thickBot="1">
      <c r="A33" s="112"/>
      <c r="B33" s="93"/>
      <c r="C33" s="94" t="str">
        <f>"claimed on your "&amp;TaxYear-1&amp;" Form 1040."</f>
        <v>claimed on your 2015 Form 1040.</v>
      </c>
      <c r="D33" s="89"/>
      <c r="E33" s="89"/>
      <c r="F33" s="89"/>
      <c r="G33" s="89"/>
      <c r="H33" s="392"/>
      <c r="I33" s="95"/>
      <c r="J33" s="89"/>
      <c r="K33" s="95"/>
      <c r="L33" s="729">
        <v>12600</v>
      </c>
      <c r="M33" s="97"/>
      <c r="N33" s="112"/>
      <c r="O33" s="789">
        <f>IF(P33&lt;&gt;"",1,0)</f>
        <v>0</v>
      </c>
      <c r="P33" s="2128"/>
      <c r="Q33" s="44"/>
      <c r="R33" s="44" t="s">
        <v>438</v>
      </c>
      <c r="S33" s="44"/>
      <c r="T33" s="135"/>
    </row>
    <row r="34" spans="1:20" ht="13.5" thickBot="1">
      <c r="A34" s="112"/>
      <c r="B34" s="93"/>
      <c r="C34" s="99" t="s">
        <v>549</v>
      </c>
      <c r="D34" s="94" t="str">
        <f>"Single or married filing separately–- "&amp;TEXT(L32,"$0,000")</f>
        <v>Single or married filing separately–- $6,300</v>
      </c>
      <c r="E34" s="89"/>
      <c r="F34" s="89"/>
      <c r="G34" s="89"/>
      <c r="H34" s="392"/>
      <c r="I34" s="95"/>
      <c r="J34" s="89"/>
      <c r="K34" s="95"/>
      <c r="L34" s="729"/>
      <c r="M34" s="97"/>
      <c r="N34" s="112"/>
      <c r="O34" s="789"/>
      <c r="P34" s="573"/>
      <c r="Q34" s="44"/>
      <c r="R34" s="44"/>
      <c r="S34" s="44"/>
      <c r="T34" s="135"/>
    </row>
    <row r="35" spans="1:20" ht="15" customHeight="1" thickBot="1">
      <c r="A35" s="112"/>
      <c r="B35" s="93"/>
      <c r="C35" s="99" t="s">
        <v>549</v>
      </c>
      <c r="D35" s="94" t="str">
        <f>"Married filing jointly or qualifying widow(er)–-"&amp;TEXT(L33,"$0,000")</f>
        <v>Married filing jointly or qualifying widow(er)–-$12,600</v>
      </c>
      <c r="E35" s="89"/>
      <c r="F35" s="89"/>
      <c r="G35" s="89"/>
      <c r="H35" s="1022"/>
      <c r="I35" s="95">
        <v>3</v>
      </c>
      <c r="J35" s="2773" t="str">
        <f>IF(R46,"",IF(O38&gt;1,"",IF(OR(P29&lt;&gt;"",P33&lt;&gt;""),L32,IF(OR(P31&lt;&gt;"",P37&lt;&gt;""),L33,IF(P35&lt;&gt;"",L35,"")))))</f>
        <v/>
      </c>
      <c r="K35" s="95"/>
      <c r="L35" s="729">
        <v>9250</v>
      </c>
      <c r="M35" s="97"/>
      <c r="N35" s="112"/>
      <c r="O35" s="789">
        <f>IF(P35&lt;&gt;"",1,0)</f>
        <v>0</v>
      </c>
      <c r="P35" s="2128"/>
      <c r="Q35" s="44"/>
      <c r="R35" s="44" t="s">
        <v>439</v>
      </c>
      <c r="S35" s="44"/>
      <c r="T35" s="135"/>
    </row>
    <row r="36" spans="1:20" ht="13.5" thickBot="1">
      <c r="A36" s="112"/>
      <c r="B36" s="93"/>
      <c r="C36" s="99" t="s">
        <v>549</v>
      </c>
      <c r="D36" s="94" t="str">
        <f>"Head of household–-"&amp;TEXT(L35,"$0,000")</f>
        <v>Head of household–-$9,250</v>
      </c>
      <c r="E36" s="89"/>
      <c r="F36" s="89"/>
      <c r="G36" s="89"/>
      <c r="H36" s="383"/>
      <c r="I36" s="95"/>
      <c r="J36" s="427"/>
      <c r="K36" s="95"/>
      <c r="L36" s="89"/>
      <c r="M36" s="97"/>
      <c r="N36" s="112"/>
      <c r="O36" s="789"/>
      <c r="P36" s="573"/>
      <c r="Q36" s="44"/>
      <c r="R36" s="44"/>
      <c r="S36" s="44"/>
      <c r="T36" s="135"/>
    </row>
    <row r="37" spans="1:20" ht="15" customHeight="1" thickBot="1">
      <c r="A37" s="112"/>
      <c r="B37" s="93"/>
      <c r="C37" s="99"/>
      <c r="D37" s="94"/>
      <c r="E37" s="89"/>
      <c r="F37" s="89"/>
      <c r="G37" s="89"/>
      <c r="H37" s="89"/>
      <c r="I37" s="95"/>
      <c r="J37" s="89"/>
      <c r="K37" s="95"/>
      <c r="L37" s="1039" t="str">
        <f>"Indicate your "&amp;TaxYear-1&amp;" filing status here. "</f>
        <v xml:space="preserve">Indicate your 2015 filing status here. </v>
      </c>
      <c r="M37" s="1012" t="s">
        <v>504</v>
      </c>
      <c r="N37" s="112"/>
      <c r="O37" s="789">
        <f>IF(P37&lt;&gt;"",1,0)</f>
        <v>0</v>
      </c>
      <c r="P37" s="2128"/>
      <c r="Q37" s="44"/>
      <c r="R37" s="44" t="s">
        <v>669</v>
      </c>
      <c r="S37" s="44"/>
      <c r="T37" s="135"/>
    </row>
    <row r="38" spans="1:20" ht="13.5" thickBot="1">
      <c r="A38" s="112"/>
      <c r="B38" s="397">
        <v>4</v>
      </c>
      <c r="C38" s="94" t="str">
        <f>"Did you fill in line 39a on your "&amp;TaxYear-1&amp;" Form 1040?"</f>
        <v>Did you fill in line 39a on your 2015 Form 1040?</v>
      </c>
      <c r="D38" s="416"/>
      <c r="E38" s="416"/>
      <c r="F38" s="416"/>
      <c r="G38" s="416"/>
      <c r="H38" s="416"/>
      <c r="I38" s="120"/>
      <c r="J38" s="141"/>
      <c r="K38" s="120"/>
      <c r="L38" s="1709" t="str">
        <f>IF(P40="","","STOP!  You may not use this worksheet.")</f>
        <v/>
      </c>
      <c r="M38" s="479"/>
      <c r="N38" s="112"/>
      <c r="O38" s="4143">
        <f>SUM(O29,O31,O33,O35,O37)</f>
        <v>0</v>
      </c>
      <c r="P38" s="4144"/>
      <c r="Q38" s="52"/>
      <c r="R38" s="52"/>
      <c r="S38" s="52"/>
      <c r="T38" s="136"/>
    </row>
    <row r="39" spans="1:20" ht="15" customHeight="1" thickBot="1">
      <c r="A39" s="961"/>
      <c r="B39" s="93"/>
      <c r="C39" s="2783" t="str">
        <f>IF(OR(NOT(O28),R46),"",IF(R48="","X",""))</f>
        <v/>
      </c>
      <c r="D39" s="387" t="s">
        <v>666</v>
      </c>
      <c r="E39" s="89" t="s">
        <v>667</v>
      </c>
      <c r="F39" s="89"/>
      <c r="G39" s="89"/>
      <c r="H39" s="89"/>
      <c r="I39" s="89"/>
      <c r="J39" s="141"/>
      <c r="K39" s="95"/>
      <c r="L39" s="1709" t="str">
        <f>IF(P40="","","See Exception above and Publication 525.")</f>
        <v/>
      </c>
      <c r="M39" s="97"/>
      <c r="N39" s="961"/>
      <c r="O39" s="4141"/>
      <c r="P39" s="4142"/>
      <c r="Q39" s="46"/>
      <c r="R39" s="46"/>
      <c r="S39" s="46"/>
      <c r="T39" s="134"/>
    </row>
    <row r="40" spans="1:20" ht="12.75" customHeight="1" thickBot="1">
      <c r="A40" s="112"/>
      <c r="B40" s="93"/>
      <c r="C40" s="71"/>
      <c r="D40" s="558" t="str">
        <f>IF(OR(O28&lt;&gt;1,R46,P40&lt;&gt;""),"",IF(AND($C$39&lt;&gt;"",$C$41&lt;&gt;""),"Check ONLY one.",IF(OR($C$39&lt;&gt;"",$C$41&lt;&gt;""),"","Check one.")))</f>
        <v/>
      </c>
      <c r="E40" s="101"/>
      <c r="F40" s="101"/>
      <c r="G40" s="101"/>
      <c r="H40" s="101"/>
      <c r="I40" s="89"/>
      <c r="J40" s="141"/>
      <c r="K40" s="95"/>
      <c r="L40" s="729">
        <v>1250</v>
      </c>
      <c r="M40" s="97"/>
      <c r="N40" s="112"/>
      <c r="O40" s="789"/>
      <c r="P40" s="2128"/>
      <c r="Q40" s="44"/>
      <c r="R40" s="44" t="s">
        <v>74</v>
      </c>
      <c r="S40" s="44"/>
      <c r="T40" s="135"/>
    </row>
    <row r="41" spans="1:20" ht="15" customHeight="1" thickBot="1">
      <c r="A41" s="112"/>
      <c r="B41" s="93"/>
      <c r="C41" s="2783" t="str">
        <f>IF(OR(NOT(O28),R46),"",IF(R48="","","X"))</f>
        <v/>
      </c>
      <c r="D41" s="60" t="s">
        <v>668</v>
      </c>
      <c r="E41" s="89" t="str">
        <f>"Multiply the number on line "&amp;P48&amp;" of your "</f>
        <v xml:space="preserve">Multiply the number on line 39a of your </v>
      </c>
      <c r="F41" s="89"/>
      <c r="G41" s="89"/>
      <c r="H41" s="310"/>
      <c r="I41" s="89"/>
      <c r="J41" s="141"/>
      <c r="K41" s="95"/>
      <c r="L41" s="729">
        <v>1550</v>
      </c>
      <c r="M41" s="97"/>
      <c r="N41" s="112"/>
      <c r="O41" s="787"/>
      <c r="P41" s="1708"/>
      <c r="Q41" s="44"/>
      <c r="R41" s="44" t="str">
        <f>"on your "&amp;TaxYear-1&amp;" tax return."</f>
        <v>on your 2015 tax return.</v>
      </c>
      <c r="S41" s="44"/>
      <c r="T41" s="135"/>
    </row>
    <row r="42" spans="1:20" ht="12.75" customHeight="1">
      <c r="A42" s="112"/>
      <c r="B42" s="93"/>
      <c r="D42" s="89"/>
      <c r="E42" s="103" t="str">
        <f>TaxYear-1&amp;" Form 1040 by: "&amp;TEXT(L40,"$0,000")&amp;" ("&amp;TEXT(L41,"$0,000")&amp;" if your "&amp;TaxYear-1&amp;" filing"</f>
        <v>2015 Form 1040 by: $1,250 ($1,550 if your 2015 filing</v>
      </c>
      <c r="F42" s="103"/>
      <c r="G42" s="103"/>
      <c r="H42" s="98"/>
      <c r="I42" s="120">
        <v>4</v>
      </c>
      <c r="J42" s="2773" t="str">
        <f>IF(OR(R46,P40&lt;&gt;"",O38&lt;&gt;1),"",IF(C39&lt;&gt;"",0,IF(AND(C39="",C41&lt;&gt;""),IF(OR(P31&lt;&gt;"",P33&lt;&gt;"",P37&lt;&gt;""),L40*R48,IF(OR(P29&lt;&gt;"",P35&lt;&gt;""),L41*R48,0)),"")))</f>
        <v/>
      </c>
      <c r="K42" s="95"/>
      <c r="L42" s="89"/>
      <c r="M42" s="97"/>
      <c r="N42" s="112"/>
      <c r="O42" s="4145"/>
      <c r="P42" s="644"/>
      <c r="Q42" s="63"/>
      <c r="R42" s="63"/>
      <c r="S42" s="63"/>
      <c r="T42" s="3675"/>
    </row>
    <row r="43" spans="1:20" ht="12.75" customHeight="1" thickBot="1">
      <c r="A43" s="112"/>
      <c r="B43" s="93"/>
      <c r="C43" s="103"/>
      <c r="D43" s="89"/>
      <c r="E43" s="168" t="s">
        <v>1162</v>
      </c>
      <c r="F43" s="89"/>
      <c r="G43" s="89"/>
      <c r="H43" s="89"/>
      <c r="I43" s="104"/>
      <c r="J43" s="89"/>
      <c r="K43" s="95"/>
      <c r="L43" s="89"/>
      <c r="M43" s="97"/>
      <c r="N43" s="112"/>
      <c r="O43" s="4146"/>
      <c r="P43" s="4147"/>
      <c r="Q43" s="83"/>
      <c r="R43" s="83"/>
      <c r="S43" s="83"/>
      <c r="T43" s="4148"/>
    </row>
    <row r="44" spans="1:20" ht="12" customHeight="1" thickBot="1">
      <c r="A44" s="112"/>
      <c r="B44" s="93"/>
      <c r="C44" s="103"/>
      <c r="D44" s="89"/>
      <c r="E44" s="89"/>
      <c r="F44" s="89"/>
      <c r="G44" s="89"/>
      <c r="H44" s="89"/>
      <c r="I44" s="1011"/>
      <c r="J44" s="89"/>
      <c r="K44" s="95"/>
      <c r="L44" s="1039" t="str">
        <f>IF(OR(P40&lt;&gt;"",R48&lt;&gt;"",C39&lt;&gt;""),"",IF(C41&lt;&gt;"","Enter number on line "&amp;P48&amp;" of your "&amp;TaxYear-1&amp;" Form 1040 here.",""))</f>
        <v/>
      </c>
      <c r="M44" s="1012" t="s">
        <v>504</v>
      </c>
      <c r="N44" s="112"/>
      <c r="O44" s="789"/>
      <c r="P44" s="2128"/>
      <c r="Q44" s="44"/>
      <c r="R44" s="2696" t="s">
        <v>3352</v>
      </c>
      <c r="S44" s="44"/>
      <c r="T44" s="135"/>
    </row>
    <row r="45" spans="1:20" ht="12" customHeight="1">
      <c r="A45" s="112"/>
      <c r="B45" s="93">
        <v>5</v>
      </c>
      <c r="C45" s="103" t="s">
        <v>1522</v>
      </c>
      <c r="D45" s="89"/>
      <c r="E45" s="89"/>
      <c r="F45" s="89"/>
      <c r="G45" s="89"/>
      <c r="H45" s="71" t="s">
        <v>1161</v>
      </c>
      <c r="I45" s="95">
        <v>5</v>
      </c>
      <c r="J45" s="2773" t="str">
        <f>IF(NOT(O28),"",IF(R46,"",IF(OR(P40&lt;&gt;"",AND(J35="",J42="")),"",ROUND(SUM(J35,J42),0))))</f>
        <v/>
      </c>
      <c r="K45" s="95"/>
      <c r="L45" s="89"/>
      <c r="M45" s="97"/>
      <c r="N45" s="112"/>
      <c r="O45" s="787"/>
      <c r="P45" s="1708"/>
      <c r="Q45" s="44"/>
      <c r="R45" s="2696" t="str">
        <f>"deductions on your "&amp;TaxYear-1&amp;" tax return."</f>
        <v>deductions on your 2015 tax return.</v>
      </c>
      <c r="S45" s="44"/>
      <c r="T45" s="135"/>
    </row>
    <row r="46" spans="1:20" ht="12" customHeight="1" thickBot="1">
      <c r="A46" s="112"/>
      <c r="B46" s="93"/>
      <c r="C46" s="94"/>
      <c r="D46" s="89"/>
      <c r="E46" s="89"/>
      <c r="F46" s="89"/>
      <c r="G46" s="89"/>
      <c r="H46" s="89"/>
      <c r="I46" s="95"/>
      <c r="J46" s="89"/>
      <c r="K46" s="95"/>
      <c r="L46" s="89"/>
      <c r="M46" s="97"/>
      <c r="N46" s="112"/>
      <c r="O46" s="788"/>
      <c r="P46" s="1710"/>
      <c r="Q46" s="52"/>
      <c r="R46" s="2707" t="b">
        <f>IF(P44&lt;&gt;"",TRUE,FALSE)</f>
        <v>0</v>
      </c>
      <c r="S46" s="52"/>
      <c r="T46" s="136"/>
    </row>
    <row r="47" spans="1:20">
      <c r="A47" s="112"/>
      <c r="B47" s="93">
        <v>6</v>
      </c>
      <c r="C47" s="103" t="s">
        <v>487</v>
      </c>
      <c r="D47" s="89"/>
      <c r="E47" s="89"/>
      <c r="F47" s="89"/>
      <c r="G47" s="89"/>
      <c r="H47" s="89"/>
      <c r="I47" s="95"/>
      <c r="J47" s="89"/>
      <c r="K47" s="95"/>
      <c r="L47" s="427"/>
      <c r="M47" s="477"/>
      <c r="N47" s="112"/>
      <c r="O47" s="125"/>
      <c r="P47" s="46"/>
      <c r="Q47" s="46"/>
      <c r="R47" s="46"/>
      <c r="S47" s="4925" t="str">
        <f>"Number of boxes checked on Line 39a your "&amp;TaxYear-1&amp;" tax return."</f>
        <v>Number of boxes checked on Line 39a your 2015 tax return.</v>
      </c>
      <c r="T47" s="4926"/>
    </row>
    <row r="48" spans="1:20" ht="12" customHeight="1" thickBot="1">
      <c r="A48" s="112"/>
      <c r="B48" s="93"/>
      <c r="C48" s="94"/>
      <c r="D48" s="89"/>
      <c r="E48" s="89"/>
      <c r="F48" s="89"/>
      <c r="G48" s="89"/>
      <c r="H48" s="89"/>
      <c r="I48" s="95"/>
      <c r="J48" s="89"/>
      <c r="K48" s="95"/>
      <c r="L48" s="89"/>
      <c r="M48" s="97"/>
      <c r="N48" s="112"/>
      <c r="O48" s="84"/>
      <c r="P48" s="4923" t="s">
        <v>96</v>
      </c>
      <c r="Q48" s="4924"/>
      <c r="R48" s="3608"/>
      <c r="S48" s="4927"/>
      <c r="T48" s="4928"/>
    </row>
    <row r="49" spans="1:21" ht="12" customHeight="1" thickBot="1">
      <c r="A49" s="112"/>
      <c r="B49" s="93"/>
      <c r="C49" s="2783" t="str">
        <f>IF(OR(NOT(O28),J27="",L26="",R46,P40&lt;&gt;"",J45&lt;J27),"","X")</f>
        <v/>
      </c>
      <c r="D49" s="89" t="s">
        <v>666</v>
      </c>
      <c r="E49" s="383" t="s">
        <v>544</v>
      </c>
      <c r="F49" s="383"/>
      <c r="G49" s="383"/>
      <c r="H49" s="89"/>
      <c r="I49" s="95"/>
      <c r="J49" s="89"/>
      <c r="K49" s="95"/>
      <c r="L49" s="89"/>
      <c r="M49" s="97"/>
      <c r="N49" s="112"/>
      <c r="O49" s="126"/>
      <c r="P49" s="52"/>
      <c r="Q49" s="52"/>
      <c r="R49" s="52"/>
      <c r="S49" s="4929"/>
      <c r="T49" s="4930"/>
      <c r="U49" s="406"/>
    </row>
    <row r="50" spans="1:21" ht="11.25" customHeight="1" thickBot="1">
      <c r="A50" s="112"/>
      <c r="B50" s="93"/>
      <c r="C50" s="94"/>
      <c r="D50" s="89"/>
      <c r="E50" s="89"/>
      <c r="F50" s="89"/>
      <c r="G50" s="89"/>
      <c r="H50" s="89"/>
      <c r="I50" s="95"/>
      <c r="J50" s="89"/>
      <c r="K50" s="95"/>
      <c r="L50" s="89"/>
      <c r="M50" s="97"/>
      <c r="N50" s="112"/>
      <c r="O50" s="35"/>
      <c r="P50" s="35"/>
      <c r="Q50" s="35"/>
      <c r="R50" s="35"/>
      <c r="S50" s="35"/>
      <c r="T50" s="35"/>
    </row>
    <row r="51" spans="1:21" ht="13.5" thickBot="1">
      <c r="A51" s="112"/>
      <c r="B51" s="93"/>
      <c r="C51" s="2783" t="str">
        <f>IF(OR(NOT(O28),L26="",L27="",R46,C49="X"),"","X")</f>
        <v/>
      </c>
      <c r="D51" s="89" t="s">
        <v>668</v>
      </c>
      <c r="E51" s="168" t="s">
        <v>1523</v>
      </c>
      <c r="F51" s="89"/>
      <c r="G51" s="89"/>
      <c r="H51" s="89"/>
      <c r="I51" s="95"/>
      <c r="J51" s="1022" t="s">
        <v>344</v>
      </c>
      <c r="K51" s="95">
        <v>6</v>
      </c>
      <c r="L51" s="2773" t="str">
        <f>IF(NOT(O28),"",IF(R46,J27,IF(P40&lt;&gt;"","",IF(J45&lt;J27,ROUND(J27-J45,0),0))))</f>
        <v/>
      </c>
      <c r="M51" s="97"/>
      <c r="N51" s="112"/>
      <c r="O51" s="35"/>
      <c r="P51" s="35"/>
      <c r="Q51" s="35"/>
      <c r="R51" s="35"/>
      <c r="S51" s="35"/>
      <c r="T51" s="35"/>
    </row>
    <row r="52" spans="1:21" ht="15" customHeight="1">
      <c r="A52" s="112"/>
      <c r="B52" s="93"/>
      <c r="C52" s="98"/>
      <c r="D52" s="89"/>
      <c r="E52" s="89"/>
      <c r="F52" s="89"/>
      <c r="G52" s="89"/>
      <c r="H52" s="89"/>
      <c r="I52" s="95"/>
      <c r="J52" s="89"/>
      <c r="K52" s="95"/>
      <c r="L52" s="89"/>
      <c r="M52" s="477"/>
      <c r="N52" s="112"/>
      <c r="O52" s="35"/>
      <c r="P52" s="35"/>
      <c r="Q52" s="35"/>
      <c r="R52" s="35"/>
      <c r="S52" s="35"/>
      <c r="T52" s="35"/>
    </row>
    <row r="53" spans="1:21">
      <c r="A53" s="112"/>
      <c r="B53" s="93">
        <v>7</v>
      </c>
      <c r="C53" s="102" t="s">
        <v>1688</v>
      </c>
      <c r="D53" s="89"/>
      <c r="E53" s="89"/>
      <c r="F53" s="89"/>
      <c r="G53" s="89"/>
      <c r="H53" s="89"/>
      <c r="I53" s="95"/>
      <c r="J53" s="89"/>
      <c r="K53" s="95">
        <v>7</v>
      </c>
      <c r="L53" s="2773" t="str">
        <f>IF(R57&lt;&gt;"",R57,IF(O28,MIN(L27,L51),""))</f>
        <v/>
      </c>
      <c r="M53" s="97"/>
      <c r="N53" s="112"/>
      <c r="O53" s="35"/>
      <c r="P53" s="35"/>
      <c r="Q53" s="35"/>
      <c r="R53" s="36" t="s">
        <v>149</v>
      </c>
      <c r="S53" s="35"/>
      <c r="T53" s="35"/>
    </row>
    <row r="54" spans="1:21" ht="12.75" customHeight="1" thickBot="1">
      <c r="A54" s="112"/>
      <c r="B54" s="126"/>
      <c r="C54" s="52"/>
      <c r="D54" s="52"/>
      <c r="E54" s="52"/>
      <c r="F54" s="52"/>
      <c r="G54" s="52"/>
      <c r="H54" s="52"/>
      <c r="I54" s="52"/>
      <c r="J54" s="52"/>
      <c r="K54" s="52"/>
      <c r="L54" s="52"/>
      <c r="M54" s="136"/>
      <c r="N54" s="112"/>
      <c r="O54" s="35"/>
      <c r="P54" s="35"/>
      <c r="Q54" s="35"/>
      <c r="R54" s="36" t="s">
        <v>661</v>
      </c>
      <c r="S54" s="35"/>
      <c r="T54" s="35"/>
    </row>
    <row r="55" spans="1:21">
      <c r="A55" s="112"/>
      <c r="B55" s="112"/>
      <c r="C55" s="112"/>
      <c r="D55" s="112"/>
      <c r="E55" s="112"/>
      <c r="F55" s="112"/>
      <c r="G55" s="112"/>
      <c r="H55" s="112"/>
      <c r="I55" s="112"/>
      <c r="J55" s="112"/>
      <c r="K55" s="112"/>
      <c r="L55" s="112"/>
      <c r="M55" s="112"/>
      <c r="N55" s="112"/>
      <c r="O55" s="35"/>
      <c r="P55" s="35"/>
      <c r="Q55" s="35"/>
      <c r="R55" s="834"/>
      <c r="S55" s="35"/>
      <c r="T55" s="35"/>
    </row>
    <row r="56" spans="1:21" ht="12" customHeight="1">
      <c r="A56" s="35"/>
      <c r="B56" s="35"/>
      <c r="C56" s="35"/>
      <c r="D56" s="35"/>
      <c r="E56" s="35"/>
      <c r="F56" s="35"/>
      <c r="G56" s="35"/>
      <c r="H56" s="35"/>
      <c r="I56" s="35"/>
      <c r="J56" s="35"/>
      <c r="K56" s="35"/>
      <c r="L56" s="35"/>
      <c r="M56" s="35"/>
      <c r="N56" s="35"/>
      <c r="O56" s="35"/>
      <c r="P56" s="35"/>
      <c r="Q56" s="35"/>
      <c r="R56" s="823"/>
      <c r="S56" s="35"/>
      <c r="T56" s="35"/>
    </row>
    <row r="57" spans="1:21" ht="12" customHeight="1">
      <c r="A57" s="35"/>
      <c r="B57" s="35"/>
      <c r="C57" s="35"/>
      <c r="D57" s="35"/>
      <c r="E57" s="35"/>
      <c r="F57" s="35"/>
      <c r="G57" s="35"/>
      <c r="H57" s="35"/>
      <c r="I57" s="35"/>
      <c r="J57" s="35"/>
      <c r="K57" s="35"/>
      <c r="L57" s="35"/>
      <c r="M57" s="35"/>
      <c r="N57" s="35"/>
      <c r="O57" s="35"/>
      <c r="P57" s="35"/>
      <c r="Q57" s="35"/>
      <c r="R57" s="1013"/>
      <c r="S57" s="35"/>
      <c r="T57" s="35"/>
    </row>
    <row r="58" spans="1:21">
      <c r="O58" s="35"/>
      <c r="P58" s="35"/>
      <c r="Q58" s="35"/>
      <c r="R58" s="823"/>
      <c r="S58" s="35"/>
      <c r="T58" s="35"/>
    </row>
    <row r="59" spans="1:21">
      <c r="O59" s="35"/>
      <c r="P59" s="35"/>
      <c r="Q59" s="35"/>
      <c r="R59" s="35"/>
      <c r="S59" s="35"/>
      <c r="T59" s="35"/>
    </row>
    <row r="60" spans="1:21">
      <c r="O60" s="35"/>
      <c r="P60" s="35"/>
      <c r="Q60" s="35"/>
      <c r="R60" s="35"/>
      <c r="S60" s="35"/>
      <c r="T60" s="35"/>
    </row>
    <row r="61" spans="1:21">
      <c r="O61" s="35"/>
      <c r="P61" s="35"/>
      <c r="Q61" s="35"/>
      <c r="R61" s="35"/>
      <c r="S61" s="35"/>
      <c r="T61" s="35"/>
    </row>
  </sheetData>
  <sheetProtection password="F07E" sheet="1" objects="1" scenarios="1"/>
  <mergeCells count="2">
    <mergeCell ref="P48:Q48"/>
    <mergeCell ref="S47:T49"/>
  </mergeCells>
  <phoneticPr fontId="12" type="noConversion"/>
  <conditionalFormatting sqref="O38:T38">
    <cfRule type="expression" dxfId="1783" priority="44" stopIfTrue="1">
      <formula>IF(2&gt;1,1,0)</formula>
    </cfRule>
  </conditionalFormatting>
  <conditionalFormatting sqref="R48">
    <cfRule type="expression" dxfId="1782" priority="18">
      <formula>IF(NoColor,1,0)</formula>
    </cfRule>
    <cfRule type="expression" priority="45">
      <formula>IF(2&gt;1,1,0)</formula>
    </cfRule>
  </conditionalFormatting>
  <conditionalFormatting sqref="G23:G24">
    <cfRule type="expression" dxfId="1781" priority="46" stopIfTrue="1">
      <formula>IF($L$26="",1,0)</formula>
    </cfRule>
  </conditionalFormatting>
  <conditionalFormatting sqref="L37">
    <cfRule type="expression" dxfId="1780" priority="49" stopIfTrue="1">
      <formula>IF($O$38&gt;0,1,0)</formula>
    </cfRule>
  </conditionalFormatting>
  <conditionalFormatting sqref="E49">
    <cfRule type="expression" dxfId="1779" priority="74" stopIfTrue="1">
      <formula>IF($C$49&lt;&gt;"",1,0)</formula>
    </cfRule>
  </conditionalFormatting>
  <conditionalFormatting sqref="L29">
    <cfRule type="expression" dxfId="1778" priority="36" stopIfTrue="1">
      <formula>IF(OR(NOT($O$28),$P$33=""),1,0)</formula>
    </cfRule>
  </conditionalFormatting>
  <conditionalFormatting sqref="L30">
    <cfRule type="expression" dxfId="1777" priority="35" stopIfTrue="1">
      <formula>IF(OR(NOT($O$28),$P$33=""),1,0)</formula>
    </cfRule>
  </conditionalFormatting>
  <conditionalFormatting sqref="L31">
    <cfRule type="expression" dxfId="1776" priority="34" stopIfTrue="1">
      <formula>IF(OR(NOT($O$28),$P$33=""),1,0)</formula>
    </cfRule>
  </conditionalFormatting>
  <conditionalFormatting sqref="M37">
    <cfRule type="expression" dxfId="1775" priority="113" stopIfTrue="1">
      <formula>IF($O$38&gt;0,1,0)</formula>
    </cfRule>
  </conditionalFormatting>
  <conditionalFormatting sqref="P26">
    <cfRule type="expression" dxfId="1774" priority="29" stopIfTrue="1">
      <formula>IF(NOT($O$28),1,0)</formula>
    </cfRule>
  </conditionalFormatting>
  <conditionalFormatting sqref="F49:G49">
    <cfRule type="expression" dxfId="1773" priority="648" stopIfTrue="1">
      <formula>IF(K45&gt;=K27,1,0)</formula>
    </cfRule>
  </conditionalFormatting>
  <conditionalFormatting sqref="M44">
    <cfRule type="expression" dxfId="1772" priority="28" stopIfTrue="1">
      <formula>IF(L44="",1,0)</formula>
    </cfRule>
  </conditionalFormatting>
  <conditionalFormatting sqref="L44">
    <cfRule type="expression" dxfId="1771" priority="27" stopIfTrue="1">
      <formula>IF($R$48&lt;&gt;"",1,0)</formula>
    </cfRule>
  </conditionalFormatting>
  <conditionalFormatting sqref="L26">
    <cfRule type="expression" dxfId="1770" priority="26">
      <formula>IF(NoColor,1,0)</formula>
    </cfRule>
  </conditionalFormatting>
  <conditionalFormatting sqref="J27">
    <cfRule type="expression" dxfId="1769" priority="25">
      <formula>IF(NoColor,1,0)</formula>
    </cfRule>
  </conditionalFormatting>
  <conditionalFormatting sqref="P29">
    <cfRule type="expression" dxfId="1768" priority="24">
      <formula>IF(NoColor,1,0)</formula>
    </cfRule>
  </conditionalFormatting>
  <conditionalFormatting sqref="P31">
    <cfRule type="expression" dxfId="1767" priority="23">
      <formula>IF(NoColor,1,0)</formula>
    </cfRule>
  </conditionalFormatting>
  <conditionalFormatting sqref="P33">
    <cfRule type="expression" dxfId="1766" priority="22">
      <formula>IF(NoColor,1,0)</formula>
    </cfRule>
  </conditionalFormatting>
  <conditionalFormatting sqref="P35">
    <cfRule type="expression" dxfId="1765" priority="21">
      <formula>IF(NoColor,1,0)</formula>
    </cfRule>
  </conditionalFormatting>
  <conditionalFormatting sqref="P37">
    <cfRule type="expression" dxfId="1764" priority="20">
      <formula>IF(NoColor,1,0)</formula>
    </cfRule>
  </conditionalFormatting>
  <conditionalFormatting sqref="P40">
    <cfRule type="expression" dxfId="1763" priority="19">
      <formula>IF(NoColor,1,0)</formula>
    </cfRule>
  </conditionalFormatting>
  <conditionalFormatting sqref="J35">
    <cfRule type="expression" dxfId="1762" priority="17">
      <formula>IF(NoColor,1,0)</formula>
    </cfRule>
  </conditionalFormatting>
  <conditionalFormatting sqref="J42">
    <cfRule type="expression" dxfId="1761" priority="16">
      <formula>IF(NoColor,1,0)</formula>
    </cfRule>
  </conditionalFormatting>
  <conditionalFormatting sqref="J45">
    <cfRule type="expression" dxfId="1760" priority="15">
      <formula>IF(NoColor,1,0)</formula>
    </cfRule>
  </conditionalFormatting>
  <conditionalFormatting sqref="L51">
    <cfRule type="expression" dxfId="1759" priority="14">
      <formula>IF(NoColor,1,0)</formula>
    </cfRule>
  </conditionalFormatting>
  <conditionalFormatting sqref="L53">
    <cfRule type="expression" dxfId="1758" priority="13">
      <formula>IF(NoColor,1,0)</formula>
    </cfRule>
  </conditionalFormatting>
  <conditionalFormatting sqref="P27">
    <cfRule type="expression" dxfId="1757" priority="11" stopIfTrue="1">
      <formula>IF(NOT($O$28),1,0)</formula>
    </cfRule>
  </conditionalFormatting>
  <conditionalFormatting sqref="S47:T49">
    <cfRule type="expression" dxfId="1756" priority="10">
      <formula>IF($R$48="",1,0)</formula>
    </cfRule>
  </conditionalFormatting>
  <conditionalFormatting sqref="J30">
    <cfRule type="expression" dxfId="1755" priority="8" stopIfTrue="1">
      <formula>IF(OR(NOT($O$28),$P$33=""),1,0)</formula>
    </cfRule>
  </conditionalFormatting>
  <conditionalFormatting sqref="I31:J31">
    <cfRule type="expression" dxfId="1754" priority="7" stopIfTrue="1">
      <formula>IF(OR(NOT($O$28),$P$33=""),1,0)</formula>
    </cfRule>
  </conditionalFormatting>
  <conditionalFormatting sqref="P44">
    <cfRule type="expression" dxfId="1753" priority="5">
      <formula>IF($P$33="",1,0)</formula>
    </cfRule>
    <cfRule type="expression" dxfId="1752" priority="6">
      <formula>IF(NoColor,1,0)</formula>
    </cfRule>
  </conditionalFormatting>
  <conditionalFormatting sqref="R44">
    <cfRule type="expression" dxfId="1751" priority="4">
      <formula>IF($P$33&lt;&gt;"",1,0)</formula>
    </cfRule>
  </conditionalFormatting>
  <conditionalFormatting sqref="R45">
    <cfRule type="expression" dxfId="1750" priority="2">
      <formula>IF($P$33&lt;&gt;"",1,0)</formula>
    </cfRule>
  </conditionalFormatting>
  <conditionalFormatting sqref="B15">
    <cfRule type="expression" dxfId="1749" priority="1">
      <formula>IF($P$40&lt;&gt;"",1,0)</formula>
    </cfRule>
  </conditionalFormatting>
  <pageMargins left="0.27" right="0" top="0.55000000000000004" bottom="0" header="0" footer="0"/>
  <pageSetup scale="95"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W91"/>
  <sheetViews>
    <sheetView zoomScaleNormal="100" workbookViewId="0">
      <selection activeCell="R14" sqref="R14:S14"/>
    </sheetView>
  </sheetViews>
  <sheetFormatPr defaultColWidth="9.140625" defaultRowHeight="12.75"/>
  <cols>
    <col min="1" max="1" width="1.85546875" style="64" customWidth="1"/>
    <col min="2" max="2" width="4.42578125" style="124" customWidth="1"/>
    <col min="3" max="3" width="2.7109375" style="64" customWidth="1"/>
    <col min="4" max="4" width="25.28515625" style="64" customWidth="1"/>
    <col min="5" max="5" width="12.7109375" style="64" customWidth="1"/>
    <col min="6" max="6" width="9.42578125" style="64" customWidth="1"/>
    <col min="7" max="7" width="7.7109375" style="64" customWidth="1"/>
    <col min="8" max="8" width="9.5703125" style="64" customWidth="1"/>
    <col min="9" max="9" width="6" style="64" customWidth="1"/>
    <col min="10" max="10" width="13.85546875" style="64" customWidth="1"/>
    <col min="11" max="11" width="3.5703125" style="64" customWidth="1"/>
    <col min="12" max="12" width="12.7109375" style="64" customWidth="1"/>
    <col min="13" max="13" width="4.5703125" style="64" customWidth="1"/>
    <col min="14" max="15" width="1.5703125" style="64" customWidth="1"/>
    <col min="16" max="16" width="1.42578125" style="64" customWidth="1"/>
    <col min="17" max="17" width="2.5703125" style="64" customWidth="1"/>
    <col min="18" max="18" width="10.42578125" style="64" customWidth="1"/>
    <col min="19" max="19" width="2.42578125" style="64" customWidth="1"/>
    <col min="20" max="20" width="12.85546875" style="64" customWidth="1"/>
    <col min="21" max="21" width="2.7109375" style="64" customWidth="1"/>
    <col min="22" max="23" width="10.42578125" style="64" customWidth="1"/>
    <col min="24" max="16384" width="9.140625" style="64"/>
  </cols>
  <sheetData>
    <row r="1" spans="1:23">
      <c r="A1" s="35"/>
      <c r="B1" s="4151"/>
      <c r="C1" s="35"/>
      <c r="D1" s="35"/>
      <c r="E1" s="35"/>
      <c r="F1" s="35"/>
      <c r="G1" s="35"/>
      <c r="H1" s="35"/>
      <c r="I1" s="35"/>
      <c r="J1" s="35"/>
      <c r="K1" s="35"/>
      <c r="L1" s="35"/>
      <c r="M1" s="35"/>
      <c r="N1" s="35"/>
      <c r="O1" s="35"/>
      <c r="P1" s="35"/>
      <c r="Q1" s="35"/>
      <c r="R1" s="35"/>
      <c r="S1" s="35"/>
      <c r="T1" s="35"/>
      <c r="U1" s="35"/>
      <c r="V1" s="35"/>
      <c r="W1" s="35"/>
    </row>
    <row r="2" spans="1:23">
      <c r="A2" s="35"/>
      <c r="B2" s="2754" t="s">
        <v>3361</v>
      </c>
      <c r="C2" s="35"/>
      <c r="D2" s="35"/>
      <c r="E2" s="35"/>
      <c r="F2" s="35"/>
      <c r="G2" s="35"/>
      <c r="H2" s="35"/>
      <c r="I2" s="35"/>
      <c r="J2" s="35"/>
      <c r="K2" s="35"/>
      <c r="L2" s="35"/>
      <c r="M2" s="35"/>
      <c r="N2" s="35"/>
      <c r="O2" s="35"/>
      <c r="P2" s="35"/>
      <c r="Q2" s="35"/>
      <c r="R2" s="35"/>
      <c r="S2" s="35"/>
      <c r="T2" s="35"/>
      <c r="U2" s="35"/>
      <c r="V2" s="35"/>
      <c r="W2" s="35"/>
    </row>
    <row r="3" spans="1:23">
      <c r="A3" s="35"/>
      <c r="B3" s="4164" t="s">
        <v>3363</v>
      </c>
      <c r="C3" s="1464" t="s">
        <v>3362</v>
      </c>
      <c r="D3" s="35"/>
      <c r="E3" s="35"/>
      <c r="F3" s="35"/>
      <c r="G3" s="35"/>
      <c r="H3" s="35"/>
      <c r="I3" s="35"/>
      <c r="J3" s="35"/>
      <c r="K3" s="35"/>
      <c r="L3" s="35"/>
      <c r="M3" s="35"/>
      <c r="N3" s="35"/>
      <c r="O3" s="35"/>
      <c r="P3" s="35"/>
      <c r="Q3" s="35"/>
      <c r="R3" s="35"/>
      <c r="S3" s="35"/>
      <c r="T3" s="35"/>
      <c r="U3" s="35"/>
      <c r="V3" s="35"/>
      <c r="W3" s="35"/>
    </row>
    <row r="4" spans="1:23">
      <c r="A4" s="35"/>
      <c r="B4" s="4151"/>
      <c r="C4" s="1464" t="s">
        <v>3364</v>
      </c>
      <c r="D4" s="35"/>
      <c r="E4" s="35"/>
      <c r="F4" s="35"/>
      <c r="G4" s="35"/>
      <c r="H4" s="35"/>
      <c r="I4" s="35"/>
      <c r="J4" s="35"/>
      <c r="K4" s="35"/>
      <c r="L4" s="35"/>
      <c r="M4" s="35"/>
      <c r="N4" s="35"/>
      <c r="O4" s="35"/>
      <c r="P4" s="35"/>
      <c r="Q4" s="35"/>
      <c r="R4" s="35"/>
      <c r="S4" s="35"/>
      <c r="T4" s="35"/>
      <c r="U4" s="35"/>
      <c r="V4" s="35"/>
      <c r="W4" s="35"/>
    </row>
    <row r="5" spans="1:23">
      <c r="A5" s="35"/>
      <c r="B5" s="4151"/>
      <c r="C5" s="1464" t="s">
        <v>3365</v>
      </c>
      <c r="D5" s="35"/>
      <c r="E5" s="35"/>
      <c r="F5" s="35"/>
      <c r="G5" s="35"/>
      <c r="H5" s="35"/>
      <c r="I5" s="35"/>
      <c r="J5" s="35"/>
      <c r="K5" s="35"/>
      <c r="L5" s="35"/>
      <c r="M5" s="35"/>
      <c r="N5" s="35"/>
      <c r="O5" s="35"/>
      <c r="P5" s="35"/>
      <c r="Q5" s="35"/>
      <c r="R5" s="35"/>
      <c r="S5" s="35"/>
      <c r="T5" s="35"/>
      <c r="U5" s="35"/>
      <c r="V5" s="35"/>
      <c r="W5" s="35"/>
    </row>
    <row r="6" spans="1:23" ht="9.75" customHeight="1">
      <c r="A6" s="35"/>
      <c r="B6" s="4151"/>
      <c r="C6" s="35"/>
      <c r="D6" s="35"/>
      <c r="E6" s="35"/>
      <c r="F6" s="35"/>
      <c r="G6" s="35"/>
      <c r="H6" s="35"/>
      <c r="I6" s="35"/>
      <c r="J6" s="35"/>
      <c r="K6" s="35"/>
      <c r="L6" s="35"/>
      <c r="M6" s="35"/>
      <c r="N6" s="35"/>
      <c r="O6" s="35"/>
      <c r="P6" s="35"/>
      <c r="Q6" s="35"/>
      <c r="R6" s="35"/>
      <c r="S6" s="35"/>
      <c r="T6" s="35"/>
      <c r="U6" s="35"/>
      <c r="V6" s="35"/>
      <c r="W6" s="35"/>
    </row>
    <row r="7" spans="1:23">
      <c r="A7" s="35"/>
      <c r="B7" s="4164" t="s">
        <v>3363</v>
      </c>
      <c r="C7" s="1464" t="s">
        <v>3367</v>
      </c>
      <c r="D7" s="35"/>
      <c r="E7" s="35"/>
      <c r="F7" s="35"/>
      <c r="G7" s="35"/>
      <c r="H7" s="35"/>
      <c r="I7" s="35"/>
      <c r="J7" s="35"/>
      <c r="K7" s="35"/>
      <c r="L7" s="35"/>
      <c r="M7" s="35"/>
      <c r="N7" s="35"/>
      <c r="O7" s="35"/>
      <c r="P7" s="35"/>
      <c r="Q7" s="35"/>
      <c r="R7" s="35"/>
      <c r="S7" s="35"/>
      <c r="T7" s="35"/>
      <c r="U7" s="35"/>
      <c r="V7" s="35"/>
      <c r="W7" s="35"/>
    </row>
    <row r="8" spans="1:23">
      <c r="A8" s="35"/>
      <c r="B8" s="4151"/>
      <c r="C8" s="1464" t="s">
        <v>3366</v>
      </c>
      <c r="D8" s="35"/>
      <c r="E8" s="35"/>
      <c r="F8" s="35"/>
      <c r="G8" s="35"/>
      <c r="H8" s="35"/>
      <c r="I8" s="35"/>
      <c r="J8" s="35"/>
      <c r="K8" s="35"/>
      <c r="L8" s="35"/>
      <c r="M8" s="35"/>
      <c r="N8" s="35"/>
      <c r="O8" s="35"/>
      <c r="P8" s="35"/>
      <c r="Q8" s="35"/>
      <c r="R8" s="35"/>
      <c r="S8" s="35"/>
      <c r="T8" s="35"/>
      <c r="U8" s="35"/>
      <c r="V8" s="35"/>
      <c r="W8" s="35"/>
    </row>
    <row r="9" spans="1:23">
      <c r="A9" s="35"/>
      <c r="B9" s="4151"/>
      <c r="C9" s="1464"/>
      <c r="D9" s="35"/>
      <c r="E9" s="35"/>
      <c r="F9" s="35"/>
      <c r="G9" s="35"/>
      <c r="H9" s="35"/>
      <c r="I9" s="35"/>
      <c r="J9" s="35"/>
      <c r="K9" s="35"/>
      <c r="L9" s="35"/>
      <c r="M9" s="35"/>
      <c r="N9" s="35"/>
      <c r="O9" s="35"/>
      <c r="P9" s="35"/>
      <c r="Q9" s="35"/>
      <c r="R9" s="35"/>
      <c r="S9" s="35"/>
      <c r="T9" s="35"/>
      <c r="U9" s="35"/>
      <c r="V9" s="35"/>
      <c r="W9" s="35"/>
    </row>
    <row r="10" spans="1:23">
      <c r="A10" s="35"/>
      <c r="B10" s="4164" t="s">
        <v>3363</v>
      </c>
      <c r="C10" s="1464" t="s">
        <v>3368</v>
      </c>
      <c r="D10" s="35"/>
      <c r="E10" s="35"/>
      <c r="F10" s="35"/>
      <c r="G10" s="35"/>
      <c r="H10" s="35"/>
      <c r="I10" s="35"/>
      <c r="J10" s="35"/>
      <c r="K10" s="35"/>
      <c r="L10" s="35"/>
      <c r="M10" s="35"/>
      <c r="N10" s="35"/>
      <c r="O10" s="35"/>
      <c r="P10" s="35"/>
      <c r="Q10" s="35"/>
      <c r="R10" s="35"/>
      <c r="S10" s="35"/>
      <c r="T10" s="35"/>
      <c r="U10" s="35"/>
      <c r="V10" s="35"/>
      <c r="W10" s="35"/>
    </row>
    <row r="11" spans="1:23">
      <c r="A11" s="35"/>
      <c r="B11" s="4151"/>
      <c r="C11" s="4190" t="s">
        <v>3415</v>
      </c>
      <c r="D11" s="35"/>
      <c r="E11" s="35"/>
      <c r="F11" s="35"/>
      <c r="G11" s="35"/>
      <c r="H11" s="35"/>
      <c r="I11" s="35"/>
      <c r="J11" s="35"/>
      <c r="K11" s="35"/>
      <c r="L11" s="35"/>
      <c r="M11" s="35"/>
      <c r="N11" s="35"/>
      <c r="O11" s="35"/>
      <c r="P11" s="4935" t="str">
        <f>IF($V$14,"Annuity started on or before","")</f>
        <v/>
      </c>
      <c r="Q11" s="4936"/>
      <c r="R11" s="4936"/>
      <c r="S11" s="4936"/>
      <c r="T11" s="4936"/>
      <c r="U11" s="35"/>
      <c r="V11" s="35"/>
      <c r="W11" s="35"/>
    </row>
    <row r="12" spans="1:23" ht="13.5" thickBot="1">
      <c r="A12" s="35"/>
      <c r="B12" s="4151"/>
      <c r="C12" s="35"/>
      <c r="D12" s="35"/>
      <c r="E12" s="35"/>
      <c r="F12" s="35"/>
      <c r="G12" s="35"/>
      <c r="H12" s="35"/>
      <c r="I12" s="35"/>
      <c r="J12" s="35"/>
      <c r="K12" s="35"/>
      <c r="L12" s="35"/>
      <c r="M12" s="35"/>
      <c r="N12" s="35"/>
      <c r="O12" s="35"/>
      <c r="P12" s="4935" t="str">
        <f>IF($V$14,TEXT(V13,"mmmm d, yyyy")&amp;".  See Pub. 939.","")</f>
        <v/>
      </c>
      <c r="Q12" s="4936"/>
      <c r="R12" s="4936"/>
      <c r="S12" s="4936"/>
      <c r="T12" s="4936"/>
      <c r="U12" s="35"/>
      <c r="V12" s="35"/>
      <c r="W12" s="35"/>
    </row>
    <row r="13" spans="1:23" ht="13.5" thickBot="1">
      <c r="A13" s="35"/>
      <c r="B13" s="784" t="s">
        <v>288</v>
      </c>
      <c r="C13" s="35"/>
      <c r="D13" s="35"/>
      <c r="E13" s="35"/>
      <c r="F13" s="35"/>
      <c r="G13" s="35"/>
      <c r="H13" s="35"/>
      <c r="I13" s="35"/>
      <c r="J13" s="35"/>
      <c r="K13" s="35"/>
      <c r="L13" s="35"/>
      <c r="M13" s="35"/>
      <c r="N13" s="35"/>
      <c r="O13" s="35"/>
      <c r="P13" s="127"/>
      <c r="Q13" s="128"/>
      <c r="R13" s="128"/>
      <c r="S13" s="128"/>
      <c r="T13" s="851"/>
      <c r="U13" s="35"/>
      <c r="V13" s="4165">
        <v>31594</v>
      </c>
      <c r="W13" s="35"/>
    </row>
    <row r="14" spans="1:23" ht="13.5" thickBot="1">
      <c r="A14" s="35"/>
      <c r="B14" s="180" t="s">
        <v>384</v>
      </c>
      <c r="C14" s="35"/>
      <c r="D14" s="35"/>
      <c r="E14" s="35"/>
      <c r="F14" s="35"/>
      <c r="G14" s="35"/>
      <c r="H14" s="35"/>
      <c r="I14" s="35"/>
      <c r="J14" s="35"/>
      <c r="K14" s="35"/>
      <c r="L14" s="35"/>
      <c r="M14" s="35"/>
      <c r="N14" s="35"/>
      <c r="O14" s="35"/>
      <c r="P14" s="129"/>
      <c r="Q14" s="130"/>
      <c r="R14" s="4931"/>
      <c r="S14" s="4932"/>
      <c r="T14" s="852"/>
      <c r="U14" s="35"/>
      <c r="V14" s="2112" t="b">
        <f>IF(AND(R14&lt;&gt;"",R14&lt;=V13),TRUE,FALSE)</f>
        <v>0</v>
      </c>
      <c r="W14" s="35"/>
    </row>
    <row r="15" spans="1:23">
      <c r="A15" s="35"/>
      <c r="B15" s="180"/>
      <c r="C15" s="35" t="str">
        <f>"-  the first period for which you received a payment"</f>
        <v>-  the first period for which you received a payment</v>
      </c>
      <c r="D15" s="35"/>
      <c r="E15" s="35"/>
      <c r="F15" s="35"/>
      <c r="G15" s="35"/>
      <c r="H15" s="35"/>
      <c r="I15" s="35"/>
      <c r="J15" s="35"/>
      <c r="K15" s="35"/>
      <c r="L15" s="35"/>
      <c r="M15" s="35"/>
      <c r="N15" s="35"/>
      <c r="O15" s="35"/>
      <c r="P15" s="129"/>
      <c r="Q15" s="130"/>
      <c r="R15" s="1036" t="s">
        <v>349</v>
      </c>
      <c r="S15" s="131"/>
      <c r="T15" s="852"/>
      <c r="U15" s="35"/>
      <c r="V15" s="35"/>
      <c r="W15" s="35"/>
    </row>
    <row r="16" spans="1:23">
      <c r="A16" s="35"/>
      <c r="B16" s="180"/>
      <c r="C16" s="452" t="s">
        <v>385</v>
      </c>
      <c r="D16" s="35"/>
      <c r="E16" s="35"/>
      <c r="F16" s="35"/>
      <c r="G16" s="35"/>
      <c r="H16" s="35"/>
      <c r="I16" s="35"/>
      <c r="J16" s="35"/>
      <c r="K16" s="35"/>
      <c r="L16" s="35"/>
      <c r="M16" s="35"/>
      <c r="N16" s="35"/>
      <c r="O16" s="35"/>
      <c r="P16" s="129"/>
      <c r="Q16" s="130"/>
      <c r="R16" s="131"/>
      <c r="S16" s="131"/>
      <c r="T16" s="852"/>
      <c r="U16" s="35"/>
      <c r="V16" s="4154">
        <v>35795</v>
      </c>
      <c r="W16" s="35"/>
    </row>
    <row r="17" spans="1:23" ht="13.5" thickBot="1">
      <c r="A17" s="35"/>
      <c r="B17" s="180"/>
      <c r="C17" s="35" t="str">
        <f>"-  the date the plan’s obligations became fixed."</f>
        <v>-  the date the plan’s obligations became fixed.</v>
      </c>
      <c r="D17" s="35"/>
      <c r="E17" s="35"/>
      <c r="F17" s="35"/>
      <c r="G17" s="35"/>
      <c r="H17" s="35"/>
      <c r="I17" s="35"/>
      <c r="J17" s="35"/>
      <c r="K17" s="35"/>
      <c r="L17" s="35"/>
      <c r="M17" s="35"/>
      <c r="N17" s="35"/>
      <c r="O17" s="35"/>
      <c r="P17" s="132"/>
      <c r="Q17" s="118"/>
      <c r="R17" s="133"/>
      <c r="S17" s="133"/>
      <c r="T17" s="853"/>
      <c r="U17" s="35"/>
      <c r="V17" s="2112" t="b">
        <f>IF(R14&gt;V16,TRUE,FALSE)</f>
        <v>0</v>
      </c>
      <c r="W17" s="35"/>
    </row>
    <row r="18" spans="1:23" ht="13.5" thickBot="1">
      <c r="A18" s="35"/>
      <c r="B18" s="180"/>
      <c r="C18" s="35"/>
      <c r="D18" s="35"/>
      <c r="E18" s="35"/>
      <c r="F18" s="35"/>
      <c r="G18" s="35"/>
      <c r="H18" s="35"/>
      <c r="I18" s="35"/>
      <c r="J18" s="35"/>
      <c r="K18" s="35"/>
      <c r="L18" s="35"/>
      <c r="M18" s="35"/>
      <c r="N18" s="35"/>
      <c r="O18" s="35"/>
      <c r="P18" s="4939" t="str">
        <f>IF(R14="","Enter annuity starting date.","")</f>
        <v>Enter annuity starting date.</v>
      </c>
      <c r="Q18" s="4940"/>
      <c r="R18" s="4940"/>
      <c r="S18" s="4940"/>
      <c r="T18" s="4940"/>
      <c r="U18" s="35"/>
      <c r="V18" s="35"/>
      <c r="W18" s="35"/>
    </row>
    <row r="19" spans="1:23" ht="13.5" thickBot="1">
      <c r="A19" s="35"/>
      <c r="B19" s="784" t="s">
        <v>95</v>
      </c>
      <c r="C19" s="35"/>
      <c r="D19" s="35"/>
      <c r="E19" s="35"/>
      <c r="F19" s="35"/>
      <c r="G19" s="35"/>
      <c r="H19" s="35"/>
      <c r="I19" s="35"/>
      <c r="J19" s="35"/>
      <c r="K19" s="35"/>
      <c r="L19" s="35"/>
      <c r="M19" s="35"/>
      <c r="N19" s="35"/>
      <c r="O19" s="35"/>
      <c r="P19" s="125"/>
      <c r="Q19" s="46"/>
      <c r="R19" s="46"/>
      <c r="S19" s="46"/>
      <c r="T19" s="134"/>
      <c r="U19" s="84"/>
      <c r="V19" s="4167">
        <v>31778</v>
      </c>
      <c r="W19" s="35"/>
    </row>
    <row r="20" spans="1:23" ht="16.5" thickBot="1">
      <c r="A20" s="35"/>
      <c r="B20" s="180" t="s">
        <v>287</v>
      </c>
      <c r="C20" s="35"/>
      <c r="D20" s="35"/>
      <c r="E20" s="35"/>
      <c r="F20" s="35"/>
      <c r="G20" s="35"/>
      <c r="H20" s="35"/>
      <c r="I20" s="35"/>
      <c r="J20" s="35"/>
      <c r="K20" s="35"/>
      <c r="L20" s="35"/>
      <c r="M20" s="2592" t="str">
        <f>IF(R14&lt;J78,"",IF(AND(Q20="",S20=""),"Check one.",IF(AND(Q20&lt;&gt;"",S20&lt;&gt;""),"Check ONLY one.","")))</f>
        <v/>
      </c>
      <c r="N20" s="35"/>
      <c r="O20" s="4157" t="str">
        <f>IF(R14&lt;J78,"",IF(OR(AND(Q20="",S20=""),AND(Q20&lt;&gt;"",S20&lt;&gt;"")),"®",""))</f>
        <v/>
      </c>
      <c r="P20" s="84"/>
      <c r="Q20" s="790"/>
      <c r="R20" s="359" t="s">
        <v>613</v>
      </c>
      <c r="S20" s="790"/>
      <c r="T20" s="4155" t="s">
        <v>614</v>
      </c>
      <c r="U20" s="84"/>
      <c r="V20" s="4168" t="b">
        <f>IF(AND(R14&lt;&gt;"",R14&lt;V19),TRUE,FALSE)</f>
        <v>0</v>
      </c>
      <c r="W20" s="35"/>
    </row>
    <row r="21" spans="1:23">
      <c r="A21" s="35"/>
      <c r="B21" s="180"/>
      <c r="C21" s="35" t="str">
        <f>"1. Your annuity starting date (defined above) was after "&amp;TEXT(V13,"mmmm d, yyyy")&amp;", and you used this method last year to figure the taxable part."</f>
        <v>1. Your annuity starting date (defined above) was after July 1, 1986, and you used this method last year to figure the taxable part.</v>
      </c>
      <c r="D21" s="35"/>
      <c r="E21" s="35"/>
      <c r="F21" s="35"/>
      <c r="G21" s="35"/>
      <c r="H21" s="35"/>
      <c r="I21" s="35"/>
      <c r="J21" s="35"/>
      <c r="K21" s="35"/>
      <c r="L21" s="35"/>
      <c r="M21" s="35"/>
      <c r="N21" s="35"/>
      <c r="O21" s="35"/>
      <c r="P21" s="4941" t="s">
        <v>3356</v>
      </c>
      <c r="Q21" s="4724"/>
      <c r="R21" s="4724"/>
      <c r="S21" s="4724"/>
      <c r="T21" s="4946"/>
      <c r="U21" s="41" t="s">
        <v>623</v>
      </c>
      <c r="V21" s="35"/>
      <c r="W21" s="35"/>
    </row>
    <row r="22" spans="1:23">
      <c r="A22" s="35"/>
      <c r="B22" s="180"/>
      <c r="C22" s="35" t="str">
        <f>"2. Your annuity starting date was after "&amp;TEXT(J67,"mmmm d, yyyy")&amp;", "</f>
        <v xml:space="preserve">2. Your annuity starting date was after November 18, 1996, </v>
      </c>
      <c r="D22" s="35"/>
      <c r="E22" s="35"/>
      <c r="F22" s="35"/>
      <c r="G22" s="1043" t="s">
        <v>616</v>
      </c>
      <c r="H22" s="35"/>
      <c r="I22" s="35"/>
      <c r="J22" s="35"/>
      <c r="K22" s="35"/>
      <c r="L22" s="35"/>
      <c r="M22" s="35"/>
      <c r="N22" s="35"/>
      <c r="O22" s="35"/>
      <c r="P22" s="4941" t="s">
        <v>3357</v>
      </c>
      <c r="Q22" s="4724"/>
      <c r="R22" s="4724"/>
      <c r="S22" s="4724"/>
      <c r="T22" s="4946"/>
      <c r="U22" s="4156"/>
      <c r="V22" s="35"/>
      <c r="W22" s="35"/>
    </row>
    <row r="23" spans="1:23" ht="13.5" thickBot="1">
      <c r="A23" s="35"/>
      <c r="B23" s="180"/>
      <c r="C23" s="35"/>
      <c r="D23" s="35" t="s">
        <v>239</v>
      </c>
      <c r="E23" s="35"/>
      <c r="F23" s="35"/>
      <c r="G23" s="35"/>
      <c r="H23" s="35"/>
      <c r="I23" s="35"/>
      <c r="J23" s="35"/>
      <c r="K23" s="35"/>
      <c r="L23" s="35"/>
      <c r="M23" s="35"/>
      <c r="N23" s="35"/>
      <c r="O23" s="35"/>
      <c r="P23" s="126"/>
      <c r="Q23" s="52"/>
      <c r="R23" s="52"/>
      <c r="S23" s="52"/>
      <c r="T23" s="136"/>
      <c r="U23" s="84"/>
      <c r="V23" s="35"/>
      <c r="W23" s="35"/>
    </row>
    <row r="24" spans="1:23" ht="13.5" thickBot="1">
      <c r="A24" s="35"/>
      <c r="B24" s="180"/>
      <c r="C24" s="35"/>
      <c r="D24" s="35" t="s">
        <v>627</v>
      </c>
      <c r="E24" s="35"/>
      <c r="F24" s="35"/>
      <c r="G24" s="35"/>
      <c r="H24" s="35"/>
      <c r="I24" s="35"/>
      <c r="J24" s="35"/>
      <c r="K24" s="35"/>
      <c r="L24" s="35"/>
      <c r="M24" s="35"/>
      <c r="N24" s="35"/>
      <c r="O24" s="35"/>
      <c r="P24" s="35"/>
      <c r="Q24" s="35"/>
      <c r="R24" s="35"/>
      <c r="S24" s="35"/>
      <c r="T24" s="35"/>
      <c r="U24" s="35"/>
      <c r="V24" s="35"/>
      <c r="W24" s="35"/>
    </row>
    <row r="25" spans="1:23" ht="13.5" thickBot="1">
      <c r="A25" s="35"/>
      <c r="B25" s="180"/>
      <c r="C25" s="35"/>
      <c r="D25" s="35" t="str">
        <f>"    -  you were under age 75"</f>
        <v xml:space="preserve">    -  you were under age 75</v>
      </c>
      <c r="E25" s="35"/>
      <c r="F25" s="35"/>
      <c r="G25" s="35"/>
      <c r="H25" s="35"/>
      <c r="I25" s="35"/>
      <c r="J25" s="35"/>
      <c r="K25" s="35"/>
      <c r="L25" s="35"/>
      <c r="M25" s="35"/>
      <c r="N25" s="35"/>
      <c r="O25" s="35"/>
      <c r="P25" s="127"/>
      <c r="Q25" s="128"/>
      <c r="R25" s="1037"/>
      <c r="S25" s="1037"/>
      <c r="T25" s="1032"/>
      <c r="U25" s="35"/>
      <c r="V25" s="35"/>
      <c r="W25" s="35"/>
    </row>
    <row r="26" spans="1:23" ht="13.5" thickBot="1">
      <c r="A26" s="35"/>
      <c r="B26" s="180"/>
      <c r="C26" s="35"/>
      <c r="D26" s="35" t="s">
        <v>612</v>
      </c>
      <c r="E26" s="35"/>
      <c r="F26" s="35"/>
      <c r="G26" s="35"/>
      <c r="H26" s="35"/>
      <c r="I26" s="35"/>
      <c r="J26" s="35"/>
      <c r="K26" s="35"/>
      <c r="L26" s="35"/>
      <c r="M26" s="35"/>
      <c r="N26" s="35"/>
      <c r="O26" s="35"/>
      <c r="P26" s="129"/>
      <c r="Q26" s="130"/>
      <c r="R26" s="4933"/>
      <c r="S26" s="4934"/>
      <c r="T26" s="852"/>
      <c r="U26" s="35"/>
      <c r="V26" s="35"/>
      <c r="W26" s="35"/>
    </row>
    <row r="27" spans="1:23">
      <c r="A27" s="35"/>
      <c r="B27" s="180"/>
      <c r="C27" s="35"/>
      <c r="D27" s="35" t="str">
        <f>"    -  the number of years of guaranteed payments was fewer than 5. See Pub. 575 for the definition of guaranteed payments."</f>
        <v xml:space="preserve">    -  the number of years of guaranteed payments was fewer than 5. See Pub. 575 for the definition of guaranteed payments.</v>
      </c>
      <c r="E27" s="35"/>
      <c r="F27" s="35"/>
      <c r="G27" s="35"/>
      <c r="H27" s="35"/>
      <c r="I27" s="35"/>
      <c r="J27" s="35"/>
      <c r="K27" s="35"/>
      <c r="L27" s="35"/>
      <c r="M27" s="35"/>
      <c r="N27" s="35"/>
      <c r="O27" s="35"/>
      <c r="P27" s="4149"/>
      <c r="Q27" s="4158"/>
      <c r="R27" s="4160" t="str">
        <f>IF(AND($V$17,$Q$20&lt;&gt;""),"COMBINED ages","Your age")</f>
        <v>Your age</v>
      </c>
      <c r="S27" s="4158"/>
      <c r="T27" s="4159"/>
      <c r="U27" s="35"/>
      <c r="V27" s="35"/>
      <c r="W27" s="35"/>
    </row>
    <row r="28" spans="1:23" ht="8.25" customHeight="1">
      <c r="A28" s="35"/>
      <c r="B28" s="180"/>
      <c r="C28" s="35"/>
      <c r="D28" s="35"/>
      <c r="E28" s="35"/>
      <c r="F28" s="35"/>
      <c r="G28" s="35"/>
      <c r="H28" s="35"/>
      <c r="I28" s="35"/>
      <c r="J28" s="35"/>
      <c r="K28" s="35"/>
      <c r="L28" s="35"/>
      <c r="M28" s="35"/>
      <c r="N28" s="35"/>
      <c r="O28" s="35"/>
      <c r="P28" s="4149"/>
      <c r="Q28" s="4158"/>
      <c r="R28" s="949" t="s">
        <v>3354</v>
      </c>
      <c r="S28" s="4158"/>
      <c r="T28" s="4159"/>
      <c r="U28" s="35"/>
      <c r="V28" s="35"/>
      <c r="W28" s="35"/>
    </row>
    <row r="29" spans="1:23" ht="13.5" thickBot="1">
      <c r="A29" s="112"/>
      <c r="B29" s="961"/>
      <c r="C29" s="112"/>
      <c r="D29" s="112"/>
      <c r="E29" s="112"/>
      <c r="F29" s="112"/>
      <c r="G29" s="112"/>
      <c r="H29" s="112"/>
      <c r="I29" s="112"/>
      <c r="J29" s="112"/>
      <c r="K29" s="112"/>
      <c r="L29" s="112"/>
      <c r="M29" s="112"/>
      <c r="N29" s="112"/>
      <c r="O29" s="35"/>
      <c r="P29" s="132"/>
      <c r="Q29" s="118"/>
      <c r="R29" s="133"/>
      <c r="S29" s="133"/>
      <c r="T29" s="853"/>
      <c r="U29" s="35"/>
      <c r="V29" s="35"/>
      <c r="W29" s="35"/>
    </row>
    <row r="30" spans="1:23" ht="36" customHeight="1">
      <c r="A30" s="961"/>
      <c r="B30" s="386" t="s">
        <v>552</v>
      </c>
      <c r="C30" s="120"/>
      <c r="D30" s="121"/>
      <c r="E30" s="121"/>
      <c r="F30" s="121"/>
      <c r="G30" s="121"/>
      <c r="H30" s="121"/>
      <c r="I30" s="119"/>
      <c r="J30" s="122"/>
      <c r="K30" s="385" t="s">
        <v>290</v>
      </c>
      <c r="L30" s="385"/>
      <c r="M30" s="385"/>
      <c r="N30" s="1014"/>
      <c r="O30" s="385"/>
      <c r="P30" s="4944" t="str">
        <f>IF(AND(V17,Q20&lt;&gt;"",R14&lt;&gt;"",R26="",S20=""),"If your annuity starting date was after 1997 and the payments are for your life and that of your beneficiary, use your combined ages on the annuity starting date.","")</f>
        <v/>
      </c>
      <c r="Q30" s="4945"/>
      <c r="R30" s="4945"/>
      <c r="S30" s="4945"/>
      <c r="T30" s="4945"/>
      <c r="U30" s="35"/>
      <c r="V30" s="35"/>
      <c r="W30" s="35"/>
    </row>
    <row r="31" spans="1:23" ht="5.25" customHeight="1" thickBot="1">
      <c r="A31" s="112"/>
      <c r="B31" s="107"/>
      <c r="C31" s="52"/>
      <c r="D31" s="52"/>
      <c r="E31" s="52"/>
      <c r="F31" s="52"/>
      <c r="G31" s="52"/>
      <c r="H31" s="52"/>
      <c r="I31" s="52"/>
      <c r="J31" s="52"/>
      <c r="K31" s="52"/>
      <c r="L31" s="52"/>
      <c r="M31" s="44"/>
      <c r="N31" s="130"/>
      <c r="O31" s="44"/>
      <c r="P31" s="4714"/>
      <c r="Q31" s="4714"/>
      <c r="R31" s="4714"/>
      <c r="S31" s="4714"/>
      <c r="T31" s="4714"/>
      <c r="U31" s="35"/>
      <c r="V31" s="35"/>
      <c r="W31" s="35"/>
    </row>
    <row r="32" spans="1:23" ht="13.5" customHeight="1">
      <c r="A32" s="112"/>
      <c r="B32" s="482"/>
      <c r="C32" s="44"/>
      <c r="D32" s="44"/>
      <c r="E32" s="44"/>
      <c r="F32" s="44"/>
      <c r="G32" s="44"/>
      <c r="H32" s="44"/>
      <c r="I32" s="44"/>
      <c r="J32" s="44"/>
      <c r="K32" s="44"/>
      <c r="L32" s="344"/>
      <c r="M32" s="691"/>
      <c r="N32" s="934"/>
      <c r="O32" s="344"/>
      <c r="P32" s="4714"/>
      <c r="Q32" s="4714"/>
      <c r="R32" s="4714"/>
      <c r="S32" s="4714"/>
      <c r="T32" s="4714"/>
      <c r="U32" s="35"/>
      <c r="V32" s="35"/>
      <c r="W32" s="35"/>
    </row>
    <row r="33" spans="1:23" ht="13.5" customHeight="1">
      <c r="A33" s="112"/>
      <c r="B33" s="149"/>
      <c r="C33" s="562"/>
      <c r="D33" s="559" t="s">
        <v>348</v>
      </c>
      <c r="E33" s="559"/>
      <c r="F33" s="559"/>
      <c r="G33" s="559"/>
      <c r="H33" s="559"/>
      <c r="I33" s="44"/>
      <c r="J33" s="44"/>
      <c r="K33" s="44"/>
      <c r="L33" s="344"/>
      <c r="M33" s="409"/>
      <c r="N33" s="934"/>
      <c r="O33" s="344"/>
      <c r="P33" s="4714"/>
      <c r="Q33" s="4714"/>
      <c r="R33" s="4714"/>
      <c r="S33" s="4714"/>
      <c r="T33" s="4714"/>
      <c r="U33" s="35"/>
      <c r="V33" s="35"/>
      <c r="W33" s="35"/>
    </row>
    <row r="34" spans="1:23" ht="13.5" customHeight="1">
      <c r="A34" s="112"/>
      <c r="B34" s="149"/>
      <c r="C34" s="1021" t="s">
        <v>72</v>
      </c>
      <c r="D34" s="178" t="s">
        <v>945</v>
      </c>
      <c r="E34" s="44"/>
      <c r="F34" s="44"/>
      <c r="G34" s="44"/>
      <c r="H34" s="44"/>
      <c r="I34" s="44"/>
      <c r="J34" s="44"/>
      <c r="K34" s="44"/>
      <c r="L34" s="344"/>
      <c r="M34" s="409"/>
      <c r="N34" s="934"/>
      <c r="O34" s="344"/>
      <c r="P34" s="4714"/>
      <c r="Q34" s="4714"/>
      <c r="R34" s="4714"/>
      <c r="S34" s="4714"/>
      <c r="T34" s="4714"/>
      <c r="U34" s="35"/>
      <c r="V34" s="35"/>
      <c r="W34" s="35"/>
    </row>
    <row r="35" spans="1:23" ht="12" customHeight="1">
      <c r="A35" s="112"/>
      <c r="B35" s="149"/>
      <c r="C35" s="44"/>
      <c r="D35" s="178" t="s">
        <v>944</v>
      </c>
      <c r="E35" s="344"/>
      <c r="F35" s="344"/>
      <c r="G35" s="344"/>
      <c r="H35" s="344"/>
      <c r="I35" s="44"/>
      <c r="J35" s="44"/>
      <c r="K35" s="44"/>
      <c r="L35" s="344"/>
      <c r="M35" s="409"/>
      <c r="N35" s="934"/>
      <c r="O35" s="344"/>
      <c r="P35" s="35"/>
      <c r="Q35" s="35"/>
      <c r="R35" s="35"/>
      <c r="S35" s="35"/>
      <c r="T35" s="35"/>
      <c r="U35" s="35"/>
      <c r="V35" s="35"/>
      <c r="W35" s="35"/>
    </row>
    <row r="36" spans="1:23" ht="16.5" customHeight="1">
      <c r="A36" s="823"/>
      <c r="B36" s="1283" t="s">
        <v>3413</v>
      </c>
      <c r="C36" s="407"/>
      <c r="D36" s="405"/>
      <c r="E36" s="405"/>
      <c r="F36" s="405"/>
      <c r="G36" s="405"/>
      <c r="H36" s="405"/>
      <c r="I36" s="408"/>
      <c r="J36" s="408"/>
      <c r="K36" s="408"/>
      <c r="L36" s="344"/>
      <c r="M36" s="409"/>
      <c r="N36" s="934"/>
      <c r="O36" s="344"/>
      <c r="P36" s="35"/>
      <c r="Q36" s="35"/>
      <c r="R36" s="36"/>
      <c r="S36" s="35"/>
      <c r="T36" s="35"/>
      <c r="U36" s="35"/>
      <c r="V36" s="35"/>
      <c r="W36" s="35"/>
    </row>
    <row r="37" spans="1:23">
      <c r="A37" s="823"/>
      <c r="B37" s="1514" t="s">
        <v>3412</v>
      </c>
      <c r="C37" s="1236"/>
      <c r="D37" s="1236"/>
      <c r="E37" s="1236"/>
      <c r="F37" s="361" t="str">
        <f>"Enter the total pension or annuity payments received in "&amp;TaxYear&amp;" on Form 1040, line 16a."</f>
        <v>Enter the total pension or annuity payments received in 2016 on Form 1040, line 16a.</v>
      </c>
      <c r="G37" s="1236"/>
      <c r="H37" s="1236"/>
      <c r="I37" s="401"/>
      <c r="J37" s="401"/>
      <c r="K37" s="401"/>
      <c r="L37" s="1515"/>
      <c r="M37" s="1516"/>
      <c r="N37" s="1015"/>
      <c r="O37" s="344"/>
      <c r="P37" s="35"/>
      <c r="Q37" s="35"/>
      <c r="R37" s="36"/>
      <c r="S37" s="35"/>
      <c r="T37" s="35"/>
      <c r="U37" s="35"/>
      <c r="V37" s="35"/>
      <c r="W37" s="35"/>
    </row>
    <row r="38" spans="1:23" ht="16.5" customHeight="1">
      <c r="A38" s="112"/>
      <c r="B38" s="693" t="str">
        <f>"1."</f>
        <v>1.</v>
      </c>
      <c r="C38" s="399" t="s">
        <v>1689</v>
      </c>
      <c r="D38" s="89"/>
      <c r="E38" s="89"/>
      <c r="F38" s="89"/>
      <c r="G38" s="89"/>
      <c r="H38" s="89"/>
      <c r="I38" s="95"/>
      <c r="J38" s="89"/>
      <c r="K38" s="96"/>
      <c r="L38" s="89"/>
      <c r="M38" s="97"/>
      <c r="N38" s="1016"/>
      <c r="O38" s="427"/>
      <c r="P38" s="35"/>
      <c r="Q38" s="35"/>
      <c r="R38" s="36"/>
      <c r="S38" s="35"/>
      <c r="T38" s="35"/>
      <c r="U38" s="35"/>
      <c r="V38" s="35"/>
      <c r="W38" s="35"/>
    </row>
    <row r="39" spans="1:23">
      <c r="A39" s="112"/>
      <c r="B39" s="397"/>
      <c r="C39" s="399" t="s">
        <v>400</v>
      </c>
      <c r="D39" s="89"/>
      <c r="E39" s="89"/>
      <c r="F39" s="89"/>
      <c r="G39" s="89"/>
      <c r="H39" s="89"/>
      <c r="I39" s="95"/>
      <c r="J39" s="101" t="s">
        <v>509</v>
      </c>
      <c r="K39" s="96">
        <v>1</v>
      </c>
      <c r="L39" s="2774"/>
      <c r="M39" s="692"/>
      <c r="N39" s="1017"/>
      <c r="O39" s="89"/>
      <c r="P39" s="35"/>
      <c r="Q39" s="35"/>
      <c r="R39" s="36"/>
      <c r="S39" s="35"/>
      <c r="T39" s="35"/>
      <c r="U39" s="35"/>
      <c r="V39" s="35"/>
      <c r="W39" s="35"/>
    </row>
    <row r="40" spans="1:23">
      <c r="A40" s="112"/>
      <c r="B40" s="397">
        <v>2</v>
      </c>
      <c r="C40" s="399" t="s">
        <v>139</v>
      </c>
      <c r="D40" s="89"/>
      <c r="E40" s="89"/>
      <c r="F40" s="1022"/>
      <c r="G40" s="1022"/>
      <c r="H40" s="1022" t="s">
        <v>632</v>
      </c>
      <c r="I40" s="95">
        <v>2</v>
      </c>
      <c r="J40" s="2774"/>
      <c r="K40" s="95"/>
      <c r="L40" s="427"/>
      <c r="M40" s="692"/>
      <c r="N40" s="1016"/>
      <c r="O40" s="89"/>
      <c r="P40" s="35"/>
      <c r="Q40" s="35"/>
      <c r="R40" s="36"/>
      <c r="S40" s="35"/>
      <c r="T40" s="35"/>
      <c r="U40" s="35"/>
      <c r="V40" s="35"/>
      <c r="W40" s="35"/>
    </row>
    <row r="41" spans="1:23" ht="13.5" thickBot="1">
      <c r="A41" s="112"/>
      <c r="B41" s="397"/>
      <c r="C41" s="860" t="s">
        <v>1691</v>
      </c>
      <c r="D41" s="89"/>
      <c r="E41" s="89"/>
      <c r="F41" s="1022"/>
      <c r="G41" s="1022"/>
      <c r="H41" s="1022"/>
      <c r="I41" s="95"/>
      <c r="J41" s="1203"/>
      <c r="K41" s="95"/>
      <c r="L41" s="1454"/>
      <c r="M41" s="692"/>
      <c r="N41" s="1016"/>
      <c r="O41" s="89"/>
      <c r="P41" s="35"/>
      <c r="Q41" s="35"/>
      <c r="R41" s="35"/>
      <c r="S41" s="35"/>
      <c r="T41" s="35"/>
      <c r="U41" s="35"/>
      <c r="V41" s="35"/>
      <c r="W41" s="35"/>
    </row>
    <row r="42" spans="1:23" ht="13.5" thickBot="1">
      <c r="A42" s="112"/>
      <c r="B42" s="397"/>
      <c r="C42" s="399" t="s">
        <v>1690</v>
      </c>
      <c r="D42" s="89"/>
      <c r="E42" s="89"/>
      <c r="F42" s="1022"/>
      <c r="G42" s="1022"/>
      <c r="H42" s="1022"/>
      <c r="I42" s="95"/>
      <c r="J42" s="1203"/>
      <c r="K42" s="95"/>
      <c r="L42" s="1454"/>
      <c r="M42" s="692"/>
      <c r="N42" s="1016"/>
      <c r="O42" s="89"/>
      <c r="P42" s="35"/>
      <c r="Q42" s="2590"/>
      <c r="R42" s="1464" t="s">
        <v>3355</v>
      </c>
      <c r="S42" s="35"/>
      <c r="T42" s="35"/>
      <c r="U42" s="35"/>
      <c r="V42" s="35"/>
      <c r="W42" s="35"/>
    </row>
    <row r="43" spans="1:23">
      <c r="A43" s="112"/>
      <c r="B43" s="397"/>
      <c r="C43" s="399" t="s">
        <v>378</v>
      </c>
      <c r="D43" s="89"/>
      <c r="E43" s="89"/>
      <c r="F43" s="1022"/>
      <c r="G43" s="1022"/>
      <c r="H43" s="1022"/>
      <c r="I43" s="95"/>
      <c r="J43" s="1203"/>
      <c r="K43" s="95"/>
      <c r="L43" s="1035"/>
      <c r="M43" s="692"/>
      <c r="N43" s="1016"/>
      <c r="O43" s="89"/>
      <c r="P43" s="35"/>
      <c r="Q43" s="4162"/>
      <c r="R43" s="1464"/>
      <c r="S43" s="35"/>
      <c r="T43" s="35"/>
      <c r="U43" s="35"/>
      <c r="V43" s="35"/>
      <c r="W43" s="35"/>
    </row>
    <row r="44" spans="1:23">
      <c r="A44" s="112"/>
      <c r="B44" s="397">
        <v>3</v>
      </c>
      <c r="C44" s="399" t="s">
        <v>946</v>
      </c>
      <c r="D44" s="89"/>
      <c r="E44" s="89"/>
      <c r="F44" s="89"/>
      <c r="G44" s="89"/>
      <c r="H44" s="89"/>
      <c r="I44" s="95"/>
      <c r="J44" s="1044"/>
      <c r="K44" s="95"/>
      <c r="L44" s="1035"/>
      <c r="M44" s="97"/>
      <c r="N44" s="1016"/>
      <c r="O44" s="89"/>
      <c r="P44" s="35"/>
      <c r="Q44" s="4163"/>
      <c r="R44" s="1464"/>
      <c r="S44" s="35"/>
      <c r="T44" s="35"/>
      <c r="U44" s="35"/>
      <c r="V44" s="35"/>
      <c r="W44" s="35"/>
    </row>
    <row r="45" spans="1:23" ht="11.25" customHeight="1" thickBot="1">
      <c r="A45" s="112"/>
      <c r="B45" s="1128"/>
      <c r="C45" s="1235" t="s">
        <v>947</v>
      </c>
      <c r="D45" s="400"/>
      <c r="E45" s="400"/>
      <c r="F45" s="400"/>
      <c r="G45" s="400"/>
      <c r="H45" s="400"/>
      <c r="I45" s="667"/>
      <c r="J45" s="1518"/>
      <c r="K45" s="667"/>
      <c r="L45" s="1035"/>
      <c r="M45" s="1519"/>
      <c r="N45" s="1016"/>
      <c r="O45" s="89"/>
      <c r="P45" s="52"/>
      <c r="Q45" s="52"/>
      <c r="R45" s="52"/>
      <c r="S45" s="52"/>
      <c r="T45" s="52"/>
      <c r="U45" s="52"/>
      <c r="V45" s="35"/>
      <c r="W45" s="35"/>
    </row>
    <row r="46" spans="1:23" ht="14.25" customHeight="1">
      <c r="A46" s="112"/>
      <c r="B46" s="149"/>
      <c r="C46" s="399" t="s">
        <v>948</v>
      </c>
      <c r="D46" s="94"/>
      <c r="E46" s="94"/>
      <c r="F46" s="94"/>
      <c r="G46" s="94"/>
      <c r="H46" s="1022" t="s">
        <v>509</v>
      </c>
      <c r="I46" s="95">
        <v>3</v>
      </c>
      <c r="J46" s="2773" t="str">
        <f>IF(Q42&lt;&gt;"","",IF(R14="","Enter date above",IF(R26="","Enter age above",IF(L78=TRUE,J87,L77))))</f>
        <v>Enter date above</v>
      </c>
      <c r="K46" s="95"/>
      <c r="L46" s="4161" t="s">
        <v>97</v>
      </c>
      <c r="M46" s="1040"/>
      <c r="N46" s="1016"/>
      <c r="O46" s="89"/>
      <c r="P46" s="125"/>
      <c r="Q46" s="46"/>
      <c r="R46" s="46"/>
      <c r="S46" s="46"/>
      <c r="T46" s="46"/>
      <c r="U46" s="134"/>
      <c r="V46" s="35"/>
      <c r="W46" s="35"/>
    </row>
    <row r="47" spans="1:23" ht="14.25" customHeight="1" thickBot="1">
      <c r="A47" s="112"/>
      <c r="B47" s="397">
        <v>4</v>
      </c>
      <c r="C47" s="399" t="s">
        <v>485</v>
      </c>
      <c r="D47" s="94"/>
      <c r="E47" s="94"/>
      <c r="F47" s="94"/>
      <c r="G47" s="94"/>
      <c r="H47" s="1022" t="s">
        <v>374</v>
      </c>
      <c r="I47" s="95">
        <v>4</v>
      </c>
      <c r="J47" s="2773" t="str">
        <f>IF(L47&lt;&gt;"",L47,IF(OR(J46="",J46=0),"",IF(ISERROR(ROUND((J40/J46),0)),"",ROUND((J40/J46),0))))</f>
        <v/>
      </c>
      <c r="K47" s="95"/>
      <c r="L47" s="2774"/>
      <c r="M47" s="97"/>
      <c r="N47" s="1016"/>
      <c r="O47" s="89"/>
      <c r="P47" s="84"/>
      <c r="Q47" s="44"/>
      <c r="R47" s="44"/>
      <c r="S47" s="44"/>
      <c r="T47" s="44"/>
      <c r="U47" s="135"/>
      <c r="V47" s="35"/>
      <c r="W47" s="35"/>
    </row>
    <row r="48" spans="1:23" ht="16.5" thickBot="1">
      <c r="A48" s="112"/>
      <c r="B48" s="397">
        <v>5</v>
      </c>
      <c r="C48" s="399" t="s">
        <v>1163</v>
      </c>
      <c r="D48" s="94"/>
      <c r="E48" s="94"/>
      <c r="F48" s="94"/>
      <c r="G48" s="94"/>
      <c r="H48" s="94"/>
      <c r="I48" s="95"/>
      <c r="J48" s="89"/>
      <c r="K48" s="95"/>
      <c r="L48" s="1035" t="s">
        <v>546</v>
      </c>
      <c r="M48" s="1040" t="s">
        <v>504</v>
      </c>
      <c r="N48" s="1016"/>
      <c r="O48" s="89"/>
      <c r="P48" s="84"/>
      <c r="Q48" s="1045"/>
      <c r="R48" s="1041"/>
      <c r="S48" s="44"/>
      <c r="T48" s="44"/>
      <c r="U48" s="135"/>
      <c r="V48" s="35"/>
      <c r="W48" s="35"/>
    </row>
    <row r="49" spans="1:23" ht="15.75">
      <c r="A49" s="112"/>
      <c r="B49" s="149"/>
      <c r="C49" s="399" t="s">
        <v>1164</v>
      </c>
      <c r="D49" s="94"/>
      <c r="E49" s="94"/>
      <c r="F49" s="94"/>
      <c r="G49" s="94"/>
      <c r="H49" s="94"/>
      <c r="I49" s="95"/>
      <c r="J49" s="4152">
        <v>31778</v>
      </c>
      <c r="K49" s="1042" t="b">
        <f>IF(R14&lt;J49,TRUE,FALSE)</f>
        <v>1</v>
      </c>
      <c r="L49" s="1035" t="s">
        <v>547</v>
      </c>
      <c r="M49" s="1040"/>
      <c r="N49" s="1016"/>
      <c r="O49" s="89"/>
      <c r="P49" s="4941" t="s">
        <v>744</v>
      </c>
      <c r="Q49" s="4942"/>
      <c r="R49" s="4942"/>
      <c r="S49" s="4942"/>
      <c r="T49" s="4942"/>
      <c r="U49" s="4943"/>
      <c r="V49" s="35"/>
      <c r="W49" s="35"/>
    </row>
    <row r="50" spans="1:23">
      <c r="A50" s="112"/>
      <c r="B50" s="149"/>
      <c r="C50" s="399" t="s">
        <v>1165</v>
      </c>
      <c r="D50" s="94"/>
      <c r="E50" s="94"/>
      <c r="F50" s="94"/>
      <c r="G50" s="94"/>
      <c r="H50" s="1022" t="s">
        <v>509</v>
      </c>
      <c r="I50" s="95">
        <v>5</v>
      </c>
      <c r="J50" s="2773" t="str">
        <f>IF(OR(R48&gt;12,R48="",J47=""),"",J47*R48)</f>
        <v/>
      </c>
      <c r="K50" s="95"/>
      <c r="L50" s="1035" t="s">
        <v>3353</v>
      </c>
      <c r="M50" s="97"/>
      <c r="N50" s="1016"/>
      <c r="O50" s="89"/>
      <c r="P50" s="4941" t="s">
        <v>745</v>
      </c>
      <c r="Q50" s="4942"/>
      <c r="R50" s="4942"/>
      <c r="S50" s="4942"/>
      <c r="T50" s="4942"/>
      <c r="U50" s="4943"/>
      <c r="V50" s="35"/>
      <c r="W50" s="35"/>
    </row>
    <row r="51" spans="1:23" ht="16.5" thickBot="1">
      <c r="A51" s="112"/>
      <c r="B51" s="397">
        <v>6</v>
      </c>
      <c r="C51" s="399" t="s">
        <v>799</v>
      </c>
      <c r="D51" s="94"/>
      <c r="E51" s="94"/>
      <c r="F51" s="94"/>
      <c r="G51" s="94"/>
      <c r="H51" s="1022"/>
      <c r="I51" s="95"/>
      <c r="J51" s="1284"/>
      <c r="K51" s="95"/>
      <c r="L51" s="1035" t="s">
        <v>548</v>
      </c>
      <c r="M51" s="1040"/>
      <c r="N51" s="1016"/>
      <c r="O51" s="89"/>
      <c r="P51" s="126"/>
      <c r="Q51" s="52"/>
      <c r="R51" s="52"/>
      <c r="S51" s="52"/>
      <c r="T51" s="52"/>
      <c r="U51" s="136"/>
      <c r="V51" s="35"/>
      <c r="W51" s="35"/>
    </row>
    <row r="52" spans="1:23" ht="13.5" customHeight="1">
      <c r="A52" s="112"/>
      <c r="B52" s="397"/>
      <c r="C52" s="399" t="s">
        <v>599</v>
      </c>
      <c r="D52" s="94"/>
      <c r="E52" s="94"/>
      <c r="F52" s="94"/>
      <c r="G52" s="94"/>
      <c r="H52" s="1022"/>
      <c r="I52" s="95">
        <v>6</v>
      </c>
      <c r="J52" s="2774"/>
      <c r="K52" s="95"/>
      <c r="L52" s="1035"/>
      <c r="M52" s="1040"/>
      <c r="N52" s="1016"/>
      <c r="O52" s="89"/>
      <c r="P52" s="44"/>
      <c r="Q52" s="44"/>
      <c r="R52" s="44"/>
      <c r="S52" s="44"/>
      <c r="T52" s="44"/>
      <c r="U52" s="44"/>
      <c r="V52" s="35"/>
      <c r="W52" s="35"/>
    </row>
    <row r="53" spans="1:23">
      <c r="A53" s="112"/>
      <c r="B53" s="397">
        <v>7</v>
      </c>
      <c r="C53" s="563" t="s">
        <v>480</v>
      </c>
      <c r="D53" s="94"/>
      <c r="E53" s="94"/>
      <c r="F53" s="94"/>
      <c r="G53" s="94"/>
      <c r="H53" s="1022" t="s">
        <v>233</v>
      </c>
      <c r="I53" s="95">
        <v>7</v>
      </c>
      <c r="J53" s="2773" t="str">
        <f>IF(OR(K49,J50=""),"",J40-J52)</f>
        <v/>
      </c>
      <c r="K53" s="95"/>
      <c r="L53" s="89"/>
      <c r="M53" s="97"/>
      <c r="N53" s="1016"/>
      <c r="O53" s="89"/>
      <c r="P53" s="44"/>
      <c r="Q53" s="44"/>
      <c r="R53" s="44"/>
      <c r="S53" s="44"/>
      <c r="T53" s="44"/>
      <c r="U53" s="44"/>
      <c r="V53" s="35"/>
      <c r="W53" s="35"/>
    </row>
    <row r="54" spans="1:23">
      <c r="A54" s="112"/>
      <c r="B54" s="397">
        <v>8</v>
      </c>
      <c r="C54" s="563" t="s">
        <v>949</v>
      </c>
      <c r="D54" s="94"/>
      <c r="E54" s="94"/>
      <c r="F54" s="94"/>
      <c r="G54" s="94"/>
      <c r="H54" s="94"/>
      <c r="I54" s="94"/>
      <c r="J54" s="1022" t="s">
        <v>657</v>
      </c>
      <c r="K54" s="95">
        <v>8</v>
      </c>
      <c r="L54" s="2773" t="str">
        <f>IF(K49,J50,MIN(J50,J53))</f>
        <v/>
      </c>
      <c r="M54" s="692"/>
      <c r="N54" s="1016"/>
      <c r="O54" s="427"/>
      <c r="P54" s="44"/>
      <c r="Q54" s="44"/>
      <c r="R54" s="44"/>
      <c r="S54" s="44"/>
      <c r="T54" s="44"/>
      <c r="U54" s="44"/>
      <c r="V54" s="35"/>
      <c r="W54" s="35"/>
    </row>
    <row r="55" spans="1:23">
      <c r="A55" s="112"/>
      <c r="B55" s="397">
        <v>9</v>
      </c>
      <c r="C55" s="399" t="s">
        <v>3369</v>
      </c>
      <c r="D55" s="94"/>
      <c r="E55" s="94"/>
      <c r="F55" s="94"/>
      <c r="G55" s="94"/>
      <c r="H55" s="94"/>
      <c r="I55" s="94"/>
      <c r="J55" s="94"/>
      <c r="K55" s="95"/>
      <c r="L55" s="89"/>
      <c r="M55" s="97"/>
      <c r="N55" s="1016"/>
      <c r="O55" s="427"/>
      <c r="P55" s="44"/>
      <c r="Q55" s="44"/>
      <c r="R55" s="44"/>
      <c r="S55" s="44"/>
      <c r="T55" s="44"/>
      <c r="U55" s="44"/>
      <c r="V55" s="35"/>
      <c r="W55" s="35"/>
    </row>
    <row r="56" spans="1:23" ht="12.75" customHeight="1">
      <c r="A56" s="112"/>
      <c r="B56" s="397"/>
      <c r="C56" s="4166" t="s">
        <v>3370</v>
      </c>
      <c r="D56" s="105"/>
      <c r="E56" s="105"/>
      <c r="F56" s="105"/>
      <c r="G56" s="105"/>
      <c r="H56" s="105"/>
      <c r="I56" s="95"/>
      <c r="J56" s="89"/>
      <c r="K56" s="95"/>
      <c r="L56" s="89"/>
      <c r="M56" s="97"/>
      <c r="N56" s="1016"/>
      <c r="O56" s="427"/>
      <c r="P56" s="44"/>
      <c r="Q56" s="44"/>
      <c r="R56" s="36" t="s">
        <v>149</v>
      </c>
      <c r="S56" s="44"/>
      <c r="T56" s="44"/>
      <c r="U56" s="44"/>
      <c r="V56" s="35"/>
      <c r="W56" s="35"/>
    </row>
    <row r="57" spans="1:23" ht="12.75" customHeight="1">
      <c r="A57" s="112"/>
      <c r="B57" s="397"/>
      <c r="C57" s="399" t="s">
        <v>1166</v>
      </c>
      <c r="D57" s="105"/>
      <c r="E57" s="105"/>
      <c r="F57" s="105"/>
      <c r="G57" s="105"/>
      <c r="H57" s="105"/>
      <c r="I57" s="95"/>
      <c r="J57" s="89"/>
      <c r="K57" s="95"/>
      <c r="L57" s="89"/>
      <c r="M57" s="97"/>
      <c r="N57" s="1016"/>
      <c r="O57" s="427"/>
      <c r="P57" s="44"/>
      <c r="Q57" s="44"/>
      <c r="R57" s="36" t="s">
        <v>661</v>
      </c>
      <c r="S57" s="44"/>
      <c r="T57" s="44"/>
      <c r="U57" s="44"/>
      <c r="V57" s="35"/>
      <c r="W57" s="35"/>
    </row>
    <row r="58" spans="1:23">
      <c r="A58" s="112"/>
      <c r="B58" s="397"/>
      <c r="C58" s="1517" t="s">
        <v>1167</v>
      </c>
      <c r="D58" s="89"/>
      <c r="E58" s="89"/>
      <c r="F58" s="89"/>
      <c r="G58" s="89"/>
      <c r="H58" s="89"/>
      <c r="I58" s="95"/>
      <c r="J58" s="1022" t="s">
        <v>657</v>
      </c>
      <c r="K58" s="95">
        <v>9</v>
      </c>
      <c r="L58" s="2773" t="str">
        <f>IF(R58&lt;&gt;"",R58,IF(OR(L54="",R14=""),"",IF(Pension_total="",0,IF(SUM(L39,-L54)&lt;0,0,L39-L54))))</f>
        <v/>
      </c>
      <c r="M58" s="692"/>
      <c r="N58" s="1016"/>
      <c r="O58" s="427"/>
      <c r="P58" s="44"/>
      <c r="Q58" s="44"/>
      <c r="R58" s="522"/>
      <c r="S58" s="44"/>
      <c r="T58" s="44"/>
      <c r="U58" s="44"/>
      <c r="V58" s="35"/>
      <c r="W58" s="35"/>
    </row>
    <row r="59" spans="1:23">
      <c r="A59" s="112"/>
      <c r="B59" s="1205" t="s">
        <v>477</v>
      </c>
      <c r="C59" s="399" t="s">
        <v>331</v>
      </c>
      <c r="D59" s="89"/>
      <c r="E59" s="89"/>
      <c r="F59" s="89"/>
      <c r="G59" s="89"/>
      <c r="H59" s="89"/>
      <c r="I59" s="95"/>
      <c r="J59" s="1022"/>
      <c r="K59" s="95"/>
      <c r="L59" s="427"/>
      <c r="M59" s="692"/>
      <c r="N59" s="1016"/>
      <c r="O59" s="427"/>
      <c r="P59" s="44"/>
      <c r="Q59" s="44"/>
      <c r="R59" s="1204"/>
      <c r="S59" s="44"/>
      <c r="T59" s="44"/>
      <c r="U59" s="44"/>
      <c r="V59" s="35"/>
      <c r="W59" s="35"/>
    </row>
    <row r="60" spans="1:23" ht="7.5" customHeight="1">
      <c r="A60" s="112"/>
      <c r="B60" s="397"/>
      <c r="C60" s="94"/>
      <c r="D60" s="89"/>
      <c r="E60" s="89"/>
      <c r="F60" s="89"/>
      <c r="G60" s="89"/>
      <c r="H60" s="89"/>
      <c r="I60" s="95"/>
      <c r="J60" s="1022"/>
      <c r="K60" s="95"/>
      <c r="L60" s="427"/>
      <c r="M60" s="692"/>
      <c r="N60" s="1016"/>
      <c r="O60" s="427"/>
      <c r="P60" s="44"/>
      <c r="Q60" s="44"/>
      <c r="R60" s="1204"/>
      <c r="S60" s="44"/>
      <c r="T60" s="44"/>
      <c r="U60" s="44"/>
      <c r="V60" s="35"/>
      <c r="W60" s="35"/>
    </row>
    <row r="61" spans="1:23" ht="13.5" customHeight="1">
      <c r="A61" s="112"/>
      <c r="B61" s="397"/>
      <c r="C61" s="3706" t="str">
        <f>IF(V20,"X","")</f>
        <v/>
      </c>
      <c r="D61" s="1206" t="s">
        <v>3414</v>
      </c>
      <c r="E61" s="168" t="s">
        <v>3027</v>
      </c>
      <c r="F61" s="89"/>
      <c r="G61" s="89"/>
      <c r="H61" s="89"/>
      <c r="I61" s="95"/>
      <c r="J61" s="1022"/>
      <c r="K61" s="95"/>
      <c r="L61" s="427"/>
      <c r="M61" s="692"/>
      <c r="N61" s="1016"/>
      <c r="O61" s="427"/>
      <c r="P61" s="44"/>
      <c r="Q61" s="44"/>
      <c r="R61" s="4169"/>
      <c r="S61" s="44"/>
      <c r="T61" s="44"/>
      <c r="U61" s="44"/>
      <c r="V61" s="35"/>
      <c r="W61" s="35"/>
    </row>
    <row r="62" spans="1:23">
      <c r="A62" s="112"/>
      <c r="B62" s="397"/>
      <c r="C62" s="94"/>
      <c r="D62" s="89"/>
      <c r="E62" s="89"/>
      <c r="F62" s="89"/>
      <c r="G62" s="89"/>
      <c r="H62" s="89"/>
      <c r="I62" s="95"/>
      <c r="J62" s="1022"/>
      <c r="K62" s="95"/>
      <c r="L62" s="427"/>
      <c r="M62" s="692"/>
      <c r="N62" s="1016"/>
      <c r="O62" s="427"/>
      <c r="P62" s="44"/>
      <c r="Q62" s="44"/>
      <c r="R62" s="36" t="s">
        <v>149</v>
      </c>
      <c r="S62" s="44"/>
      <c r="T62" s="44"/>
      <c r="U62" s="44"/>
      <c r="V62" s="35"/>
      <c r="W62" s="35"/>
    </row>
    <row r="63" spans="1:23" ht="15" customHeight="1">
      <c r="A63" s="112"/>
      <c r="B63" s="397"/>
      <c r="C63" s="3706" t="str">
        <f>IF(V20,"","X")</f>
        <v>X</v>
      </c>
      <c r="D63" s="383" t="s">
        <v>737</v>
      </c>
      <c r="E63" s="89"/>
      <c r="F63" s="89"/>
      <c r="G63" s="89"/>
      <c r="H63" s="89"/>
      <c r="I63" s="95"/>
      <c r="J63" s="370" t="str">
        <f>TaxYear&amp;"."</f>
        <v>2016.</v>
      </c>
      <c r="K63" s="95"/>
      <c r="L63" s="427"/>
      <c r="M63" s="692"/>
      <c r="N63" s="1016"/>
      <c r="O63" s="427"/>
      <c r="P63" s="44"/>
      <c r="Q63" s="44"/>
      <c r="R63" s="36" t="s">
        <v>661</v>
      </c>
      <c r="S63" s="44"/>
      <c r="T63" s="44"/>
      <c r="U63" s="44"/>
      <c r="V63" s="35"/>
      <c r="W63" s="35"/>
    </row>
    <row r="64" spans="1:23">
      <c r="A64" s="112"/>
      <c r="B64" s="397"/>
      <c r="C64" s="94"/>
      <c r="D64" s="89" t="s">
        <v>332</v>
      </c>
      <c r="E64" s="89"/>
      <c r="F64" s="89"/>
      <c r="G64" s="89"/>
      <c r="H64" s="89"/>
      <c r="I64" s="95"/>
      <c r="J64" s="1022" t="s">
        <v>404</v>
      </c>
      <c r="K64" s="104" t="str">
        <f>B59</f>
        <v>10.</v>
      </c>
      <c r="L64" s="2773" t="str">
        <f>IF(R64&lt;&gt;"",R64,IF(R14="","",IF(C61="X","",SUM(J52,L54))))</f>
        <v/>
      </c>
      <c r="M64" s="692"/>
      <c r="N64" s="1016"/>
      <c r="O64" s="427"/>
      <c r="P64" s="44"/>
      <c r="Q64" s="44"/>
      <c r="R64" s="522"/>
      <c r="S64" s="44"/>
      <c r="T64" s="44"/>
      <c r="U64" s="44"/>
      <c r="V64" s="35"/>
      <c r="W64" s="35"/>
    </row>
    <row r="65" spans="1:23" ht="8.25" customHeight="1" thickBot="1">
      <c r="A65" s="112"/>
      <c r="B65" s="1025"/>
      <c r="C65" s="2755"/>
      <c r="D65" s="108"/>
      <c r="E65" s="108"/>
      <c r="F65" s="108"/>
      <c r="G65" s="108"/>
      <c r="H65" s="108"/>
      <c r="I65" s="109"/>
      <c r="J65" s="108"/>
      <c r="K65" s="109"/>
      <c r="L65" s="108"/>
      <c r="M65" s="110"/>
      <c r="N65" s="1017"/>
      <c r="O65" s="89"/>
      <c r="P65" s="44"/>
      <c r="Q65" s="44"/>
      <c r="R65" s="44"/>
      <c r="S65" s="44"/>
      <c r="T65" s="44"/>
      <c r="U65" s="44"/>
      <c r="V65" s="35"/>
      <c r="W65" s="35"/>
    </row>
    <row r="66" spans="1:23" ht="17.25" customHeight="1">
      <c r="A66" s="112"/>
      <c r="B66" s="397"/>
      <c r="C66" s="94"/>
      <c r="D66" s="104"/>
      <c r="E66" s="104"/>
      <c r="F66" s="104" t="s">
        <v>712</v>
      </c>
      <c r="G66" s="104"/>
      <c r="H66" s="104"/>
      <c r="I66" s="104"/>
      <c r="J66" s="89"/>
      <c r="K66" s="95"/>
      <c r="L66" s="89"/>
      <c r="M66" s="146"/>
      <c r="N66" s="1016"/>
      <c r="O66" s="89"/>
      <c r="P66" s="44"/>
      <c r="Q66" s="44"/>
      <c r="R66" s="44"/>
      <c r="S66" s="44"/>
      <c r="T66" s="44"/>
      <c r="U66" s="44"/>
      <c r="V66" s="35"/>
      <c r="W66" s="35"/>
    </row>
    <row r="67" spans="1:23" ht="12" customHeight="1">
      <c r="A67" s="112"/>
      <c r="B67" s="397"/>
      <c r="C67" s="94"/>
      <c r="D67" s="89"/>
      <c r="E67" s="89"/>
      <c r="F67" s="89"/>
      <c r="G67" s="89"/>
      <c r="H67" s="89"/>
      <c r="I67" s="95"/>
      <c r="J67" s="1034">
        <v>35387</v>
      </c>
      <c r="K67" s="95"/>
      <c r="L67" s="1038" t="s">
        <v>141</v>
      </c>
      <c r="M67" s="146"/>
      <c r="N67" s="1016"/>
      <c r="O67" s="89"/>
      <c r="P67" s="44"/>
      <c r="Q67" s="44"/>
      <c r="R67" s="44"/>
      <c r="S67" s="44"/>
      <c r="T67" s="44"/>
      <c r="U67" s="44"/>
      <c r="V67" s="35"/>
      <c r="W67" s="35"/>
    </row>
    <row r="68" spans="1:23">
      <c r="A68" s="112"/>
      <c r="B68" s="397"/>
      <c r="C68" s="94"/>
      <c r="D68" s="141"/>
      <c r="E68" s="141"/>
      <c r="F68" s="95"/>
      <c r="G68" s="100" t="s">
        <v>713</v>
      </c>
      <c r="H68" s="100"/>
      <c r="I68" s="95"/>
      <c r="J68" s="89"/>
      <c r="K68" s="89"/>
      <c r="L68" s="1038" t="s">
        <v>142</v>
      </c>
      <c r="M68" s="146"/>
      <c r="N68" s="1017"/>
      <c r="O68" s="89"/>
      <c r="P68" s="44"/>
      <c r="Q68" s="44"/>
      <c r="R68" s="44"/>
      <c r="S68" s="44"/>
      <c r="T68" s="44"/>
      <c r="U68" s="44"/>
      <c r="V68" s="35"/>
      <c r="W68" s="35"/>
    </row>
    <row r="69" spans="1:23">
      <c r="A69" s="112"/>
      <c r="B69" s="397"/>
      <c r="C69" s="94"/>
      <c r="D69" s="387" t="s">
        <v>1168</v>
      </c>
      <c r="E69" s="387"/>
      <c r="F69" s="104" t="s">
        <v>708</v>
      </c>
      <c r="G69" s="4937">
        <f>J67+1</f>
        <v>35388</v>
      </c>
      <c r="H69" s="4938"/>
      <c r="I69" s="104" t="s">
        <v>707</v>
      </c>
      <c r="J69" s="4937">
        <f>J67</f>
        <v>35387</v>
      </c>
      <c r="K69" s="4938"/>
      <c r="L69" s="1038" t="s">
        <v>671</v>
      </c>
      <c r="M69" s="146"/>
      <c r="N69" s="1016"/>
      <c r="O69" s="89"/>
      <c r="P69" s="44"/>
      <c r="Q69" s="44"/>
      <c r="R69" s="44"/>
      <c r="S69" s="44"/>
      <c r="T69" s="44"/>
      <c r="U69" s="44"/>
      <c r="V69" s="35"/>
      <c r="W69" s="35"/>
    </row>
    <row r="70" spans="1:23" ht="12" customHeight="1">
      <c r="A70" s="112"/>
      <c r="B70" s="397"/>
      <c r="C70" s="94"/>
      <c r="D70" s="560" t="s">
        <v>1169</v>
      </c>
      <c r="E70" s="1028"/>
      <c r="F70" s="1023" t="s">
        <v>3</v>
      </c>
      <c r="G70" s="1023"/>
      <c r="H70" s="1024"/>
      <c r="I70" s="95"/>
      <c r="J70" s="690" t="s">
        <v>229</v>
      </c>
      <c r="K70" s="388"/>
      <c r="L70" s="1038" t="s">
        <v>615</v>
      </c>
      <c r="M70" s="146"/>
      <c r="N70" s="1016"/>
      <c r="O70" s="89"/>
      <c r="P70" s="44"/>
      <c r="Q70" s="44"/>
      <c r="R70" s="44"/>
      <c r="S70" s="44"/>
      <c r="T70" s="44"/>
      <c r="U70" s="44"/>
      <c r="V70" s="35"/>
      <c r="W70" s="35"/>
    </row>
    <row r="71" spans="1:23" ht="5.25" customHeight="1">
      <c r="A71" s="112"/>
      <c r="B71" s="397"/>
      <c r="C71" s="94"/>
      <c r="D71" s="387"/>
      <c r="E71" s="1028"/>
      <c r="F71" s="492"/>
      <c r="G71" s="492"/>
      <c r="H71" s="1033"/>
      <c r="I71" s="95"/>
      <c r="J71" s="388"/>
      <c r="K71" s="388"/>
      <c r="L71" s="388"/>
      <c r="M71" s="146"/>
      <c r="N71" s="1016"/>
      <c r="O71" s="89"/>
      <c r="P71" s="44"/>
      <c r="Q71" s="44"/>
      <c r="R71" s="44"/>
      <c r="S71" s="44"/>
      <c r="T71" s="44"/>
      <c r="U71" s="44"/>
      <c r="V71" s="35"/>
      <c r="W71" s="35"/>
    </row>
    <row r="72" spans="1:23">
      <c r="A72" s="112"/>
      <c r="B72" s="397"/>
      <c r="C72" s="94"/>
      <c r="D72" s="141" t="str">
        <f>(E73-1)&amp;" or under"</f>
        <v>55 or under</v>
      </c>
      <c r="E72" s="1028"/>
      <c r="F72" s="410"/>
      <c r="G72" s="145">
        <v>300</v>
      </c>
      <c r="H72" s="413"/>
      <c r="I72" s="95"/>
      <c r="J72" s="145">
        <v>360</v>
      </c>
      <c r="K72" s="145"/>
      <c r="L72" s="1026"/>
      <c r="M72" s="146"/>
      <c r="N72" s="1016"/>
      <c r="O72" s="89"/>
      <c r="P72" s="44"/>
      <c r="Q72" s="44"/>
      <c r="R72" s="44"/>
      <c r="S72" s="44"/>
      <c r="T72" s="44"/>
      <c r="U72" s="44"/>
      <c r="V72" s="35"/>
      <c r="W72" s="35"/>
    </row>
    <row r="73" spans="1:23">
      <c r="A73" s="112"/>
      <c r="B73" s="397"/>
      <c r="C73" s="94"/>
      <c r="D73" s="141" t="str">
        <f>E73&amp;"--"&amp;(E73+4)</f>
        <v>56--60</v>
      </c>
      <c r="E73" s="1027">
        <v>56</v>
      </c>
      <c r="F73" s="410"/>
      <c r="G73" s="145">
        <v>260</v>
      </c>
      <c r="H73" s="413"/>
      <c r="I73" s="95"/>
      <c r="J73" s="145">
        <v>310</v>
      </c>
      <c r="K73" s="145"/>
      <c r="L73" s="1038"/>
      <c r="M73" s="146"/>
      <c r="N73" s="1016"/>
      <c r="O73" s="89"/>
      <c r="P73" s="44"/>
      <c r="Q73" s="44"/>
      <c r="R73" s="44"/>
      <c r="S73" s="44"/>
      <c r="T73" s="44"/>
      <c r="U73" s="44"/>
      <c r="V73" s="35"/>
      <c r="W73" s="35"/>
    </row>
    <row r="74" spans="1:23">
      <c r="A74" s="112"/>
      <c r="B74" s="397"/>
      <c r="C74" s="94"/>
      <c r="D74" s="141" t="str">
        <f>E74&amp;"--"&amp;(E74+4)</f>
        <v>61--65</v>
      </c>
      <c r="E74" s="1027">
        <v>61</v>
      </c>
      <c r="F74" s="1031"/>
      <c r="G74" s="145">
        <v>240</v>
      </c>
      <c r="H74" s="413"/>
      <c r="I74" s="95"/>
      <c r="J74" s="145">
        <v>260</v>
      </c>
      <c r="K74" s="145"/>
      <c r="L74" s="1038"/>
      <c r="M74" s="146"/>
      <c r="N74" s="1018"/>
      <c r="O74" s="89"/>
      <c r="P74" s="44"/>
      <c r="Q74" s="44"/>
      <c r="R74" s="44"/>
      <c r="S74" s="44"/>
      <c r="T74" s="44"/>
      <c r="U74" s="44"/>
      <c r="V74" s="35"/>
      <c r="W74" s="35"/>
    </row>
    <row r="75" spans="1:23" ht="13.5" customHeight="1">
      <c r="A75" s="112"/>
      <c r="B75" s="397"/>
      <c r="C75" s="94"/>
      <c r="D75" s="141" t="str">
        <f>E75&amp;"--"&amp;(E75+4)</f>
        <v>66--70</v>
      </c>
      <c r="E75" s="1027">
        <v>66</v>
      </c>
      <c r="F75" s="410"/>
      <c r="G75" s="145">
        <v>170</v>
      </c>
      <c r="H75" s="413"/>
      <c r="I75" s="95"/>
      <c r="J75" s="145">
        <v>210</v>
      </c>
      <c r="K75" s="145"/>
      <c r="L75" s="1038"/>
      <c r="M75" s="146"/>
      <c r="N75" s="1019"/>
      <c r="O75" s="89"/>
      <c r="P75" s="44"/>
      <c r="Q75" s="44"/>
      <c r="R75" s="44"/>
      <c r="S75" s="44"/>
      <c r="T75" s="44"/>
      <c r="U75" s="44"/>
      <c r="V75" s="35"/>
      <c r="W75" s="35"/>
    </row>
    <row r="76" spans="1:23">
      <c r="A76" s="112"/>
      <c r="B76" s="397"/>
      <c r="C76" s="94"/>
      <c r="D76" s="141" t="str">
        <f>E76&amp;" or older"</f>
        <v>71 or older</v>
      </c>
      <c r="E76" s="1027">
        <v>71</v>
      </c>
      <c r="F76" s="410"/>
      <c r="G76" s="145">
        <v>120</v>
      </c>
      <c r="H76" s="413"/>
      <c r="I76" s="95"/>
      <c r="J76" s="145">
        <v>160</v>
      </c>
      <c r="K76" s="145"/>
      <c r="L76" s="145"/>
      <c r="M76" s="146"/>
      <c r="N76" s="1020"/>
      <c r="O76" s="89"/>
      <c r="P76" s="44"/>
      <c r="Q76" s="44"/>
      <c r="R76" s="44"/>
      <c r="S76" s="44"/>
      <c r="T76" s="44"/>
      <c r="U76" s="44"/>
      <c r="V76" s="35"/>
      <c r="W76" s="35"/>
    </row>
    <row r="77" spans="1:23" ht="13.5" thickBot="1">
      <c r="A77" s="112"/>
      <c r="B77" s="1025"/>
      <c r="C77" s="107"/>
      <c r="D77" s="108"/>
      <c r="E77" s="108"/>
      <c r="F77" s="1030"/>
      <c r="G77" s="1029">
        <f>IF(R26&lt;E73,G72,LOOKUP(R26,E73:E76,G73:G76))</f>
        <v>300</v>
      </c>
      <c r="H77" s="1029"/>
      <c r="I77" s="411"/>
      <c r="J77" s="1029">
        <f>IF(R26&lt;E73,J72,LOOKUP(R26,E73:E76,J73:J76))</f>
        <v>360</v>
      </c>
      <c r="K77" s="109"/>
      <c r="L77" s="1029" t="str">
        <f>IF(OR(R14="",R26=""),"",IF(R14&gt;J67,J77,G77))</f>
        <v/>
      </c>
      <c r="M77" s="110"/>
      <c r="N77" s="1020"/>
      <c r="O77" s="89"/>
      <c r="P77" s="44"/>
      <c r="Q77" s="44"/>
      <c r="R77" s="44"/>
      <c r="S77" s="44"/>
      <c r="T77" s="44"/>
      <c r="U77" s="44"/>
      <c r="V77" s="35"/>
      <c r="W77" s="35"/>
    </row>
    <row r="78" spans="1:23">
      <c r="A78" s="112"/>
      <c r="B78" s="397"/>
      <c r="C78" s="94"/>
      <c r="D78" s="104"/>
      <c r="E78" s="104"/>
      <c r="F78" s="2775" t="s">
        <v>553</v>
      </c>
      <c r="G78" s="104"/>
      <c r="H78" s="104"/>
      <c r="I78" s="104"/>
      <c r="J78" s="1034">
        <v>35796</v>
      </c>
      <c r="K78" s="718"/>
      <c r="L78" s="310" t="b">
        <f>IF(Q20&lt;&gt;"",TRUE,FALSE)</f>
        <v>0</v>
      </c>
      <c r="M78" s="97"/>
      <c r="N78" s="1020"/>
      <c r="O78" s="89"/>
      <c r="P78" s="44"/>
      <c r="Q78" s="44"/>
      <c r="R78" s="44"/>
      <c r="S78" s="44"/>
      <c r="T78" s="44"/>
      <c r="U78" s="44"/>
      <c r="V78" s="35"/>
      <c r="W78" s="35"/>
    </row>
    <row r="79" spans="1:23">
      <c r="A79" s="112"/>
      <c r="B79" s="397"/>
      <c r="C79" s="94"/>
      <c r="D79" s="89"/>
      <c r="E79" s="89"/>
      <c r="F79" s="89"/>
      <c r="G79" s="89"/>
      <c r="H79" s="89"/>
      <c r="I79" s="95"/>
      <c r="J79" s="89"/>
      <c r="K79" s="95"/>
      <c r="L79" s="1026"/>
      <c r="M79" s="97"/>
      <c r="N79" s="1020"/>
      <c r="O79" s="89"/>
      <c r="P79" s="44"/>
      <c r="Q79" s="44"/>
      <c r="R79" s="44"/>
      <c r="S79" s="44"/>
      <c r="T79" s="44"/>
      <c r="U79" s="44"/>
      <c r="V79" s="35"/>
      <c r="W79" s="35"/>
    </row>
    <row r="80" spans="1:23">
      <c r="A80" s="112"/>
      <c r="B80" s="150"/>
      <c r="C80" s="412" t="s">
        <v>1170</v>
      </c>
      <c r="D80" s="387"/>
      <c r="E80" s="387"/>
      <c r="F80" s="387"/>
      <c r="G80" s="387"/>
      <c r="H80" s="387"/>
      <c r="I80" s="95"/>
      <c r="J80" s="100"/>
      <c r="K80" s="95"/>
      <c r="L80" s="1026"/>
      <c r="M80" s="97"/>
      <c r="N80" s="1020"/>
      <c r="O80" s="89"/>
      <c r="P80" s="44"/>
      <c r="Q80" s="44"/>
      <c r="R80" s="44"/>
      <c r="S80" s="44"/>
      <c r="T80" s="44"/>
      <c r="U80" s="44"/>
      <c r="V80" s="35"/>
      <c r="W80" s="35"/>
    </row>
    <row r="81" spans="1:23">
      <c r="A81" s="112"/>
      <c r="B81" s="151"/>
      <c r="C81" s="561"/>
      <c r="D81" s="669" t="s">
        <v>1171</v>
      </c>
      <c r="E81" s="669"/>
      <c r="F81" s="669"/>
      <c r="G81" s="669"/>
      <c r="H81" s="669"/>
      <c r="I81" s="148" t="s">
        <v>24</v>
      </c>
      <c r="J81" s="89"/>
      <c r="K81" s="95"/>
      <c r="L81" s="1026"/>
      <c r="M81" s="143"/>
      <c r="N81" s="1016"/>
      <c r="O81" s="89"/>
      <c r="P81" s="44"/>
      <c r="Q81" s="44"/>
      <c r="R81" s="44"/>
      <c r="S81" s="44"/>
      <c r="T81" s="44"/>
      <c r="U81" s="44"/>
      <c r="V81" s="35"/>
      <c r="W81" s="35"/>
    </row>
    <row r="82" spans="1:23" ht="13.5" customHeight="1">
      <c r="A82" s="112"/>
      <c r="B82" s="150"/>
      <c r="C82" s="147"/>
      <c r="D82" s="141" t="str">
        <f>(E83-1)&amp;" or under"</f>
        <v>110 or under</v>
      </c>
      <c r="E82" s="141"/>
      <c r="F82" s="141"/>
      <c r="G82" s="141"/>
      <c r="H82" s="141"/>
      <c r="I82" s="413"/>
      <c r="J82" s="145">
        <v>410</v>
      </c>
      <c r="K82" s="95"/>
      <c r="L82" s="1026"/>
      <c r="M82" s="1012"/>
      <c r="N82" s="1016"/>
      <c r="O82" s="89"/>
      <c r="P82" s="44"/>
      <c r="Q82" s="44"/>
      <c r="R82" s="44"/>
      <c r="S82" s="44"/>
      <c r="T82" s="44"/>
      <c r="U82" s="44"/>
      <c r="V82" s="35"/>
      <c r="W82" s="35"/>
    </row>
    <row r="83" spans="1:23">
      <c r="A83" s="112"/>
      <c r="B83" s="150"/>
      <c r="C83" s="147"/>
      <c r="D83" s="141" t="str">
        <f>E83&amp;"--"&amp;E83+9</f>
        <v>111--120</v>
      </c>
      <c r="E83" s="1027">
        <v>111</v>
      </c>
      <c r="F83" s="141"/>
      <c r="G83" s="141"/>
      <c r="H83" s="141"/>
      <c r="I83" s="413"/>
      <c r="J83" s="145">
        <v>360</v>
      </c>
      <c r="K83" s="95"/>
      <c r="L83" s="145"/>
      <c r="M83" s="146"/>
      <c r="N83" s="1016"/>
      <c r="O83" s="89"/>
      <c r="P83" s="44"/>
      <c r="Q83" s="44"/>
      <c r="R83" s="44"/>
      <c r="S83" s="44"/>
      <c r="T83" s="44"/>
      <c r="U83" s="44"/>
      <c r="V83" s="35"/>
      <c r="W83" s="35"/>
    </row>
    <row r="84" spans="1:23">
      <c r="A84" s="112"/>
      <c r="B84" s="150"/>
      <c r="C84" s="147"/>
      <c r="D84" s="141" t="str">
        <f>E84&amp;"--"&amp;E84+9</f>
        <v>121--130</v>
      </c>
      <c r="E84" s="1027">
        <v>121</v>
      </c>
      <c r="F84" s="141"/>
      <c r="G84" s="141"/>
      <c r="H84" s="141"/>
      <c r="I84" s="413"/>
      <c r="J84" s="145">
        <v>310</v>
      </c>
      <c r="K84" s="95"/>
      <c r="L84" s="145"/>
      <c r="M84" s="146"/>
      <c r="N84" s="1016"/>
      <c r="O84" s="89"/>
      <c r="P84" s="44"/>
      <c r="Q84" s="44"/>
      <c r="R84" s="44"/>
      <c r="S84" s="44"/>
      <c r="T84" s="44"/>
      <c r="U84" s="44"/>
      <c r="V84" s="35"/>
      <c r="W84" s="35"/>
    </row>
    <row r="85" spans="1:23">
      <c r="A85" s="112"/>
      <c r="B85" s="150"/>
      <c r="C85" s="147"/>
      <c r="D85" s="141" t="str">
        <f>E85&amp;"--"&amp;E85+9</f>
        <v>131--140</v>
      </c>
      <c r="E85" s="1027">
        <v>131</v>
      </c>
      <c r="F85" s="141"/>
      <c r="G85" s="141"/>
      <c r="H85" s="141"/>
      <c r="I85" s="413"/>
      <c r="J85" s="145">
        <v>260</v>
      </c>
      <c r="K85" s="95"/>
      <c r="L85" s="145"/>
      <c r="M85" s="146"/>
      <c r="N85" s="1018"/>
      <c r="O85" s="89"/>
      <c r="P85" s="44"/>
      <c r="Q85" s="44"/>
      <c r="R85" s="44"/>
      <c r="S85" s="44"/>
      <c r="T85" s="44"/>
      <c r="U85" s="44"/>
      <c r="V85" s="4150"/>
      <c r="W85" s="35"/>
    </row>
    <row r="86" spans="1:23">
      <c r="A86" s="112"/>
      <c r="B86" s="150"/>
      <c r="C86" s="147"/>
      <c r="D86" s="141" t="str">
        <f>E86&amp;" or older"</f>
        <v>141 or older</v>
      </c>
      <c r="E86" s="1027">
        <v>141</v>
      </c>
      <c r="F86" s="141"/>
      <c r="G86" s="141"/>
      <c r="H86" s="141"/>
      <c r="I86" s="413"/>
      <c r="J86" s="145">
        <v>210</v>
      </c>
      <c r="K86" s="95"/>
      <c r="L86" s="145"/>
      <c r="M86" s="146"/>
      <c r="N86" s="1020"/>
      <c r="O86" s="89"/>
      <c r="P86" s="44"/>
      <c r="Q86" s="44"/>
      <c r="R86" s="44"/>
      <c r="S86" s="44"/>
      <c r="T86" s="44"/>
      <c r="U86" s="44"/>
      <c r="V86" s="4150"/>
      <c r="W86" s="35"/>
    </row>
    <row r="87" spans="1:23" ht="13.5" thickBot="1">
      <c r="A87" s="112"/>
      <c r="B87" s="1025"/>
      <c r="C87" s="107"/>
      <c r="D87" s="108"/>
      <c r="E87" s="108"/>
      <c r="F87" s="108"/>
      <c r="G87" s="108"/>
      <c r="H87" s="108"/>
      <c r="I87" s="109"/>
      <c r="J87" s="1029" t="str">
        <f>IF(OR(Q20="",R26=""),"",IF(R26&lt;E83,J82,LOOKUP(R26,E83:E86,J83:J86)))</f>
        <v/>
      </c>
      <c r="K87" s="109"/>
      <c r="L87" s="108"/>
      <c r="M87" s="110"/>
      <c r="N87" s="1020"/>
      <c r="O87" s="89"/>
      <c r="P87" s="44"/>
      <c r="Q87" s="44"/>
      <c r="R87" s="44"/>
      <c r="S87" s="44"/>
      <c r="T87" s="44"/>
      <c r="U87" s="44"/>
      <c r="W87" s="35"/>
    </row>
    <row r="88" spans="1:23" ht="9.75" customHeight="1">
      <c r="A88" s="112"/>
      <c r="B88" s="1046"/>
      <c r="C88" s="1047"/>
      <c r="D88" s="1048"/>
      <c r="E88" s="1048"/>
      <c r="F88" s="1048"/>
      <c r="G88" s="1048"/>
      <c r="H88" s="1048"/>
      <c r="I88" s="1049"/>
      <c r="J88" s="1050"/>
      <c r="K88" s="1051"/>
      <c r="L88" s="1050"/>
      <c r="M88" s="1050"/>
      <c r="N88" s="1020"/>
      <c r="O88" s="4153"/>
      <c r="P88" s="4150"/>
      <c r="Q88" s="4150"/>
      <c r="R88" s="4150"/>
      <c r="S88" s="4150"/>
      <c r="T88" s="4150"/>
      <c r="U88" s="4150"/>
      <c r="W88" s="4150"/>
    </row>
    <row r="89" spans="1:23" ht="12.75" customHeight="1">
      <c r="A89" s="174"/>
      <c r="B89" s="174"/>
      <c r="C89" s="174"/>
      <c r="D89" s="175"/>
      <c r="E89" s="175"/>
      <c r="F89" s="175"/>
      <c r="G89" s="175"/>
      <c r="H89" s="175"/>
      <c r="I89" s="176"/>
      <c r="J89" s="173"/>
      <c r="K89" s="176"/>
      <c r="L89" s="173"/>
      <c r="M89" s="173"/>
      <c r="N89" s="173"/>
      <c r="O89" s="4153"/>
      <c r="P89" s="4150"/>
      <c r="Q89" s="4150"/>
      <c r="R89" s="4150"/>
      <c r="S89" s="4150"/>
      <c r="T89" s="4150"/>
      <c r="U89" s="4153"/>
      <c r="W89" s="4150"/>
    </row>
    <row r="90" spans="1:23" ht="13.5" customHeight="1"/>
    <row r="91" spans="1:23" ht="14.25" customHeight="1"/>
  </sheetData>
  <sheetProtection sheet="1" objects="1" scenarios="1"/>
  <mergeCells count="12">
    <mergeCell ref="R14:S14"/>
    <mergeCell ref="R26:S26"/>
    <mergeCell ref="P12:T12"/>
    <mergeCell ref="P11:T11"/>
    <mergeCell ref="G69:H69"/>
    <mergeCell ref="P18:T18"/>
    <mergeCell ref="P49:U49"/>
    <mergeCell ref="P50:U50"/>
    <mergeCell ref="J69:K69"/>
    <mergeCell ref="P30:T34"/>
    <mergeCell ref="P21:T21"/>
    <mergeCell ref="P22:T22"/>
  </mergeCells>
  <phoneticPr fontId="12" type="noConversion"/>
  <conditionalFormatting sqref="M51 L52:M52">
    <cfRule type="expression" dxfId="1748" priority="43" stopIfTrue="1">
      <formula>IF($R$48&lt;=12,1,0)</formula>
    </cfRule>
  </conditionalFormatting>
  <conditionalFormatting sqref="L73:L75">
    <cfRule type="expression" dxfId="1747" priority="52" stopIfTrue="1">
      <formula>IF($R$14&lt;&gt;"",1,0)</formula>
    </cfRule>
  </conditionalFormatting>
  <conditionalFormatting sqref="D61">
    <cfRule type="expression" dxfId="1746" priority="57" stopIfTrue="1">
      <formula>IF(C61="X",1,0)</formula>
    </cfRule>
  </conditionalFormatting>
  <conditionalFormatting sqref="L41:L42">
    <cfRule type="expression" dxfId="1745" priority="60" stopIfTrue="1">
      <formula>IF($K$42&lt;&gt;"",1,0)</formula>
    </cfRule>
  </conditionalFormatting>
  <conditionalFormatting sqref="U19 P19">
    <cfRule type="expression" dxfId="1744" priority="801" stopIfTrue="1">
      <formula>IF($R$14&lt;$J$68,1,0)</formula>
    </cfRule>
  </conditionalFormatting>
  <conditionalFormatting sqref="P20">
    <cfRule type="expression" dxfId="1743" priority="803" stopIfTrue="1">
      <formula>IF($R$14&lt;$J$68,1,0)</formula>
    </cfRule>
  </conditionalFormatting>
  <conditionalFormatting sqref="P23:U23">
    <cfRule type="expression" dxfId="1742" priority="804" stopIfTrue="1">
      <formula>IF($R$14&lt;$J$68,1,0)</formula>
    </cfRule>
  </conditionalFormatting>
  <conditionalFormatting sqref="U20:U22">
    <cfRule type="expression" dxfId="1741" priority="805" stopIfTrue="1">
      <formula>IF($R$14&lt;$J$68,1,0)</formula>
    </cfRule>
  </conditionalFormatting>
  <conditionalFormatting sqref="Q19:T19">
    <cfRule type="expression" dxfId="1740" priority="807" stopIfTrue="1">
      <formula>IF($R$14&lt;$J$68,1,0)</formula>
    </cfRule>
  </conditionalFormatting>
  <conditionalFormatting sqref="T20 R20 P21:P22">
    <cfRule type="expression" dxfId="1739" priority="808" stopIfTrue="1">
      <formula>IF($R$14&lt;$J$76,1,0)</formula>
    </cfRule>
  </conditionalFormatting>
  <conditionalFormatting sqref="Q20">
    <cfRule type="expression" dxfId="1738" priority="810" stopIfTrue="1">
      <formula>IF($R$14&lt;$J$76,1,0)</formula>
    </cfRule>
  </conditionalFormatting>
  <conditionalFormatting sqref="S20">
    <cfRule type="expression" dxfId="1737" priority="811" stopIfTrue="1">
      <formula>IF($R$14&lt;$J$76,1,0)</formula>
    </cfRule>
  </conditionalFormatting>
  <conditionalFormatting sqref="J50">
    <cfRule type="expression" dxfId="1736" priority="37">
      <formula>IF(NoColor,1,0)</formula>
    </cfRule>
  </conditionalFormatting>
  <conditionalFormatting sqref="J46:J47">
    <cfRule type="expression" dxfId="1735" priority="38">
      <formula>IF(NoColor,1,0)</formula>
    </cfRule>
  </conditionalFormatting>
  <conditionalFormatting sqref="J53">
    <cfRule type="expression" dxfId="1734" priority="36">
      <formula>IF(NoColor,1,0)</formula>
    </cfRule>
  </conditionalFormatting>
  <conditionalFormatting sqref="L54">
    <cfRule type="expression" dxfId="1733" priority="35">
      <formula>IF(NoColor,1,0)</formula>
    </cfRule>
  </conditionalFormatting>
  <conditionalFormatting sqref="L58">
    <cfRule type="expression" dxfId="1732" priority="34">
      <formula>IF(NoColor,1,0)</formula>
    </cfRule>
  </conditionalFormatting>
  <conditionalFormatting sqref="L64">
    <cfRule type="expression" dxfId="1731" priority="33">
      <formula>IF(NoColor,1,0)</formula>
    </cfRule>
  </conditionalFormatting>
  <conditionalFormatting sqref="J40">
    <cfRule type="expression" dxfId="1730" priority="32">
      <formula>IF(NoColor,1,0)</formula>
    </cfRule>
  </conditionalFormatting>
  <conditionalFormatting sqref="L47">
    <cfRule type="expression" dxfId="1729" priority="11">
      <formula>IF($Q$42="",1,0)</formula>
    </cfRule>
    <cfRule type="expression" dxfId="1728" priority="31">
      <formula>IF(NoColor,1,0)</formula>
    </cfRule>
  </conditionalFormatting>
  <conditionalFormatting sqref="J52">
    <cfRule type="expression" dxfId="1727" priority="30">
      <formula>IF(NoColor,1,0)</formula>
    </cfRule>
  </conditionalFormatting>
  <conditionalFormatting sqref="L67:L70">
    <cfRule type="expression" dxfId="1726" priority="1264" stopIfTrue="1">
      <formula>IF(OR($R$14="",$L$68=TRUE,$R$26&lt;&gt;""),1,0)</formula>
    </cfRule>
  </conditionalFormatting>
  <conditionalFormatting sqref="M46">
    <cfRule type="expression" dxfId="1725" priority="18" stopIfTrue="1">
      <formula>IF($R$48&lt;=12,1,0)</formula>
    </cfRule>
  </conditionalFormatting>
  <conditionalFormatting sqref="L46">
    <cfRule type="expression" dxfId="1724" priority="16" stopIfTrue="1">
      <formula>IF(AND($Q$42&lt;&gt;"",$L$47=""),1,0)</formula>
    </cfRule>
    <cfRule type="expression" dxfId="1723" priority="17">
      <formula>IF(AND($Q$42&lt;&gt;"",$L$47&lt;&gt;""),1,0)</formula>
    </cfRule>
  </conditionalFormatting>
  <conditionalFormatting sqref="L45">
    <cfRule type="expression" dxfId="1722" priority="14" stopIfTrue="1">
      <formula>IF($R$48&lt;=12,1,0)</formula>
    </cfRule>
  </conditionalFormatting>
  <conditionalFormatting sqref="L44">
    <cfRule type="expression" dxfId="1721" priority="13" stopIfTrue="1">
      <formula>IF($R$48&lt;=12,1,0)</formula>
    </cfRule>
  </conditionalFormatting>
  <conditionalFormatting sqref="L43">
    <cfRule type="expression" dxfId="1720" priority="12" stopIfTrue="1">
      <formula>IF($R$48&lt;=12,1,0)</formula>
    </cfRule>
  </conditionalFormatting>
  <conditionalFormatting sqref="L48">
    <cfRule type="expression" dxfId="1719" priority="10" stopIfTrue="1">
      <formula>IF($R$48&lt;=12,1,0)</formula>
    </cfRule>
  </conditionalFormatting>
  <conditionalFormatting sqref="L49">
    <cfRule type="expression" dxfId="1718" priority="9" stopIfTrue="1">
      <formula>IF($R$48&lt;=12,1,0)</formula>
    </cfRule>
  </conditionalFormatting>
  <conditionalFormatting sqref="L50">
    <cfRule type="expression" dxfId="1717" priority="8" stopIfTrue="1">
      <formula>IF($R$48&lt;=12,1,0)</formula>
    </cfRule>
  </conditionalFormatting>
  <conditionalFormatting sqref="L51">
    <cfRule type="expression" dxfId="1716" priority="7" stopIfTrue="1">
      <formula>IF($R$48&lt;=12,1,0)</formula>
    </cfRule>
  </conditionalFormatting>
  <conditionalFormatting sqref="M49">
    <cfRule type="expression" dxfId="1715" priority="6" stopIfTrue="1">
      <formula>IF($R$48&lt;=12,1,0)</formula>
    </cfRule>
  </conditionalFormatting>
  <conditionalFormatting sqref="L39">
    <cfRule type="expression" dxfId="1714" priority="3">
      <formula>IF(NoColor,1,0)</formula>
    </cfRule>
  </conditionalFormatting>
  <conditionalFormatting sqref="B36">
    <cfRule type="expression" dxfId="1713" priority="2">
      <formula>IF($L$39="",1,0)</formula>
    </cfRule>
  </conditionalFormatting>
  <conditionalFormatting sqref="J82:J86">
    <cfRule type="expression" dxfId="1712" priority="1525" stopIfTrue="1">
      <formula>IF(AND($L$78=TRUE,J82=$J$87),1,0)</formula>
    </cfRule>
  </conditionalFormatting>
  <conditionalFormatting sqref="G72:G76">
    <cfRule type="expression" dxfId="1711" priority="1526" stopIfTrue="1">
      <formula>IF(AND($L$78=FALSE,G72=$L$77,$R$14&lt;=$J$67),1,0)</formula>
    </cfRule>
  </conditionalFormatting>
  <conditionalFormatting sqref="J72:J76">
    <cfRule type="expression" dxfId="1710" priority="1527" stopIfTrue="1">
      <formula>IF(AND($L$78=FALSE,J72=$L$77,$R$14&gt;$J$67),1,0)</formula>
    </cfRule>
  </conditionalFormatting>
  <conditionalFormatting sqref="J46">
    <cfRule type="expression" dxfId="1709" priority="1528">
      <formula>IF(OR(R26="",AND(L77="",J87="")),1,0)</formula>
    </cfRule>
  </conditionalFormatting>
  <conditionalFormatting sqref="L72">
    <cfRule type="expression" dxfId="1708" priority="1561" stopIfTrue="1">
      <formula>IF(OR($L$78=TRUE,$R$70&lt;&gt;""),1,0)</formula>
    </cfRule>
  </conditionalFormatting>
  <conditionalFormatting sqref="L79:L82 M82">
    <cfRule type="expression" dxfId="1707" priority="1562" stopIfTrue="1">
      <formula>IF(OR($R$82&lt;&gt;"",$L$78=FALSE),1,0)</formula>
    </cfRule>
  </conditionalFormatting>
  <conditionalFormatting sqref="M48">
    <cfRule type="expression" dxfId="1706" priority="1" stopIfTrue="1">
      <formula>IF($R$48&lt;=12,1,0)</formula>
    </cfRule>
  </conditionalFormatting>
  <pageMargins left="0.75" right="0.46" top="0.37" bottom="0.55000000000000004" header="0.35" footer="0.5"/>
  <pageSetup scale="84" orientation="portrait" horizontalDpi="360" verticalDpi="36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59"/>
  <sheetViews>
    <sheetView zoomScaleNormal="100" workbookViewId="0">
      <selection activeCell="J22" sqref="J22"/>
    </sheetView>
  </sheetViews>
  <sheetFormatPr defaultColWidth="9.140625" defaultRowHeight="12.75"/>
  <cols>
    <col min="1" max="1" width="2.42578125" style="64" customWidth="1"/>
    <col min="2" max="2" width="1.5703125" style="64" customWidth="1"/>
    <col min="3" max="3" width="3.5703125" style="64" customWidth="1"/>
    <col min="4" max="4" width="2.28515625" style="64" customWidth="1"/>
    <col min="5" max="5" width="51.5703125" style="64" customWidth="1"/>
    <col min="6" max="6" width="7.7109375" style="64" customWidth="1"/>
    <col min="7" max="7" width="10" style="64" customWidth="1"/>
    <col min="8" max="8" width="11.140625" style="64" customWidth="1"/>
    <col min="9" max="9" width="4.28515625" style="64" customWidth="1"/>
    <col min="10" max="10" width="16.42578125" style="64" customWidth="1"/>
    <col min="11" max="13" width="2.140625" style="64" customWidth="1"/>
    <col min="14" max="14" width="2" style="64" customWidth="1"/>
    <col min="15" max="15" width="3.140625" style="64" customWidth="1"/>
    <col min="16" max="16" width="11.42578125" style="64" customWidth="1"/>
    <col min="17" max="17" width="8.42578125" style="64" customWidth="1"/>
    <col min="18" max="16384" width="9.140625" style="64"/>
  </cols>
  <sheetData>
    <row r="1" spans="1:18">
      <c r="A1" s="112"/>
      <c r="B1" s="112"/>
      <c r="C1" s="112"/>
      <c r="D1" s="112"/>
      <c r="E1" s="112"/>
      <c r="F1" s="112"/>
      <c r="G1" s="112"/>
      <c r="H1" s="112"/>
      <c r="I1" s="112"/>
      <c r="J1" s="112"/>
      <c r="K1" s="112"/>
      <c r="L1" s="112"/>
      <c r="M1" s="35"/>
      <c r="N1" s="173"/>
      <c r="O1" s="35"/>
      <c r="P1" s="35"/>
      <c r="Q1" s="35"/>
      <c r="R1" s="35"/>
    </row>
    <row r="2" spans="1:18" s="124" customFormat="1" ht="37.5" customHeight="1" thickBot="1">
      <c r="A2" s="961"/>
      <c r="B2" s="180"/>
      <c r="C2" s="497" t="s">
        <v>764</v>
      </c>
      <c r="D2" s="1054"/>
      <c r="E2" s="107"/>
      <c r="F2" s="1054"/>
      <c r="G2" s="1055"/>
      <c r="H2" s="1056" t="s">
        <v>290</v>
      </c>
      <c r="I2" s="1056"/>
      <c r="J2" s="1057"/>
      <c r="K2" s="1058"/>
      <c r="L2" s="1062"/>
      <c r="M2" s="1058"/>
      <c r="N2" s="173"/>
      <c r="O2" s="35"/>
      <c r="P2" s="35"/>
      <c r="Q2" s="35"/>
      <c r="R2" s="35"/>
    </row>
    <row r="3" spans="1:18" ht="18.75" customHeight="1">
      <c r="A3" s="1067"/>
      <c r="B3" s="1068"/>
      <c r="C3" s="374" t="s">
        <v>348</v>
      </c>
      <c r="D3" s="374"/>
      <c r="E3" s="375"/>
      <c r="F3" s="374"/>
      <c r="G3" s="376"/>
      <c r="H3" s="376"/>
      <c r="I3" s="377"/>
      <c r="J3" s="89"/>
      <c r="K3" s="92"/>
      <c r="L3" s="1016"/>
      <c r="M3" s="89"/>
      <c r="N3" s="173"/>
      <c r="O3" s="35"/>
      <c r="P3" s="35"/>
      <c r="Q3" s="35"/>
      <c r="R3" s="35"/>
    </row>
    <row r="4" spans="1:18" ht="13.5" customHeight="1">
      <c r="A4" s="961"/>
      <c r="B4" s="149"/>
      <c r="C4" s="371" t="s">
        <v>72</v>
      </c>
      <c r="D4" s="120"/>
      <c r="E4" s="76" t="s">
        <v>600</v>
      </c>
      <c r="F4" s="372"/>
      <c r="G4" s="373"/>
      <c r="H4" s="373"/>
      <c r="I4" s="370"/>
      <c r="J4" s="89"/>
      <c r="K4" s="97"/>
      <c r="L4" s="1016"/>
      <c r="M4" s="89"/>
      <c r="N4" s="89"/>
      <c r="O4" s="44"/>
      <c r="P4" s="44"/>
      <c r="Q4" s="44"/>
      <c r="R4" s="35"/>
    </row>
    <row r="5" spans="1:18" ht="13.5" customHeight="1">
      <c r="A5" s="961"/>
      <c r="B5" s="149"/>
      <c r="C5" s="371" t="s">
        <v>72</v>
      </c>
      <c r="D5" s="120"/>
      <c r="E5" s="76" t="s">
        <v>656</v>
      </c>
      <c r="F5" s="372"/>
      <c r="G5" s="373"/>
      <c r="H5" s="373"/>
      <c r="I5" s="370"/>
      <c r="J5" s="89"/>
      <c r="K5" s="97"/>
      <c r="L5" s="1016"/>
      <c r="M5" s="89"/>
      <c r="N5" s="606"/>
      <c r="O5" s="83"/>
      <c r="P5" s="83"/>
      <c r="Q5" s="81"/>
      <c r="R5" s="44"/>
    </row>
    <row r="6" spans="1:18" ht="13.5" customHeight="1">
      <c r="A6" s="961"/>
      <c r="B6" s="149"/>
      <c r="C6" s="371"/>
      <c r="D6" s="120"/>
      <c r="E6" s="74" t="s">
        <v>1172</v>
      </c>
      <c r="F6" s="372"/>
      <c r="G6" s="373"/>
      <c r="H6" s="373"/>
      <c r="I6" s="370"/>
      <c r="J6" s="89"/>
      <c r="K6" s="97"/>
      <c r="L6" s="1016"/>
      <c r="M6" s="89"/>
      <c r="N6" s="532"/>
      <c r="O6" s="2776"/>
      <c r="P6" s="574" t="str">
        <f>IF(File_Marr_Sep&lt;&gt;"","  YES","")</f>
        <v/>
      </c>
      <c r="Q6" s="3610"/>
      <c r="R6" s="44"/>
    </row>
    <row r="7" spans="1:18" ht="13.5" customHeight="1">
      <c r="A7" s="961"/>
      <c r="B7" s="149"/>
      <c r="C7" s="371" t="s">
        <v>72</v>
      </c>
      <c r="D7" s="120"/>
      <c r="E7" s="76" t="str">
        <f>"If you are married filing separately and you lived apart from your spouse for all of "&amp;TaxYear&amp;","</f>
        <v>If you are married filing separately and you lived apart from your spouse for all of 2016,</v>
      </c>
      <c r="F7" s="372"/>
      <c r="G7" s="373"/>
      <c r="H7" s="373"/>
      <c r="I7" s="370"/>
      <c r="J7" s="1039" t="str">
        <f>IF(File_Marr_Sep="","",IF(AND(O6&lt;&gt;"",O8&lt;&gt;""),"Check ONLY one box. →",IF(AND(O6="",O8=""),"Check one box.  →","")))</f>
        <v/>
      </c>
      <c r="K7" s="97"/>
      <c r="L7" s="1016"/>
      <c r="M7" s="89"/>
      <c r="N7" s="532"/>
      <c r="O7" s="585" t="str">
        <f>IF(File_Marr_Sep="","",IF(OR(AND(O6="",O8=""),AND(O6="X",O8="X")),"?",IF(AND(O6="X",O8=""),"X","")))</f>
        <v/>
      </c>
      <c r="P7" s="574"/>
      <c r="Q7" s="3610"/>
      <c r="R7" s="44"/>
    </row>
    <row r="8" spans="1:18" ht="12" customHeight="1">
      <c r="A8" s="961"/>
      <c r="B8" s="149"/>
      <c r="C8" s="371"/>
      <c r="D8" s="120"/>
      <c r="E8" s="74" t="s">
        <v>1174</v>
      </c>
      <c r="F8" s="372"/>
      <c r="G8" s="373"/>
      <c r="H8" s="373"/>
      <c r="I8" s="370"/>
      <c r="J8" s="681"/>
      <c r="K8" s="682"/>
      <c r="L8" s="1063"/>
      <c r="M8" s="486"/>
      <c r="N8" s="532"/>
      <c r="O8" s="2776"/>
      <c r="P8" s="574" t="str">
        <f>IF(File_Marr_Sep&lt;&gt;"","  NO","")</f>
        <v/>
      </c>
      <c r="Q8" s="3610"/>
      <c r="R8" s="44"/>
    </row>
    <row r="9" spans="1:18" ht="12" customHeight="1">
      <c r="A9" s="961"/>
      <c r="B9" s="149"/>
      <c r="C9" s="371"/>
      <c r="D9" s="120"/>
      <c r="E9" s="74" t="s">
        <v>1175</v>
      </c>
      <c r="F9" s="372"/>
      <c r="G9" s="373"/>
      <c r="H9" s="373"/>
      <c r="I9" s="370"/>
      <c r="J9" s="681"/>
      <c r="K9" s="682"/>
      <c r="L9" s="1063"/>
      <c r="M9" s="486"/>
      <c r="N9" s="532"/>
      <c r="O9" s="1061" t="str">
        <f>IF(File_Marr_Sep&lt;&gt;"","Did you live apart","")</f>
        <v/>
      </c>
      <c r="P9" s="574"/>
      <c r="Q9" s="3610"/>
      <c r="R9" s="44"/>
    </row>
    <row r="10" spans="1:18" ht="11.25" customHeight="1">
      <c r="A10" s="961"/>
      <c r="B10" s="149"/>
      <c r="C10" s="371" t="s">
        <v>72</v>
      </c>
      <c r="D10" s="120"/>
      <c r="E10" s="74" t="s">
        <v>1524</v>
      </c>
      <c r="F10" s="372"/>
      <c r="G10" s="373"/>
      <c r="H10" s="373"/>
      <c r="I10" s="370"/>
      <c r="J10" s="89"/>
      <c r="K10" s="97"/>
      <c r="L10" s="1016"/>
      <c r="M10" s="89"/>
      <c r="N10" s="532"/>
      <c r="O10" s="1061" t="str">
        <f>IF(File_Marr_Sep&lt;&gt;"","apart from your spouse","")</f>
        <v/>
      </c>
      <c r="P10" s="44"/>
      <c r="Q10" s="607"/>
      <c r="R10" s="44"/>
    </row>
    <row r="11" spans="1:18" ht="12" customHeight="1">
      <c r="A11" s="961"/>
      <c r="B11" s="149"/>
      <c r="C11" s="120"/>
      <c r="D11" s="120"/>
      <c r="E11" s="74" t="s">
        <v>1173</v>
      </c>
      <c r="F11" s="372"/>
      <c r="G11" s="373"/>
      <c r="H11" s="373"/>
      <c r="I11" s="370"/>
      <c r="J11" s="89"/>
      <c r="K11" s="97"/>
      <c r="L11" s="1016"/>
      <c r="M11" s="89"/>
      <c r="N11" s="66"/>
      <c r="O11" s="3611" t="str">
        <f>IF(File_Marr_Sep&lt;&gt;"","for ALL of "&amp;TaxYear&amp;"?","")</f>
        <v/>
      </c>
      <c r="P11" s="63"/>
      <c r="Q11" s="70"/>
      <c r="R11" s="44"/>
    </row>
    <row r="12" spans="1:18" ht="12.75" customHeight="1">
      <c r="A12" s="112"/>
      <c r="B12" s="1069"/>
      <c r="C12" s="153"/>
      <c r="D12" s="154"/>
      <c r="E12" s="155"/>
      <c r="F12" s="156"/>
      <c r="G12" s="156"/>
      <c r="H12" s="156"/>
      <c r="I12" s="156"/>
      <c r="J12" s="140"/>
      <c r="K12" s="1052"/>
      <c r="L12" s="1016"/>
      <c r="M12" s="89"/>
      <c r="N12" s="44"/>
      <c r="O12" s="21"/>
      <c r="P12" s="44"/>
      <c r="Q12" s="44"/>
      <c r="R12" s="44"/>
    </row>
    <row r="13" spans="1:18" ht="12" customHeight="1">
      <c r="A13" s="112"/>
      <c r="B13" s="84"/>
      <c r="C13" s="794"/>
      <c r="D13" s="138"/>
      <c r="E13" s="795"/>
      <c r="F13" s="181"/>
      <c r="G13" s="181"/>
      <c r="H13" s="181"/>
      <c r="I13" s="181"/>
      <c r="J13" s="89"/>
      <c r="K13" s="97"/>
      <c r="L13" s="1016"/>
      <c r="M13" s="89"/>
      <c r="N13" s="44"/>
      <c r="O13" s="44"/>
      <c r="P13" s="68" t="s">
        <v>149</v>
      </c>
      <c r="Q13" s="44"/>
      <c r="R13" s="35"/>
    </row>
    <row r="14" spans="1:18" ht="12.75" customHeight="1">
      <c r="A14" s="112"/>
      <c r="B14" s="84"/>
      <c r="C14" s="120">
        <v>1</v>
      </c>
      <c r="D14" s="563" t="s">
        <v>950</v>
      </c>
      <c r="E14" s="89"/>
      <c r="F14" s="95"/>
      <c r="G14" s="89"/>
      <c r="H14" s="89"/>
      <c r="I14" s="96"/>
      <c r="J14" s="89"/>
      <c r="K14" s="97"/>
      <c r="L14" s="1016"/>
      <c r="M14" s="89"/>
      <c r="N14" s="35"/>
      <c r="O14" s="35"/>
      <c r="P14" s="36" t="s">
        <v>661</v>
      </c>
      <c r="Q14" s="35"/>
      <c r="R14" s="35"/>
    </row>
    <row r="15" spans="1:18">
      <c r="A15" s="112"/>
      <c r="B15" s="84"/>
      <c r="C15" s="169"/>
      <c r="D15" s="861" t="s">
        <v>951</v>
      </c>
      <c r="E15" s="89"/>
      <c r="F15" s="95">
        <v>1</v>
      </c>
      <c r="G15" s="4947">
        <f>IF(P15&lt;&gt;"",P15,ROUND(SUM('SSA-1099'!D5,'SSA-1099'!D10),0))</f>
        <v>0</v>
      </c>
      <c r="H15" s="4948"/>
      <c r="I15" s="96"/>
      <c r="J15" s="89"/>
      <c r="K15" s="97"/>
      <c r="L15" s="1016"/>
      <c r="M15" s="89"/>
      <c r="N15" s="35"/>
      <c r="O15" s="35"/>
      <c r="P15" s="1399"/>
      <c r="Q15" s="35"/>
      <c r="R15" s="35"/>
    </row>
    <row r="16" spans="1:18">
      <c r="A16" s="112"/>
      <c r="B16" s="84"/>
      <c r="C16" s="169">
        <v>2</v>
      </c>
      <c r="D16" s="399" t="str">
        <f>"Multiply line 1 by "&amp;TEXT(P16,"0%")&amp;" ("&amp;TEXT(P16,"0.00")&amp;")"</f>
        <v>Multiply line 1 by 50% (0.50)</v>
      </c>
      <c r="E16" s="89"/>
      <c r="F16" s="95"/>
      <c r="G16" s="89"/>
      <c r="H16" s="101" t="s">
        <v>3028</v>
      </c>
      <c r="I16" s="95">
        <f>C16</f>
        <v>2</v>
      </c>
      <c r="J16" s="2777">
        <f>ROUND((P16*G15),0)</f>
        <v>0</v>
      </c>
      <c r="K16" s="97"/>
      <c r="L16" s="1016"/>
      <c r="M16" s="488"/>
      <c r="N16" s="35"/>
      <c r="O16" s="35"/>
      <c r="P16" s="3609">
        <v>0.5</v>
      </c>
      <c r="Q16" s="35"/>
      <c r="R16" s="35"/>
    </row>
    <row r="17" spans="1:18">
      <c r="A17" s="112"/>
      <c r="B17" s="84"/>
      <c r="C17" s="169">
        <v>3</v>
      </c>
      <c r="D17" s="399" t="s">
        <v>952</v>
      </c>
      <c r="E17" s="94"/>
      <c r="F17" s="94"/>
      <c r="G17" s="94"/>
      <c r="H17" s="94"/>
      <c r="I17" s="95"/>
      <c r="J17" s="488"/>
      <c r="K17" s="157"/>
      <c r="L17" s="1064"/>
      <c r="M17" s="487"/>
      <c r="N17" s="35"/>
      <c r="O17" s="35"/>
      <c r="P17" s="36"/>
      <c r="Q17" s="35"/>
      <c r="R17" s="35"/>
    </row>
    <row r="18" spans="1:18">
      <c r="A18" s="112"/>
      <c r="B18" s="84"/>
      <c r="C18" s="169"/>
      <c r="D18" s="399" t="s">
        <v>953</v>
      </c>
      <c r="E18" s="94"/>
      <c r="F18" s="94"/>
      <c r="G18" s="94"/>
      <c r="H18" s="1022" t="s">
        <v>1178</v>
      </c>
      <c r="I18" s="95">
        <f>C17</f>
        <v>3</v>
      </c>
      <c r="J18" s="2777">
        <f>IF(P18&lt;&gt;"",P18,ROUND(SUM(Wages,'1040'!AB39,'1040'!AB41,SUM('1040'!AB43:AB47),'1040'!AB48,'1040'!AB49,SUM('1040'!AB50:AB52),'1040'!AB54),0))</f>
        <v>0</v>
      </c>
      <c r="K18" s="683"/>
      <c r="L18" s="1065"/>
      <c r="M18" s="487"/>
      <c r="N18" s="35"/>
      <c r="O18" s="35"/>
      <c r="P18" s="522"/>
      <c r="Q18" s="35"/>
      <c r="R18" s="35"/>
    </row>
    <row r="19" spans="1:18">
      <c r="A19" s="112"/>
      <c r="B19" s="84"/>
      <c r="C19" s="169">
        <v>4</v>
      </c>
      <c r="D19" s="399" t="s">
        <v>456</v>
      </c>
      <c r="E19" s="94"/>
      <c r="F19" s="95"/>
      <c r="G19" s="94"/>
      <c r="H19" s="1022" t="s">
        <v>1177</v>
      </c>
      <c r="I19" s="95">
        <f>C19</f>
        <v>4</v>
      </c>
      <c r="J19" s="2777">
        <f>IF(P19&lt;&gt;"",P19,ROUND('1040'!V40,0))</f>
        <v>0</v>
      </c>
      <c r="K19" s="683"/>
      <c r="L19" s="1065"/>
      <c r="M19" s="487"/>
      <c r="N19" s="35"/>
      <c r="O19" s="35"/>
      <c r="P19" s="522"/>
      <c r="Q19" s="35"/>
      <c r="R19" s="35"/>
    </row>
    <row r="20" spans="1:18">
      <c r="A20" s="112"/>
      <c r="B20" s="84"/>
      <c r="C20" s="169">
        <v>5</v>
      </c>
      <c r="D20" s="399" t="s">
        <v>954</v>
      </c>
      <c r="E20" s="94"/>
      <c r="F20" s="95"/>
      <c r="G20" s="94"/>
      <c r="H20" s="1022" t="s">
        <v>920</v>
      </c>
      <c r="I20" s="95">
        <f>C20</f>
        <v>5</v>
      </c>
      <c r="J20" s="2777">
        <f>SUM(J16,J18,J19)</f>
        <v>0</v>
      </c>
      <c r="K20" s="683"/>
      <c r="L20" s="1065"/>
      <c r="M20" s="487"/>
      <c r="N20" s="35"/>
      <c r="O20" s="35"/>
      <c r="P20" s="35"/>
      <c r="Q20" s="35"/>
      <c r="R20" s="35"/>
    </row>
    <row r="21" spans="1:18">
      <c r="A21" s="112"/>
      <c r="B21" s="84"/>
      <c r="C21" s="169">
        <v>6</v>
      </c>
      <c r="D21" s="399" t="s">
        <v>955</v>
      </c>
      <c r="E21" s="94"/>
      <c r="F21" s="95"/>
      <c r="G21" s="94"/>
      <c r="H21" s="94"/>
      <c r="I21" s="95"/>
      <c r="J21" s="1053"/>
      <c r="K21" s="683"/>
      <c r="L21" s="1065"/>
      <c r="M21" s="487"/>
      <c r="N21" s="35"/>
      <c r="O21" s="35"/>
      <c r="P21" s="35"/>
      <c r="Q21" s="35"/>
      <c r="R21" s="35"/>
    </row>
    <row r="22" spans="1:18">
      <c r="A22" s="112"/>
      <c r="B22" s="84"/>
      <c r="C22" s="169"/>
      <c r="D22" s="399" t="s">
        <v>1179</v>
      </c>
      <c r="E22" s="94"/>
      <c r="F22" s="94"/>
      <c r="G22" s="94"/>
      <c r="H22" s="1022" t="s">
        <v>1180</v>
      </c>
      <c r="I22" s="95">
        <f>C21</f>
        <v>6</v>
      </c>
      <c r="J22" s="2777">
        <f>SUM('1040'!V56:V65,Dotted_Line)</f>
        <v>0</v>
      </c>
      <c r="K22" s="158"/>
      <c r="L22" s="1015"/>
      <c r="M22" s="489"/>
      <c r="N22" s="35"/>
      <c r="O22" s="35"/>
      <c r="P22" s="35"/>
      <c r="Q22" s="35"/>
      <c r="R22" s="35"/>
    </row>
    <row r="23" spans="1:18">
      <c r="A23" s="112"/>
      <c r="B23" s="84"/>
      <c r="C23" s="169">
        <v>7</v>
      </c>
      <c r="D23" s="399" t="s">
        <v>370</v>
      </c>
      <c r="E23" s="94"/>
      <c r="F23" s="94"/>
      <c r="G23" s="94"/>
      <c r="H23" s="94"/>
      <c r="I23" s="95"/>
      <c r="J23" s="489"/>
      <c r="K23" s="158"/>
      <c r="L23" s="1015"/>
      <c r="M23" s="489"/>
      <c r="N23" s="35"/>
      <c r="O23" s="35"/>
      <c r="P23" s="35"/>
      <c r="Q23" s="35"/>
      <c r="R23" s="35"/>
    </row>
    <row r="24" spans="1:18" ht="13.5" thickBot="1">
      <c r="A24" s="112"/>
      <c r="B24" s="84"/>
      <c r="C24" s="169"/>
      <c r="D24" s="94"/>
      <c r="E24" s="94"/>
      <c r="F24" s="94"/>
      <c r="G24" s="94"/>
      <c r="H24" s="94"/>
      <c r="I24" s="95"/>
      <c r="J24" s="489"/>
      <c r="K24" s="158"/>
      <c r="L24" s="1015"/>
      <c r="M24" s="489"/>
      <c r="N24" s="35"/>
      <c r="O24" s="35"/>
      <c r="P24" s="35"/>
      <c r="Q24" s="35"/>
      <c r="R24" s="35"/>
    </row>
    <row r="25" spans="1:18" ht="13.5" thickBot="1">
      <c r="A25" s="112"/>
      <c r="B25" s="84"/>
      <c r="C25" s="169"/>
      <c r="D25" s="378" t="str">
        <f>IF(J22&lt;J20,"","X")</f>
        <v>X</v>
      </c>
      <c r="E25" s="100" t="s">
        <v>634</v>
      </c>
      <c r="F25" s="95"/>
      <c r="G25" s="89"/>
      <c r="H25" s="89"/>
      <c r="I25" s="95"/>
      <c r="J25" s="89"/>
      <c r="K25" s="97"/>
      <c r="L25" s="1016"/>
      <c r="M25" s="89"/>
      <c r="N25" s="35"/>
      <c r="O25" s="35"/>
      <c r="P25" s="35"/>
      <c r="Q25" s="35"/>
      <c r="R25" s="35"/>
    </row>
    <row r="26" spans="1:18" ht="15" customHeight="1" thickBot="1">
      <c r="A26" s="112"/>
      <c r="B26" s="84"/>
      <c r="C26" s="169"/>
      <c r="D26" s="169"/>
      <c r="E26" s="489" t="s">
        <v>635</v>
      </c>
      <c r="F26" s="95"/>
      <c r="G26" s="89"/>
      <c r="H26" s="89"/>
      <c r="I26" s="95"/>
      <c r="J26" s="89"/>
      <c r="K26" s="97"/>
      <c r="L26" s="1016"/>
      <c r="M26" s="89"/>
      <c r="N26" s="44"/>
      <c r="O26" s="44"/>
      <c r="P26" s="44"/>
      <c r="Q26" s="44"/>
      <c r="R26" s="35"/>
    </row>
    <row r="27" spans="1:18" ht="15" customHeight="1" thickBot="1">
      <c r="A27" s="112"/>
      <c r="B27" s="84"/>
      <c r="C27" s="169"/>
      <c r="D27" s="345" t="str">
        <f>IF(J22&lt;J20,"X","")</f>
        <v/>
      </c>
      <c r="E27" s="383" t="s">
        <v>1181</v>
      </c>
      <c r="F27" s="94"/>
      <c r="G27" s="94"/>
      <c r="H27" s="1022" t="s">
        <v>920</v>
      </c>
      <c r="I27" s="95">
        <f>C23</f>
        <v>7</v>
      </c>
      <c r="J27" s="2777" t="str">
        <f>IF(D25="X","Stop",J20-J22)</f>
        <v>Stop</v>
      </c>
      <c r="K27" s="683"/>
      <c r="L27" s="1065"/>
      <c r="M27" s="89"/>
      <c r="N27" s="44"/>
      <c r="O27" s="44"/>
      <c r="P27" s="44"/>
      <c r="Q27" s="44"/>
      <c r="R27" s="35"/>
    </row>
    <row r="28" spans="1:18" ht="14.25" customHeight="1">
      <c r="A28" s="112"/>
      <c r="B28" s="84"/>
      <c r="C28" s="169"/>
      <c r="D28" s="94"/>
      <c r="E28" s="94"/>
      <c r="F28" s="94"/>
      <c r="G28" s="94"/>
      <c r="H28" s="94"/>
      <c r="I28" s="95"/>
      <c r="J28" s="489"/>
      <c r="K28" s="158"/>
      <c r="L28" s="1015"/>
      <c r="M28" s="89"/>
      <c r="N28" s="44"/>
      <c r="O28" s="44"/>
      <c r="P28" s="44"/>
      <c r="Q28" s="44"/>
      <c r="R28" s="35"/>
    </row>
    <row r="29" spans="1:18">
      <c r="A29" s="112"/>
      <c r="B29" s="84"/>
      <c r="C29" s="169">
        <v>8</v>
      </c>
      <c r="D29" s="94" t="s">
        <v>371</v>
      </c>
      <c r="E29" s="94"/>
      <c r="F29" s="94"/>
      <c r="G29" s="94"/>
      <c r="H29" s="94"/>
      <c r="I29" s="95"/>
      <c r="J29" s="489"/>
      <c r="K29" s="158"/>
      <c r="L29" s="1065"/>
      <c r="M29" s="89"/>
      <c r="N29" s="44"/>
      <c r="O29" s="44"/>
      <c r="P29" s="44"/>
      <c r="Q29" s="44"/>
      <c r="R29" s="35"/>
    </row>
    <row r="30" spans="1:18">
      <c r="A30" s="112"/>
      <c r="B30" s="84"/>
      <c r="C30" s="169"/>
      <c r="D30" s="689" t="s">
        <v>44</v>
      </c>
      <c r="E30" s="89" t="str">
        <f>"Married filing jointly, enter "&amp;TEXT(H30,"$0,000")</f>
        <v>Married filing jointly, enter $32,000</v>
      </c>
      <c r="F30" s="89"/>
      <c r="G30" s="94"/>
      <c r="H30" s="1060">
        <v>32000</v>
      </c>
      <c r="I30" s="95"/>
      <c r="J30" s="489"/>
      <c r="K30" s="158"/>
      <c r="L30" s="1065"/>
      <c r="M30" s="89"/>
      <c r="N30" s="44"/>
      <c r="O30" s="44"/>
      <c r="P30" s="44"/>
      <c r="Q30" s="44"/>
      <c r="R30" s="35"/>
    </row>
    <row r="31" spans="1:18">
      <c r="A31" s="112"/>
      <c r="B31" s="84"/>
      <c r="C31" s="169"/>
      <c r="D31" s="689" t="s">
        <v>44</v>
      </c>
      <c r="E31" s="89" t="s">
        <v>43</v>
      </c>
      <c r="F31" s="89"/>
      <c r="G31" s="94"/>
      <c r="H31" s="94"/>
      <c r="I31" s="95"/>
      <c r="J31" s="489"/>
      <c r="K31" s="158"/>
      <c r="L31" s="1065"/>
      <c r="M31" s="89"/>
      <c r="N31" s="44"/>
      <c r="O31" s="44"/>
      <c r="P31" s="44"/>
      <c r="Q31" s="44"/>
      <c r="R31" s="35"/>
    </row>
    <row r="32" spans="1:18">
      <c r="A32" s="112"/>
      <c r="B32" s="84"/>
      <c r="C32" s="169"/>
      <c r="D32" s="689"/>
      <c r="E32" s="168" t="s">
        <v>3299</v>
      </c>
      <c r="F32" s="89" t="str">
        <f>TaxYear&amp;","</f>
        <v>2016,</v>
      </c>
      <c r="G32" s="94"/>
      <c r="H32" s="1060">
        <v>25000</v>
      </c>
      <c r="I32" s="95"/>
      <c r="J32" s="489"/>
      <c r="K32" s="158"/>
      <c r="L32" s="1015"/>
      <c r="M32" s="89"/>
      <c r="N32" s="44"/>
      <c r="O32" s="44"/>
      <c r="P32" s="44"/>
      <c r="Q32" s="44"/>
      <c r="R32" s="35"/>
    </row>
    <row r="33" spans="1:18">
      <c r="A33" s="112"/>
      <c r="B33" s="84"/>
      <c r="C33" s="169"/>
      <c r="D33" s="689"/>
      <c r="E33" s="89" t="str">
        <f>"enter "&amp;TEXT(H32,"$0,000")</f>
        <v>enter $25,000</v>
      </c>
      <c r="F33" s="89"/>
      <c r="G33" s="94"/>
      <c r="H33" s="1022" t="s">
        <v>922</v>
      </c>
      <c r="I33" s="95">
        <f>C29</f>
        <v>8</v>
      </c>
      <c r="J33" s="2777" t="str">
        <f>IF(LivedApart="?","Answer question.",IF(OR(D25="X",H37,AND(LivedApart&lt;&gt;"",O8&lt;&gt;"")),"",IF(File_Marr_Joint&lt;&gt;"",H30,IF(OR(File_Single&lt;&gt;"",File_Head&lt;&gt;"",File_Qual_Widow&lt;&gt;"",NOT(H37)),H32,""))))</f>
        <v/>
      </c>
      <c r="K33" s="158"/>
      <c r="L33" s="1015"/>
      <c r="M33" s="89"/>
      <c r="N33" s="44"/>
      <c r="O33" s="44"/>
      <c r="P33" s="44"/>
      <c r="Q33" s="44"/>
      <c r="R33" s="35"/>
    </row>
    <row r="34" spans="1:18">
      <c r="A34" s="112"/>
      <c r="B34" s="84"/>
      <c r="C34" s="169"/>
      <c r="D34" s="689" t="s">
        <v>44</v>
      </c>
      <c r="E34" s="89" t="s">
        <v>457</v>
      </c>
      <c r="F34" s="89"/>
      <c r="G34" s="94"/>
      <c r="H34" s="94"/>
      <c r="I34" s="95"/>
      <c r="J34" s="489"/>
      <c r="K34" s="158"/>
      <c r="L34" s="1015"/>
      <c r="M34" s="89"/>
      <c r="N34" s="44"/>
      <c r="O34" s="44"/>
      <c r="P34" s="44"/>
      <c r="Q34" s="44"/>
      <c r="R34" s="35"/>
    </row>
    <row r="35" spans="1:18">
      <c r="A35" s="112"/>
      <c r="B35" s="84"/>
      <c r="C35" s="169"/>
      <c r="D35" s="689"/>
      <c r="E35" s="89" t="str">
        <f>"in "&amp;TaxYear&amp;", skip lines 8 through 15; multiply line 7 by "&amp;TEXT(H35,"0%")&amp;" ("&amp;TEXT(H35,"0.00")&amp;") and"</f>
        <v>in 2016, skip lines 8 through 15; multiply line 7 by 85% (0.85) and</v>
      </c>
      <c r="F35" s="89"/>
      <c r="G35" s="94"/>
      <c r="H35" s="78">
        <v>0.85</v>
      </c>
      <c r="I35" s="95"/>
      <c r="J35" s="489"/>
      <c r="K35" s="158"/>
      <c r="L35" s="1015"/>
      <c r="M35" s="89"/>
      <c r="N35" s="44"/>
      <c r="O35" s="44"/>
      <c r="P35" s="44"/>
      <c r="Q35" s="44"/>
      <c r="R35" s="35"/>
    </row>
    <row r="36" spans="1:18" ht="12.75" customHeight="1">
      <c r="A36" s="112"/>
      <c r="B36" s="84"/>
      <c r="C36" s="169"/>
      <c r="D36" s="94"/>
      <c r="E36" s="94" t="s">
        <v>58</v>
      </c>
      <c r="F36" s="94"/>
      <c r="G36" s="94"/>
      <c r="H36" s="1182" t="e">
        <f>ROUND(J27*H35,0)</f>
        <v>#VALUE!</v>
      </c>
      <c r="I36" s="94"/>
      <c r="J36" s="94"/>
      <c r="K36" s="683"/>
      <c r="L36" s="1065"/>
      <c r="M36" s="89"/>
      <c r="N36" s="44"/>
      <c r="O36" s="44"/>
      <c r="P36" s="44"/>
      <c r="Q36" s="44"/>
      <c r="R36" s="35"/>
    </row>
    <row r="37" spans="1:18">
      <c r="A37" s="112"/>
      <c r="B37" s="84"/>
      <c r="C37" s="169">
        <v>9</v>
      </c>
      <c r="D37" s="74" t="s">
        <v>224</v>
      </c>
      <c r="E37" s="94"/>
      <c r="F37" s="94"/>
      <c r="G37" s="94"/>
      <c r="H37" s="78" t="b">
        <f>IF(LivedApart="?","",IF(AND(File_Marr_Sep&lt;&gt;"",LivedApart=""),TRUE,FALSE))</f>
        <v>0</v>
      </c>
      <c r="I37" s="94"/>
      <c r="J37" s="94"/>
      <c r="K37" s="683"/>
      <c r="L37" s="1065"/>
      <c r="M37" s="89"/>
      <c r="N37" s="44"/>
      <c r="O37" s="44"/>
      <c r="P37" s="44"/>
      <c r="Q37" s="44"/>
      <c r="R37" s="35"/>
    </row>
    <row r="38" spans="1:18" ht="8.25" customHeight="1" thickBot="1">
      <c r="A38" s="112"/>
      <c r="B38" s="84"/>
      <c r="C38" s="169"/>
      <c r="D38" s="74"/>
      <c r="E38" s="94"/>
      <c r="F38" s="94"/>
      <c r="G38" s="94"/>
      <c r="H38" s="78"/>
      <c r="I38" s="94"/>
      <c r="J38" s="94"/>
      <c r="K38" s="683"/>
      <c r="L38" s="1065"/>
      <c r="M38" s="89"/>
      <c r="N38" s="44"/>
      <c r="O38" s="44"/>
      <c r="P38" s="44"/>
      <c r="Q38" s="44"/>
      <c r="R38" s="35"/>
    </row>
    <row r="39" spans="1:18" ht="13.5" thickBot="1">
      <c r="A39" s="112"/>
      <c r="B39" s="84"/>
      <c r="C39" s="169"/>
      <c r="D39" s="159" t="str">
        <f>IF(OR(D25="X",H37),"",IF(J33&lt;J27,"","X"))</f>
        <v/>
      </c>
      <c r="E39" s="98" t="s">
        <v>1176</v>
      </c>
      <c r="F39" s="94"/>
      <c r="G39" s="94"/>
      <c r="H39" s="94"/>
      <c r="I39" s="95"/>
      <c r="J39" s="89"/>
      <c r="K39" s="97"/>
      <c r="L39" s="1016"/>
      <c r="M39" s="89"/>
      <c r="N39" s="44"/>
      <c r="O39" s="44"/>
      <c r="P39" s="44"/>
      <c r="Q39" s="44"/>
      <c r="R39" s="35"/>
    </row>
    <row r="40" spans="1:18" ht="15" customHeight="1">
      <c r="A40" s="112"/>
      <c r="B40" s="84"/>
      <c r="C40" s="169"/>
      <c r="D40" s="94"/>
      <c r="E40" s="147" t="s">
        <v>70</v>
      </c>
      <c r="F40" s="95"/>
      <c r="G40" s="89"/>
      <c r="H40" s="1059"/>
      <c r="I40" s="95"/>
      <c r="J40" s="89"/>
      <c r="K40" s="97"/>
      <c r="L40" s="1016"/>
      <c r="M40" s="89"/>
      <c r="N40" s="44"/>
      <c r="O40" s="44"/>
      <c r="P40" s="44"/>
      <c r="Q40" s="44"/>
      <c r="R40" s="35"/>
    </row>
    <row r="41" spans="1:18" ht="13.5" thickBot="1">
      <c r="A41" s="112"/>
      <c r="B41" s="84"/>
      <c r="C41" s="169"/>
      <c r="D41" s="94"/>
      <c r="E41" s="489" t="str">
        <f>TaxYear&amp; ", be sure you entered “D” to the right of the word “benefits” on line 20a."</f>
        <v>2016, be sure you entered “D” to the right of the word “benefits” on line 20a.</v>
      </c>
      <c r="F41" s="89"/>
      <c r="G41" s="89"/>
      <c r="H41" s="89"/>
      <c r="I41" s="95"/>
      <c r="J41" s="89"/>
      <c r="K41" s="97"/>
      <c r="L41" s="1016"/>
      <c r="M41" s="89"/>
      <c r="N41" s="44"/>
      <c r="O41" s="44"/>
      <c r="P41" s="44"/>
      <c r="Q41" s="44"/>
      <c r="R41" s="35"/>
    </row>
    <row r="42" spans="1:18" ht="13.5" thickBot="1">
      <c r="A42" s="112"/>
      <c r="B42" s="84"/>
      <c r="C42" s="169"/>
      <c r="D42" s="159" t="str">
        <f>IF(OR(D25="X",AND(File_Marr_Sep&lt;&gt;"",O6="")),"",IF(J33&lt;J27,"X",""))</f>
        <v/>
      </c>
      <c r="E42" s="383" t="s">
        <v>57</v>
      </c>
      <c r="F42" s="95"/>
      <c r="G42" s="89"/>
      <c r="H42" s="89"/>
      <c r="I42" s="95">
        <f>C37</f>
        <v>9</v>
      </c>
      <c r="J42" s="2777" t="str">
        <f>IF(OR(D25="X",H37,D39="X"),"",J27-J33)</f>
        <v/>
      </c>
      <c r="K42" s="97"/>
      <c r="L42" s="1016"/>
      <c r="M42" s="89"/>
      <c r="N42" s="44"/>
      <c r="O42" s="44"/>
      <c r="P42" s="44"/>
      <c r="Q42" s="44"/>
      <c r="R42" s="35"/>
    </row>
    <row r="43" spans="1:18" ht="15" customHeight="1">
      <c r="A43" s="112"/>
      <c r="B43" s="84"/>
      <c r="C43" s="169">
        <v>10</v>
      </c>
      <c r="D43" s="94" t="str">
        <f>"Enter: "&amp;TEXT(P44,"$0,000")&amp;" if married filing jointly; "&amp;TEXT(P45,"$0,000")&amp;" if single, head of household, qualifying"</f>
        <v>Enter: $12,000 if married filing jointly; $9,000 if single, head of household, qualifying</v>
      </c>
      <c r="E43" s="141"/>
      <c r="F43" s="95"/>
      <c r="G43" s="100"/>
      <c r="H43" s="100"/>
      <c r="I43" s="95"/>
      <c r="J43" s="89"/>
      <c r="K43" s="97"/>
      <c r="L43" s="1016"/>
      <c r="M43" s="89"/>
      <c r="N43" s="44"/>
      <c r="O43" s="44"/>
      <c r="P43" s="44"/>
      <c r="Q43" s="44"/>
      <c r="R43" s="35"/>
    </row>
    <row r="44" spans="1:18">
      <c r="A44" s="112"/>
      <c r="B44" s="84"/>
      <c r="C44" s="169"/>
      <c r="D44" s="94" t="s">
        <v>672</v>
      </c>
      <c r="E44" s="144"/>
      <c r="F44" s="95"/>
      <c r="G44" s="89"/>
      <c r="H44" s="1059">
        <f>TaxYear</f>
        <v>2016</v>
      </c>
      <c r="I44" s="95">
        <f>C43</f>
        <v>10</v>
      </c>
      <c r="J44" s="2777" t="str">
        <f>IF(OR(D25="X",D39="X",H37),"",IF(OR(File_Single&lt;&gt;"",File_Head&lt;&gt;"",File_Qual_Widow&lt;&gt;"",AND(File_Marr_Sep&lt;&gt;"",O6&lt;&gt;"")),P45,IF(AND(File_Marr_Joint&lt;&gt;""),P44,IF(AND(File_Marr_Sep&lt;&gt;"",O6=""),0,0))))</f>
        <v/>
      </c>
      <c r="K44" s="683"/>
      <c r="L44" s="1065"/>
      <c r="M44" s="89"/>
      <c r="N44" s="44"/>
      <c r="O44" s="44"/>
      <c r="P44" s="21">
        <v>12000</v>
      </c>
      <c r="Q44" s="44"/>
      <c r="R44" s="35"/>
    </row>
    <row r="45" spans="1:18">
      <c r="A45" s="112"/>
      <c r="B45" s="84"/>
      <c r="C45" s="169">
        <v>11</v>
      </c>
      <c r="D45" s="94" t="s">
        <v>140</v>
      </c>
      <c r="E45" s="141"/>
      <c r="F45" s="95"/>
      <c r="G45" s="145"/>
      <c r="H45" s="145"/>
      <c r="I45" s="95">
        <v>11</v>
      </c>
      <c r="J45" s="2777" t="str">
        <f>IF(OR(D25="X",D39="X",H37),"",IF((J42-J44)&lt;0,0,(J42-J44)))</f>
        <v/>
      </c>
      <c r="K45" s="684"/>
      <c r="L45" s="1066"/>
      <c r="M45" s="89"/>
      <c r="N45" s="44"/>
      <c r="O45" s="44"/>
      <c r="P45" s="21">
        <v>9000</v>
      </c>
      <c r="Q45" s="44"/>
      <c r="R45" s="35"/>
    </row>
    <row r="46" spans="1:18">
      <c r="A46" s="112"/>
      <c r="B46" s="84"/>
      <c r="C46" s="169">
        <v>12</v>
      </c>
      <c r="D46" s="94" t="s">
        <v>289</v>
      </c>
      <c r="E46" s="141"/>
      <c r="F46" s="95"/>
      <c r="G46" s="145"/>
      <c r="H46" s="145"/>
      <c r="I46" s="95">
        <v>12</v>
      </c>
      <c r="J46" s="2777" t="str">
        <f>IF(OR(D25="X",D39="X",H37),"",MIN(J42,J44))</f>
        <v/>
      </c>
      <c r="K46" s="684"/>
      <c r="L46" s="1066"/>
      <c r="M46" s="89"/>
      <c r="N46" s="44"/>
      <c r="O46" s="44"/>
      <c r="P46" s="44"/>
      <c r="Q46" s="44"/>
      <c r="R46" s="35"/>
    </row>
    <row r="47" spans="1:18">
      <c r="A47" s="112"/>
      <c r="B47" s="84"/>
      <c r="C47" s="169">
        <v>13</v>
      </c>
      <c r="D47" s="94" t="s">
        <v>533</v>
      </c>
      <c r="E47" s="141"/>
      <c r="F47" s="95"/>
      <c r="G47" s="145"/>
      <c r="H47" s="145"/>
      <c r="I47" s="95">
        <v>13</v>
      </c>
      <c r="J47" s="2777" t="str">
        <f>IF(OR(D25="X",D39="X",H37),"",0.5*J46)</f>
        <v/>
      </c>
      <c r="K47" s="684"/>
      <c r="L47" s="1066"/>
      <c r="M47" s="89"/>
      <c r="N47" s="44"/>
      <c r="O47" s="44"/>
      <c r="P47" s="44"/>
      <c r="Q47" s="44"/>
      <c r="R47" s="35"/>
    </row>
    <row r="48" spans="1:18">
      <c r="A48" s="112"/>
      <c r="B48" s="84"/>
      <c r="C48" s="169">
        <v>14</v>
      </c>
      <c r="D48" s="94" t="s">
        <v>534</v>
      </c>
      <c r="E48" s="141"/>
      <c r="F48" s="95"/>
      <c r="G48" s="145"/>
      <c r="H48" s="145"/>
      <c r="I48" s="95">
        <v>14</v>
      </c>
      <c r="J48" s="2777" t="str">
        <f>IF(OR(D25="X",D39="X",H37),"",MIN(J16,J47))</f>
        <v/>
      </c>
      <c r="K48" s="684"/>
      <c r="L48" s="1066"/>
      <c r="M48" s="89"/>
      <c r="N48" s="44"/>
      <c r="O48" s="44"/>
      <c r="P48" s="44"/>
      <c r="Q48" s="44"/>
      <c r="R48" s="35"/>
    </row>
    <row r="49" spans="1:18">
      <c r="A49" s="112"/>
      <c r="B49" s="84"/>
      <c r="C49" s="169">
        <v>15</v>
      </c>
      <c r="D49" s="94" t="str">
        <f>"Multiply line 11 by "&amp;TEXT(H35,"0%")&amp;" ("&amp;TEXT(H35,"0.00")&amp;").  If line 11 is zero, enter -0-."</f>
        <v>Multiply line 11 by 85% (0.85).  If line 11 is zero, enter -0-.</v>
      </c>
      <c r="E49" s="141"/>
      <c r="F49" s="95"/>
      <c r="G49" s="145"/>
      <c r="H49" s="145"/>
      <c r="I49" s="95">
        <v>15</v>
      </c>
      <c r="J49" s="2777" t="str">
        <f>IF(OR(D25="X",D39="X",H37),"",J45*H35)</f>
        <v/>
      </c>
      <c r="K49" s="684"/>
      <c r="L49" s="1066"/>
      <c r="M49" s="89"/>
      <c r="N49" s="44"/>
      <c r="O49" s="44"/>
      <c r="P49" s="44"/>
      <c r="Q49" s="44"/>
      <c r="R49" s="35"/>
    </row>
    <row r="50" spans="1:18">
      <c r="A50" s="112"/>
      <c r="B50" s="84"/>
      <c r="C50" s="169">
        <v>16</v>
      </c>
      <c r="D50" s="94" t="s">
        <v>73</v>
      </c>
      <c r="E50" s="141"/>
      <c r="F50" s="95"/>
      <c r="G50" s="145"/>
      <c r="H50" s="145"/>
      <c r="I50" s="95">
        <v>16</v>
      </c>
      <c r="J50" s="2777" t="str">
        <f>IF(OR(D25="X",D39="X"),"",IF(H37,H36,IF(D39="X","",SUM(J48,J49))))</f>
        <v/>
      </c>
      <c r="K50" s="684"/>
      <c r="L50" s="1066"/>
      <c r="M50" s="89"/>
      <c r="N50" s="44"/>
      <c r="O50" s="44"/>
      <c r="P50" s="44"/>
      <c r="Q50" s="44"/>
      <c r="R50" s="35"/>
    </row>
    <row r="51" spans="1:18">
      <c r="A51" s="112"/>
      <c r="B51" s="84"/>
      <c r="C51" s="169">
        <v>17</v>
      </c>
      <c r="D51" s="94" t="str">
        <f>"Multiply line 1 by "&amp;TEXT(H35,"0%")&amp;" ("&amp;TEXT(H35,"0.00")&amp;")."</f>
        <v>Multiply line 1 by 85% (0.85).</v>
      </c>
      <c r="E51" s="94"/>
      <c r="F51" s="95"/>
      <c r="G51" s="145"/>
      <c r="H51" s="145"/>
      <c r="I51" s="95">
        <v>17</v>
      </c>
      <c r="J51" s="2777" t="str">
        <f>IF(D25="X","",IF(AND(File_Marr_Sep&lt;&gt;"",O6=""),G15*H35,IF(D39="X","",G15*H35)))</f>
        <v/>
      </c>
      <c r="K51" s="684"/>
      <c r="L51" s="1066"/>
      <c r="M51" s="89"/>
      <c r="N51" s="44"/>
      <c r="O51" s="44"/>
      <c r="P51" s="44"/>
      <c r="Q51" s="44"/>
      <c r="R51" s="35"/>
    </row>
    <row r="52" spans="1:18">
      <c r="A52" s="112"/>
      <c r="B52" s="84"/>
      <c r="C52" s="169">
        <v>18</v>
      </c>
      <c r="D52" s="102" t="s">
        <v>321</v>
      </c>
      <c r="E52" s="141"/>
      <c r="F52" s="95"/>
      <c r="G52" s="145"/>
      <c r="H52" s="145"/>
      <c r="I52" s="95">
        <f>C52</f>
        <v>18</v>
      </c>
      <c r="J52" s="2777">
        <f>IF(P52&lt;&gt;"",P52,IF(LivedApart="?","Answer question.",IF(OR(D25="X",D39="X"),0,IF(H37,MIN(J50,J51),IF(D39="X",0,MIN(J50,J51))))))</f>
        <v>0</v>
      </c>
      <c r="K52" s="684"/>
      <c r="L52" s="1066"/>
      <c r="M52" s="89"/>
      <c r="N52" s="44"/>
      <c r="O52" s="44"/>
      <c r="P52" s="522"/>
      <c r="Q52" s="44"/>
      <c r="R52" s="35"/>
    </row>
    <row r="53" spans="1:18">
      <c r="A53" s="112"/>
      <c r="B53" s="84"/>
      <c r="C53" s="169"/>
      <c r="D53" s="147" t="s">
        <v>636</v>
      </c>
      <c r="E53" s="147"/>
      <c r="F53" s="95"/>
      <c r="G53" s="145"/>
      <c r="H53" s="145"/>
      <c r="I53" s="95"/>
      <c r="J53" s="145"/>
      <c r="K53" s="146"/>
      <c r="L53" s="1020"/>
      <c r="M53" s="89"/>
      <c r="N53" s="44"/>
      <c r="O53" s="44"/>
      <c r="P53" s="44"/>
      <c r="Q53" s="44"/>
      <c r="R53" s="35"/>
    </row>
    <row r="54" spans="1:18" ht="7.5" customHeight="1">
      <c r="A54" s="112"/>
      <c r="B54" s="84"/>
      <c r="C54" s="169"/>
      <c r="D54" s="160"/>
      <c r="E54" s="161"/>
      <c r="F54" s="95"/>
      <c r="G54" s="145"/>
      <c r="H54" s="145"/>
      <c r="I54" s="95"/>
      <c r="J54" s="145"/>
      <c r="K54" s="146"/>
      <c r="L54" s="1020"/>
      <c r="M54" s="89"/>
      <c r="N54" s="44"/>
      <c r="O54" s="44"/>
      <c r="P54" s="44"/>
      <c r="Q54" s="44"/>
      <c r="R54" s="35"/>
    </row>
    <row r="55" spans="1:18" ht="12.75" customHeight="1">
      <c r="A55" s="112"/>
      <c r="B55" s="84"/>
      <c r="C55" s="169"/>
      <c r="D55" s="792"/>
      <c r="E55" s="161" t="str">
        <f>"   If any of your benefits are taxable for "&amp;TaxYear&amp;" and they include a lump-sum benefit payment that was for an earlier"</f>
        <v xml:space="preserve">   If any of your benefits are taxable for 2016 and they include a lump-sum benefit payment that was for an earlier</v>
      </c>
      <c r="F55" s="95"/>
      <c r="G55" s="145"/>
      <c r="H55" s="145"/>
      <c r="I55" s="95"/>
      <c r="J55" s="145"/>
      <c r="K55" s="146"/>
      <c r="L55" s="1020"/>
      <c r="M55" s="89"/>
      <c r="N55" s="44"/>
      <c r="O55" s="44"/>
      <c r="P55" s="44"/>
      <c r="Q55" s="44"/>
      <c r="R55" s="35"/>
    </row>
    <row r="56" spans="1:18">
      <c r="A56" s="112"/>
      <c r="B56" s="84"/>
      <c r="C56" s="169"/>
      <c r="D56" s="160"/>
      <c r="E56" s="793" t="s">
        <v>2108</v>
      </c>
      <c r="F56" s="95"/>
      <c r="G56" s="145"/>
      <c r="H56" s="145"/>
      <c r="I56" s="95"/>
      <c r="J56" s="145"/>
      <c r="K56" s="146"/>
      <c r="L56" s="1020"/>
      <c r="M56" s="89"/>
      <c r="N56" s="44"/>
      <c r="O56" s="44"/>
      <c r="P56" s="44"/>
      <c r="Q56" s="44"/>
      <c r="R56" s="35"/>
    </row>
    <row r="57" spans="1:18" ht="13.5" thickBot="1">
      <c r="A57" s="112"/>
      <c r="B57" s="126"/>
      <c r="C57" s="52"/>
      <c r="D57" s="52"/>
      <c r="E57" s="52"/>
      <c r="F57" s="52"/>
      <c r="G57" s="52"/>
      <c r="H57" s="52"/>
      <c r="I57" s="52"/>
      <c r="J57" s="52"/>
      <c r="K57" s="136"/>
      <c r="L57" s="112"/>
      <c r="M57" s="89"/>
      <c r="N57" s="44"/>
      <c r="O57" s="44"/>
      <c r="P57" s="44"/>
      <c r="Q57" s="44"/>
      <c r="R57" s="35"/>
    </row>
    <row r="58" spans="1:18">
      <c r="A58" s="112"/>
      <c r="B58" s="112"/>
      <c r="C58" s="112"/>
      <c r="D58" s="112"/>
      <c r="E58" s="112"/>
      <c r="F58" s="112"/>
      <c r="G58" s="112"/>
      <c r="H58" s="112"/>
      <c r="I58" s="112"/>
      <c r="J58" s="112"/>
      <c r="K58" s="112"/>
      <c r="L58" s="112"/>
      <c r="M58" s="89"/>
      <c r="N58" s="44"/>
      <c r="O58" s="44"/>
      <c r="P58" s="44"/>
      <c r="Q58" s="44"/>
      <c r="R58" s="35"/>
    </row>
    <row r="59" spans="1:18" ht="11.25" customHeight="1">
      <c r="A59" s="89"/>
      <c r="B59" s="44"/>
      <c r="C59" s="44"/>
      <c r="D59" s="44"/>
      <c r="E59" s="44"/>
      <c r="F59" s="35"/>
      <c r="G59" s="89"/>
      <c r="H59" s="44"/>
      <c r="I59" s="44"/>
      <c r="J59" s="44"/>
      <c r="K59" s="44"/>
      <c r="L59" s="35"/>
    </row>
  </sheetData>
  <sheetProtection password="F07E" sheet="1" objects="1" scenarios="1"/>
  <mergeCells count="1">
    <mergeCell ref="G15:H15"/>
  </mergeCells>
  <phoneticPr fontId="12" type="noConversion"/>
  <conditionalFormatting sqref="O6">
    <cfRule type="expression" dxfId="1705" priority="12" stopIfTrue="1">
      <formula>IF(File_Marr_Sep&lt;&gt;"",1,0)</formula>
    </cfRule>
  </conditionalFormatting>
  <conditionalFormatting sqref="G15:H15">
    <cfRule type="expression" dxfId="1704" priority="11">
      <formula>IF(NoColor,1,0)</formula>
    </cfRule>
  </conditionalFormatting>
  <conditionalFormatting sqref="J16">
    <cfRule type="expression" dxfId="1703" priority="10">
      <formula>IF(NoColor,1,0)</formula>
    </cfRule>
  </conditionalFormatting>
  <conditionalFormatting sqref="J18:J20">
    <cfRule type="expression" dxfId="1702" priority="9">
      <formula>IF(NoColor,1,0)</formula>
    </cfRule>
  </conditionalFormatting>
  <conditionalFormatting sqref="J22">
    <cfRule type="expression" dxfId="1701" priority="8">
      <formula>IF(NoColor,1,0)</formula>
    </cfRule>
  </conditionalFormatting>
  <conditionalFormatting sqref="J27">
    <cfRule type="expression" dxfId="1700" priority="7">
      <formula>IF(NoColor,1,0)</formula>
    </cfRule>
  </conditionalFormatting>
  <conditionalFormatting sqref="J33">
    <cfRule type="expression" dxfId="1699" priority="3">
      <formula>IF(LivedApart="?",1,0)</formula>
    </cfRule>
    <cfRule type="expression" dxfId="1698" priority="6">
      <formula>IF(NoColor,1,0)</formula>
    </cfRule>
  </conditionalFormatting>
  <conditionalFormatting sqref="J42">
    <cfRule type="expression" dxfId="1697" priority="5">
      <formula>IF(NoColor,1,0)</formula>
    </cfRule>
  </conditionalFormatting>
  <conditionalFormatting sqref="J44:J52">
    <cfRule type="expression" dxfId="1696" priority="4">
      <formula>IF(NoColor,1,0)</formula>
    </cfRule>
  </conditionalFormatting>
  <conditionalFormatting sqref="J52">
    <cfRule type="expression" dxfId="1695" priority="2">
      <formula>IF(LivedApart="?",1,0)</formula>
    </cfRule>
  </conditionalFormatting>
  <conditionalFormatting sqref="O8">
    <cfRule type="expression" dxfId="1694" priority="1">
      <formula>IF(File_Marr_Sep&lt;&gt;"",1,0)</formula>
    </cfRule>
  </conditionalFormatting>
  <printOptions horizontalCentered="1"/>
  <pageMargins left="0.2" right="0.2" top="0.5" bottom="0.25" header="0" footer="0"/>
  <pageSetup scale="94"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H109"/>
  <sheetViews>
    <sheetView zoomScaleNormal="100" workbookViewId="0">
      <selection activeCell="AC57" sqref="AC57"/>
    </sheetView>
  </sheetViews>
  <sheetFormatPr defaultRowHeight="12.75"/>
  <cols>
    <col min="1" max="1" width="1.7109375" customWidth="1"/>
    <col min="2" max="2" width="3.5703125" customWidth="1"/>
    <col min="3" max="3" width="2.7109375" customWidth="1"/>
    <col min="4" max="4" width="5.28515625" customWidth="1"/>
    <col min="5" max="5" width="7" customWidth="1"/>
    <col min="6" max="6" width="6.28515625" customWidth="1"/>
    <col min="7" max="7" width="40.28515625" customWidth="1"/>
    <col min="8" max="8" width="9" customWidth="1"/>
    <col min="9" max="9" width="7.85546875" customWidth="1"/>
    <col min="10" max="10" width="9.28515625" customWidth="1"/>
    <col min="11" max="11" width="3.28515625" customWidth="1"/>
    <col min="12" max="12" width="8" customWidth="1"/>
    <col min="13" max="13" width="3.28515625" customWidth="1"/>
    <col min="14" max="14" width="4.5703125" customWidth="1"/>
    <col min="15" max="15" width="1.5703125" customWidth="1"/>
    <col min="16" max="16" width="3.28515625" customWidth="1"/>
    <col min="17" max="17" width="6.28515625" customWidth="1"/>
    <col min="18" max="18" width="3" customWidth="1"/>
    <col min="19" max="19" width="4.42578125" customWidth="1"/>
    <col min="20" max="20" width="2" customWidth="1"/>
    <col min="21" max="21" width="1.85546875" customWidth="1"/>
    <col min="22" max="22" width="1.42578125" customWidth="1"/>
    <col min="23" max="23" width="3.140625" customWidth="1"/>
    <col min="24" max="24" width="12.85546875" customWidth="1"/>
    <col min="25" max="25" width="3.85546875" customWidth="1"/>
    <col min="26" max="26" width="2.140625" customWidth="1"/>
    <col min="27" max="27" width="13.28515625" customWidth="1"/>
    <col min="28" max="28" width="4.28515625" customWidth="1"/>
  </cols>
  <sheetData>
    <row r="1" spans="1:31" ht="9.75" customHeight="1">
      <c r="A1" s="1070"/>
      <c r="B1" s="1070"/>
      <c r="C1" s="1071"/>
      <c r="D1" s="1071"/>
      <c r="E1" s="1072"/>
      <c r="F1" s="1072"/>
      <c r="G1" s="1072"/>
      <c r="H1" s="1070"/>
      <c r="I1" s="1073"/>
      <c r="J1" s="1073"/>
      <c r="K1" s="1070"/>
      <c r="L1" s="1074"/>
      <c r="M1" s="1074"/>
      <c r="N1" s="1074"/>
      <c r="O1" s="1074"/>
      <c r="P1" s="1074"/>
      <c r="Q1" s="1074"/>
      <c r="R1" s="1074"/>
      <c r="S1" s="1074"/>
      <c r="T1" s="1074"/>
      <c r="U1" s="1074"/>
      <c r="V1" s="37"/>
      <c r="W1" s="37"/>
      <c r="X1" s="1337"/>
      <c r="Y1" s="389"/>
      <c r="Z1" s="389"/>
      <c r="AA1" s="389"/>
      <c r="AB1" s="389"/>
      <c r="AC1" s="389"/>
      <c r="AD1" s="389"/>
      <c r="AE1" s="389"/>
    </row>
    <row r="2" spans="1:31" s="3" customFormat="1" ht="35.25" customHeight="1">
      <c r="A2" s="936"/>
      <c r="B2" s="2553" t="s">
        <v>516</v>
      </c>
      <c r="C2" s="39"/>
      <c r="D2" s="39"/>
      <c r="E2" s="39"/>
      <c r="F2" s="39"/>
      <c r="G2" s="39"/>
      <c r="H2" s="39"/>
      <c r="I2" s="39"/>
      <c r="J2" s="39"/>
      <c r="K2" s="39"/>
      <c r="L2" s="39"/>
      <c r="M2" s="39"/>
      <c r="N2" s="39"/>
      <c r="O2" s="39"/>
      <c r="P2" s="2554" t="s">
        <v>290</v>
      </c>
      <c r="Q2" s="1290"/>
      <c r="R2" s="1290"/>
      <c r="S2" s="1290"/>
      <c r="T2" s="1290"/>
      <c r="U2" s="1291"/>
      <c r="V2" s="1292"/>
      <c r="W2" s="1292"/>
      <c r="X2" s="1338"/>
      <c r="Y2" s="366"/>
      <c r="Z2" s="366"/>
      <c r="AA2" s="366"/>
      <c r="AB2" s="366"/>
      <c r="AC2" s="366"/>
      <c r="AD2" s="366"/>
      <c r="AE2" s="366"/>
    </row>
    <row r="3" spans="1:31" ht="18" customHeight="1">
      <c r="A3" s="1070"/>
      <c r="B3" s="1285"/>
      <c r="C3" s="1286"/>
      <c r="D3" s="1286"/>
      <c r="E3" s="1520" t="str">
        <f>"If you were age 70½ or older at the end of "&amp;TaxYear&amp;", you cannot deduct any contributions made to your traditional IRA or treat them"</f>
        <v>If you were age 70½ or older at the end of 2016, you cannot deduct any contributions made to your traditional IRA or treat them</v>
      </c>
      <c r="F3" s="1293"/>
      <c r="G3" s="39"/>
      <c r="H3" s="1285"/>
      <c r="I3" s="1287"/>
      <c r="J3" s="1287"/>
      <c r="K3" s="1285"/>
      <c r="L3" s="1288"/>
      <c r="M3" s="1288"/>
      <c r="N3" s="1288"/>
      <c r="O3" s="1288"/>
      <c r="P3" s="1288"/>
      <c r="Q3" s="1288"/>
      <c r="R3" s="1288"/>
      <c r="S3" s="1288"/>
      <c r="T3" s="1288"/>
      <c r="U3" s="1074"/>
      <c r="V3" s="37"/>
      <c r="W3" s="37"/>
      <c r="X3" s="1337"/>
      <c r="Y3" s="389"/>
      <c r="Z3" s="389"/>
      <c r="AA3" s="389"/>
      <c r="AB3" s="389"/>
      <c r="AC3" s="389"/>
      <c r="AD3" s="389"/>
      <c r="AE3" s="389"/>
    </row>
    <row r="4" spans="1:31" ht="15" customHeight="1">
      <c r="A4" s="1070"/>
      <c r="B4" s="1285"/>
      <c r="C4" s="1286"/>
      <c r="D4" s="1286"/>
      <c r="E4" s="3046" t="s">
        <v>2104</v>
      </c>
      <c r="F4" s="1293"/>
      <c r="G4" s="1289"/>
      <c r="H4" s="1285"/>
      <c r="I4" s="1287"/>
      <c r="J4" s="1287"/>
      <c r="K4" s="1285"/>
      <c r="L4" s="1288"/>
      <c r="M4" s="1520" t="str">
        <f>TEXT(TaxYear,"0000")&amp;". If you are"</f>
        <v>2016. If you are</v>
      </c>
      <c r="N4" s="1288"/>
      <c r="O4" s="1288"/>
      <c r="P4" s="1288"/>
      <c r="Q4" s="1288"/>
      <c r="R4" s="1288"/>
      <c r="S4" s="1288"/>
      <c r="T4" s="1288"/>
      <c r="U4" s="1074"/>
      <c r="V4" s="37"/>
      <c r="W4" s="37"/>
      <c r="X4" s="1337"/>
      <c r="Y4" s="389"/>
      <c r="Z4" s="389"/>
      <c r="AA4" s="389"/>
      <c r="AB4" s="389"/>
      <c r="AC4" s="389"/>
      <c r="AD4" s="389"/>
      <c r="AE4" s="389"/>
    </row>
    <row r="5" spans="1:31" ht="15" customHeight="1">
      <c r="A5" s="1070"/>
      <c r="B5" s="1285"/>
      <c r="C5" s="1286"/>
      <c r="D5" s="1286"/>
      <c r="E5" s="1520" t="str">
        <f>"married filing jointly and only one spouse was under age 70½ at the end of "&amp;TaxYear&amp;", complete this worksheet only for that spouse."</f>
        <v>married filing jointly and only one spouse was under age 70½ at the end of 2016, complete this worksheet only for that spouse.</v>
      </c>
      <c r="F5" s="1293"/>
      <c r="G5" s="1289"/>
      <c r="H5" s="1285"/>
      <c r="I5" s="1287"/>
      <c r="J5" s="1287"/>
      <c r="K5" s="1285"/>
      <c r="L5" s="1288"/>
      <c r="M5" s="1288"/>
      <c r="N5" s="1288"/>
      <c r="O5" s="1288"/>
      <c r="P5" s="1288"/>
      <c r="Q5" s="1288"/>
      <c r="R5" s="1288"/>
      <c r="S5" s="1288"/>
      <c r="T5" s="1288"/>
      <c r="U5" s="1074"/>
      <c r="V5" s="37"/>
      <c r="W5" s="37"/>
      <c r="X5" s="1337"/>
      <c r="Y5" s="389"/>
      <c r="Z5" s="389"/>
      <c r="AA5" s="389"/>
      <c r="AB5" s="389"/>
      <c r="AC5" s="389"/>
      <c r="AD5" s="389"/>
      <c r="AE5" s="389"/>
    </row>
    <row r="6" spans="1:31" ht="12" customHeight="1" thickBot="1">
      <c r="A6" s="857"/>
      <c r="B6" s="394"/>
      <c r="C6" s="38"/>
      <c r="D6" s="38"/>
      <c r="E6" s="38"/>
      <c r="F6" s="38"/>
      <c r="G6" s="38"/>
      <c r="H6" s="38"/>
      <c r="I6" s="38"/>
      <c r="J6" s="38"/>
      <c r="K6" s="38"/>
      <c r="L6" s="38"/>
      <c r="M6" s="38"/>
      <c r="N6" s="38"/>
      <c r="O6" s="38"/>
      <c r="P6" s="1057"/>
      <c r="Q6" s="1057"/>
      <c r="R6" s="1057"/>
      <c r="S6" s="1057"/>
      <c r="T6" s="1057"/>
      <c r="U6" s="1075"/>
      <c r="V6" s="40"/>
      <c r="W6" s="40"/>
      <c r="X6" s="1339"/>
      <c r="Y6" s="389"/>
      <c r="Z6" s="389"/>
      <c r="AA6" s="389"/>
      <c r="AB6" s="389"/>
      <c r="AC6" s="389"/>
      <c r="AD6" s="389"/>
      <c r="AE6" s="389"/>
    </row>
    <row r="7" spans="1:31" ht="15.75" customHeight="1">
      <c r="A7" s="857"/>
      <c r="B7" s="697" t="s">
        <v>348</v>
      </c>
      <c r="C7" s="1209"/>
      <c r="D7" s="1209"/>
      <c r="E7" s="1209"/>
      <c r="F7" s="1378" t="s">
        <v>72</v>
      </c>
      <c r="G7" s="1521" t="s">
        <v>2105</v>
      </c>
      <c r="H7" s="1209"/>
      <c r="I7" s="1209"/>
      <c r="J7" s="39"/>
      <c r="K7" s="39"/>
      <c r="L7" s="39"/>
      <c r="M7" s="39"/>
      <c r="N7" s="39"/>
      <c r="O7" s="39"/>
      <c r="P7" s="39"/>
      <c r="Q7" s="39"/>
      <c r="R7" s="39"/>
      <c r="S7" s="39"/>
      <c r="T7" s="391"/>
      <c r="U7" s="1077"/>
      <c r="V7" s="40"/>
      <c r="W7" s="40"/>
      <c r="X7" s="1339"/>
      <c r="Y7" s="389"/>
      <c r="Z7" s="389"/>
      <c r="AA7" s="389"/>
      <c r="AB7" s="389"/>
      <c r="AC7" s="389"/>
      <c r="AD7" s="389"/>
      <c r="AE7" s="389"/>
    </row>
    <row r="8" spans="1:31" ht="12.75" customHeight="1">
      <c r="A8" s="857"/>
      <c r="B8" s="698"/>
      <c r="C8" s="39"/>
      <c r="D8" s="39"/>
      <c r="E8" s="39"/>
      <c r="F8" s="1380" t="s">
        <v>72</v>
      </c>
      <c r="G8" s="1711" t="s">
        <v>1182</v>
      </c>
      <c r="H8" s="39"/>
      <c r="I8" s="39"/>
      <c r="J8" s="1207"/>
      <c r="K8" s="39"/>
      <c r="L8" s="39"/>
      <c r="M8" s="39"/>
      <c r="N8" s="39"/>
      <c r="O8" s="39"/>
      <c r="P8" s="39"/>
      <c r="Q8" s="39"/>
      <c r="R8" s="39"/>
      <c r="S8" s="39"/>
      <c r="T8" s="391"/>
      <c r="U8" s="1077"/>
      <c r="V8" s="40"/>
      <c r="W8" s="40"/>
      <c r="X8" s="1339"/>
      <c r="Y8" s="389"/>
      <c r="Z8" s="389"/>
      <c r="AA8" s="389"/>
      <c r="AB8" s="389"/>
      <c r="AC8" s="389"/>
      <c r="AD8" s="389"/>
      <c r="AE8" s="389"/>
    </row>
    <row r="9" spans="1:31" ht="12.75" customHeight="1">
      <c r="A9" s="857"/>
      <c r="B9" s="698"/>
      <c r="C9" s="39"/>
      <c r="D9" s="39"/>
      <c r="E9" s="39"/>
      <c r="F9" s="1380" t="s">
        <v>72</v>
      </c>
      <c r="G9" s="1379" t="str">
        <f>"If you are married filing separately and you lived apart from your spouse for all of "&amp;TaxYear&amp;", enter “D” on the dotted"</f>
        <v>If you are married filing separately and you lived apart from your spouse for all of 2016, enter “D” on the dotted</v>
      </c>
      <c r="H9" s="39"/>
      <c r="I9" s="39"/>
      <c r="J9" s="1207"/>
      <c r="K9" s="39"/>
      <c r="L9" s="39"/>
      <c r="M9" s="39"/>
      <c r="N9" s="39"/>
      <c r="O9" s="39"/>
      <c r="P9" s="39"/>
      <c r="Q9" s="39"/>
      <c r="R9" s="39"/>
      <c r="S9" s="39"/>
      <c r="T9" s="391"/>
      <c r="U9" s="1077"/>
      <c r="V9" s="40"/>
      <c r="W9" s="40"/>
      <c r="X9" s="1339"/>
      <c r="Y9" s="389"/>
      <c r="Z9" s="389"/>
      <c r="AA9" s="389"/>
      <c r="AB9" s="389"/>
      <c r="AC9" s="389"/>
      <c r="AD9" s="389"/>
      <c r="AE9" s="389"/>
    </row>
    <row r="10" spans="1:31" ht="16.5" customHeight="1">
      <c r="A10" s="933"/>
      <c r="B10" s="699"/>
      <c r="C10" s="162"/>
      <c r="D10" s="162"/>
      <c r="E10" s="162"/>
      <c r="F10" s="162"/>
      <c r="G10" s="1208" t="s">
        <v>731</v>
      </c>
      <c r="H10" s="163"/>
      <c r="I10" s="163"/>
      <c r="J10" s="163"/>
      <c r="K10" s="163"/>
      <c r="L10" s="163"/>
      <c r="M10" s="163"/>
      <c r="N10" s="163"/>
      <c r="O10" s="163"/>
      <c r="P10" s="163"/>
      <c r="Q10" s="163"/>
      <c r="R10" s="163"/>
      <c r="S10" s="163"/>
      <c r="T10" s="390"/>
      <c r="U10" s="1076"/>
      <c r="V10" s="40"/>
      <c r="W10" s="40"/>
      <c r="X10" s="1339"/>
      <c r="Y10" s="389"/>
      <c r="Z10" s="389"/>
      <c r="AA10" s="389"/>
      <c r="AB10" s="389"/>
      <c r="AC10" s="389"/>
      <c r="AD10" s="389"/>
      <c r="AE10" s="389"/>
    </row>
    <row r="11" spans="1:31" s="907" customFormat="1" ht="21.75" customHeight="1">
      <c r="A11" s="933"/>
      <c r="B11" s="1082"/>
      <c r="C11" s="494"/>
      <c r="D11" s="494"/>
      <c r="E11" s="494"/>
      <c r="F11" s="494"/>
      <c r="G11" s="495"/>
      <c r="H11" s="493"/>
      <c r="I11" s="493"/>
      <c r="J11" s="1085"/>
      <c r="K11" s="1083"/>
      <c r="L11" s="1086" t="s">
        <v>395</v>
      </c>
      <c r="M11" s="1083"/>
      <c r="N11" s="1087" t="s">
        <v>41</v>
      </c>
      <c r="O11" s="1087"/>
      <c r="P11" s="1083"/>
      <c r="Q11" s="1083"/>
      <c r="R11" s="1083"/>
      <c r="S11" s="1083"/>
      <c r="T11" s="491"/>
      <c r="U11" s="1076"/>
      <c r="V11" s="1088"/>
      <c r="W11" s="1088"/>
      <c r="X11" s="1340"/>
      <c r="Y11" s="1089"/>
      <c r="Z11" s="1089"/>
      <c r="AA11" s="1089"/>
      <c r="AB11" s="1089"/>
      <c r="AC11" s="1089"/>
      <c r="AD11" s="1089"/>
      <c r="AE11" s="1089"/>
    </row>
    <row r="12" spans="1:31" ht="13.5" thickBot="1">
      <c r="A12" s="857"/>
      <c r="B12" s="693" t="s">
        <v>18</v>
      </c>
      <c r="C12" s="103" t="s">
        <v>3401</v>
      </c>
      <c r="D12" s="94"/>
      <c r="E12" s="89"/>
      <c r="F12" s="89"/>
      <c r="G12" s="89"/>
      <c r="H12" s="95"/>
      <c r="I12" s="104"/>
      <c r="J12" s="104"/>
      <c r="K12" s="104"/>
      <c r="L12" s="104"/>
      <c r="M12" s="104"/>
      <c r="N12" s="100"/>
      <c r="O12" s="100"/>
      <c r="P12" s="1081"/>
      <c r="Q12" s="89"/>
      <c r="R12" s="89"/>
      <c r="S12" s="89"/>
      <c r="T12" s="97"/>
      <c r="U12" s="1016"/>
      <c r="V12" s="40"/>
      <c r="W12" s="40"/>
      <c r="X12" s="1184">
        <v>5500</v>
      </c>
      <c r="Y12" s="389"/>
      <c r="Z12" s="389"/>
      <c r="AA12" s="389"/>
      <c r="AB12" s="389"/>
      <c r="AC12" s="389"/>
      <c r="AD12" s="389"/>
      <c r="AE12" s="389"/>
    </row>
    <row r="13" spans="1:31" ht="13.5" thickBot="1">
      <c r="A13" s="857"/>
      <c r="B13" s="693"/>
      <c r="C13" s="103" t="s">
        <v>2106</v>
      </c>
      <c r="D13" s="94"/>
      <c r="E13" s="89"/>
      <c r="F13" s="89"/>
      <c r="G13" s="89"/>
      <c r="H13" s="95"/>
      <c r="I13" s="101" t="s">
        <v>2107</v>
      </c>
      <c r="J13" s="104" t="s">
        <v>19</v>
      </c>
      <c r="K13" s="2779"/>
      <c r="L13" s="100" t="s">
        <v>436</v>
      </c>
      <c r="M13" s="2778" t="str">
        <f>IF(OR(Yourself="",K13&lt;&gt;""),"","X")</f>
        <v/>
      </c>
      <c r="N13" s="100" t="s">
        <v>437</v>
      </c>
      <c r="O13" s="100"/>
      <c r="P13" s="1081"/>
      <c r="Q13" s="89"/>
      <c r="R13" s="89"/>
      <c r="S13" s="89"/>
      <c r="T13" s="97"/>
      <c r="U13" s="1016"/>
      <c r="V13" s="40"/>
      <c r="W13" s="40"/>
      <c r="X13" s="1184"/>
      <c r="Y13" s="389"/>
      <c r="Z13" s="389"/>
      <c r="AA13" s="389"/>
      <c r="AB13" s="389"/>
      <c r="AC13" s="389"/>
      <c r="AD13" s="389"/>
      <c r="AE13" s="389"/>
    </row>
    <row r="14" spans="1:31" ht="13.5" thickBot="1">
      <c r="A14" s="857"/>
      <c r="B14" s="693" t="s">
        <v>21</v>
      </c>
      <c r="C14" s="94" t="s">
        <v>341</v>
      </c>
      <c r="D14" s="94"/>
      <c r="E14" s="89"/>
      <c r="F14" s="89"/>
      <c r="G14" s="89"/>
      <c r="H14" s="95"/>
      <c r="I14" s="89"/>
      <c r="J14" s="104"/>
      <c r="K14" s="101"/>
      <c r="L14" s="101"/>
      <c r="M14" s="1022" t="s">
        <v>1183</v>
      </c>
      <c r="N14" s="101"/>
      <c r="O14" s="101" t="s">
        <v>20</v>
      </c>
      <c r="P14" s="2779"/>
      <c r="Q14" s="100" t="s">
        <v>436</v>
      </c>
      <c r="R14" s="2778" t="str">
        <f>IF(OR(Spouse="",P14&lt;&gt;""),"","X")</f>
        <v/>
      </c>
      <c r="S14" s="100" t="s">
        <v>437</v>
      </c>
      <c r="T14" s="97"/>
      <c r="U14" s="1016"/>
      <c r="V14" s="40"/>
      <c r="W14" s="40"/>
      <c r="X14" s="1184">
        <v>6500</v>
      </c>
      <c r="Y14" s="389"/>
      <c r="Z14" s="389"/>
      <c r="AA14" s="389"/>
      <c r="AB14" s="389"/>
      <c r="AC14" s="389"/>
      <c r="AD14" s="389"/>
      <c r="AE14" s="389"/>
    </row>
    <row r="15" spans="1:31" ht="18.75" customHeight="1">
      <c r="A15" s="857"/>
      <c r="B15" s="693"/>
      <c r="C15" s="98" t="s">
        <v>4</v>
      </c>
      <c r="D15" s="98"/>
      <c r="E15" s="89"/>
      <c r="F15" s="89"/>
      <c r="G15" s="89"/>
      <c r="H15" s="95"/>
      <c r="I15" s="101"/>
      <c r="J15" s="101"/>
      <c r="K15" s="101"/>
      <c r="L15" s="101"/>
      <c r="M15" s="100"/>
      <c r="N15" s="166"/>
      <c r="O15" s="166"/>
      <c r="P15" s="1084"/>
      <c r="Q15" s="100"/>
      <c r="R15" s="165"/>
      <c r="S15" s="100"/>
      <c r="T15" s="167"/>
      <c r="U15" s="1078"/>
      <c r="V15" s="40"/>
      <c r="W15" s="40"/>
      <c r="X15" s="1184"/>
      <c r="Y15" s="389"/>
      <c r="Z15" s="389"/>
      <c r="AA15" s="389"/>
      <c r="AB15" s="389"/>
      <c r="AC15" s="389"/>
      <c r="AD15" s="389"/>
      <c r="AE15" s="389"/>
    </row>
    <row r="16" spans="1:31">
      <c r="A16" s="857"/>
      <c r="B16" s="693"/>
      <c r="C16" s="168" t="s">
        <v>1184</v>
      </c>
      <c r="D16" s="168"/>
      <c r="E16" s="89"/>
      <c r="F16" s="89"/>
      <c r="G16" s="89"/>
      <c r="H16" s="95"/>
      <c r="I16" s="89"/>
      <c r="J16" s="89"/>
      <c r="K16" s="166"/>
      <c r="L16" s="100"/>
      <c r="M16" s="100"/>
      <c r="N16" s="100"/>
      <c r="O16" s="100"/>
      <c r="P16" s="100"/>
      <c r="Q16" s="100"/>
      <c r="R16" s="100"/>
      <c r="S16" s="3690" t="str">
        <f>IF(AND(K13="",P14=""),"",IF(OR(Q18,(AND(BadBirthdate_Yours,BadBirthdate_Spouse))),"Check birthdate entries on '1040' sheet.",IF(AND(File_Marr_Joint&lt;&gt;"",BadBirthdate_Spouse),"Check birthdate entry for spouse on '1040' sheet.",IF(BadBirthdate_Yours,"Check your birthdate entry on '1040' sheet.",""))))</f>
        <v/>
      </c>
      <c r="T16" s="167"/>
      <c r="U16" s="1078"/>
      <c r="V16" s="40"/>
      <c r="W16" s="1522" t="str">
        <f>IF(OR(AND(File_Marr_Joint="",DependentYOU="",K13=""),AND(File_Marr_Joint&lt;&gt;"",DependentYOU="",DependentSPOUSE="",K13="",P14="")),"No","Yes")</f>
        <v>No</v>
      </c>
      <c r="X16" s="1184"/>
      <c r="Y16" s="389"/>
      <c r="Z16" s="389"/>
      <c r="AA16" s="389"/>
      <c r="AB16" s="389"/>
      <c r="AC16" s="389"/>
      <c r="AD16" s="389"/>
      <c r="AE16" s="389"/>
    </row>
    <row r="17" spans="1:31">
      <c r="A17" s="857"/>
      <c r="B17" s="693"/>
      <c r="C17" s="168" t="s">
        <v>1185</v>
      </c>
      <c r="D17" s="168"/>
      <c r="E17" s="89"/>
      <c r="F17" s="89"/>
      <c r="G17" s="89"/>
      <c r="H17" s="95"/>
      <c r="I17" s="89"/>
      <c r="J17" s="89"/>
      <c r="K17" s="166"/>
      <c r="L17" s="100"/>
      <c r="M17" s="100"/>
      <c r="N17" s="100"/>
      <c r="O17" s="100"/>
      <c r="P17" s="100"/>
      <c r="Q17" s="100"/>
      <c r="R17" s="100"/>
      <c r="S17" s="100"/>
      <c r="T17" s="167"/>
      <c r="U17" s="1078"/>
      <c r="V17" s="40"/>
      <c r="W17" s="802"/>
      <c r="X17" s="1184"/>
      <c r="Y17" s="389"/>
      <c r="Z17" s="389"/>
      <c r="AA17" s="389"/>
      <c r="AB17" s="389"/>
      <c r="AC17" s="389"/>
      <c r="AD17" s="389"/>
      <c r="AE17" s="389"/>
    </row>
    <row r="18" spans="1:31">
      <c r="A18" s="857"/>
      <c r="B18" s="693"/>
      <c r="C18" s="1295" t="s">
        <v>675</v>
      </c>
      <c r="D18" s="89" t="str">
        <f>TEXT(X12,"$0,000")&amp;", if under age 50 at the end of "&amp;TaxYear&amp;"."</f>
        <v>$5,500, if under age 50 at the end of 2016.</v>
      </c>
      <c r="E18" s="89"/>
      <c r="F18" s="89"/>
      <c r="G18" s="89"/>
      <c r="H18" s="94"/>
      <c r="I18" s="94"/>
      <c r="J18" s="94"/>
      <c r="K18" s="95"/>
      <c r="L18" s="89"/>
      <c r="M18" s="89"/>
      <c r="N18" s="89"/>
      <c r="O18" s="89"/>
      <c r="P18" s="725"/>
      <c r="Q18" s="4737" t="b">
        <f>IF(AND(File_Marr_Joint&lt;&gt;"",OR('1040'!AS42,'1040'!AS57)),TRUE,IF('1040'!AS42,TRUE,FALSE))</f>
        <v>1</v>
      </c>
      <c r="R18" s="4963"/>
      <c r="S18" s="89"/>
      <c r="T18" s="97"/>
      <c r="U18" s="1016"/>
      <c r="V18" s="1088"/>
      <c r="W18" s="1088"/>
      <c r="X18" s="1294">
        <v>71000</v>
      </c>
      <c r="Y18" s="1089"/>
      <c r="Z18" s="1089"/>
      <c r="AA18" s="389"/>
      <c r="AB18" s="389"/>
      <c r="AC18" s="389"/>
      <c r="AD18" s="389"/>
      <c r="AE18" s="389"/>
    </row>
    <row r="19" spans="1:31">
      <c r="A19" s="857"/>
      <c r="B19" s="693"/>
      <c r="C19" s="1295" t="s">
        <v>675</v>
      </c>
      <c r="D19" s="89" t="str">
        <f>TEXT(X14,"$0,000")&amp;", if age 50 or older but under age 70½ at the end of "&amp;TaxYear&amp;"."</f>
        <v>$6,500, if age 50 or older but under age 70½ at the end of 2016.</v>
      </c>
      <c r="E19" s="89"/>
      <c r="F19" s="89"/>
      <c r="G19" s="89"/>
      <c r="H19" s="94"/>
      <c r="I19" s="94"/>
      <c r="J19" s="94"/>
      <c r="K19" s="95"/>
      <c r="L19" s="1377" t="str">
        <f>IF('1040'!AR45="?","",IF('1040'!AS42,"",IF('1040'!AV43,"See above CAUTION.","")))</f>
        <v/>
      </c>
      <c r="M19" s="89"/>
      <c r="N19" s="89"/>
      <c r="O19" s="89"/>
      <c r="P19" s="725"/>
      <c r="Q19" s="1377" t="str">
        <f>IF(OR('1040'!AS57,Birthday_Needed&lt;&gt;""),"",IF(R20,"See above CAUTION.",""))</f>
        <v/>
      </c>
      <c r="R19" s="3769"/>
      <c r="S19" s="89"/>
      <c r="T19" s="97"/>
      <c r="U19" s="1016"/>
      <c r="V19" s="1088"/>
      <c r="W19" s="1088"/>
      <c r="X19" s="1294">
        <v>118000</v>
      </c>
      <c r="Y19" s="1089"/>
      <c r="Z19" s="1089"/>
      <c r="AA19" s="389"/>
      <c r="AB19" s="389"/>
      <c r="AC19" s="389"/>
      <c r="AD19" s="389"/>
      <c r="AE19" s="389"/>
    </row>
    <row r="20" spans="1:31">
      <c r="A20" s="857"/>
      <c r="B20" s="693"/>
      <c r="C20" s="168" t="s">
        <v>5</v>
      </c>
      <c r="D20" s="168"/>
      <c r="E20" s="89"/>
      <c r="F20" s="89"/>
      <c r="G20" s="89"/>
      <c r="H20" s="95"/>
      <c r="I20" s="89"/>
      <c r="J20" s="89"/>
      <c r="K20" s="166"/>
      <c r="L20" s="100"/>
      <c r="M20" s="100"/>
      <c r="N20" s="100"/>
      <c r="O20" s="100"/>
      <c r="P20" s="1039"/>
      <c r="Q20" s="1039" t="str">
        <f>IF(AND(File_Marr_Joint="",P14&lt;&gt;""),"Your filing status must be","")</f>
        <v/>
      </c>
      <c r="R20" s="4737" t="b">
        <f>IF(Q18,FALSE,IF(SpouseIs70Half,TRUE,FALSE))</f>
        <v>0</v>
      </c>
      <c r="S20" s="4963"/>
      <c r="T20" s="4969"/>
      <c r="U20" s="1078"/>
      <c r="V20" s="40"/>
      <c r="W20" s="802"/>
      <c r="X20" s="1184">
        <v>194000</v>
      </c>
      <c r="Y20" s="389"/>
      <c r="Z20" s="389"/>
      <c r="AA20" s="389"/>
      <c r="AB20" s="389"/>
      <c r="AC20" s="389"/>
      <c r="AD20" s="389"/>
      <c r="AE20" s="389"/>
    </row>
    <row r="21" spans="1:31" s="865" customFormat="1" ht="20.25" customHeight="1" thickBot="1">
      <c r="A21" s="945"/>
      <c r="B21" s="693">
        <v>2</v>
      </c>
      <c r="C21" s="94" t="s">
        <v>530</v>
      </c>
      <c r="D21" s="94"/>
      <c r="E21" s="416"/>
      <c r="F21" s="416"/>
      <c r="G21" s="416"/>
      <c r="H21" s="94"/>
      <c r="I21" s="94"/>
      <c r="J21" s="94"/>
      <c r="K21" s="120"/>
      <c r="L21" s="416"/>
      <c r="M21" s="416"/>
      <c r="N21" s="416"/>
      <c r="O21" s="416"/>
      <c r="P21" s="725" t="str">
        <f>IF(AND(File_Marr_Joint="",P14&lt;&gt;""),"Married Filing Jointly","")</f>
        <v/>
      </c>
      <c r="Q21" s="416"/>
      <c r="R21" s="416"/>
      <c r="S21" s="416"/>
      <c r="T21" s="479"/>
      <c r="U21" s="1210"/>
      <c r="V21" s="37"/>
      <c r="W21" s="37"/>
      <c r="X21" s="1234">
        <v>10000</v>
      </c>
      <c r="Y21" s="496"/>
      <c r="Z21" s="496"/>
      <c r="AA21" s="496"/>
      <c r="AB21" s="496"/>
      <c r="AC21" s="496"/>
      <c r="AD21" s="496"/>
      <c r="AE21" s="496"/>
    </row>
    <row r="22" spans="1:31">
      <c r="A22" s="857"/>
      <c r="B22" s="693"/>
      <c r="C22" s="1295" t="s">
        <v>675</v>
      </c>
      <c r="D22" s="89" t="s">
        <v>531</v>
      </c>
      <c r="E22" s="89"/>
      <c r="F22" s="89"/>
      <c r="G22" s="89"/>
      <c r="H22" s="94"/>
      <c r="I22" s="94"/>
      <c r="J22" s="94"/>
      <c r="K22" s="95"/>
      <c r="L22" s="89"/>
      <c r="M22" s="89"/>
      <c r="N22" s="89"/>
      <c r="O22" s="89"/>
      <c r="P22" s="725" t="str">
        <f>IF(AND(File_Marr_Joint="",P14&lt;&gt;""),"to use the 'b' column.","")</f>
        <v/>
      </c>
      <c r="Q22" s="89"/>
      <c r="R22" s="89"/>
      <c r="S22" s="89"/>
      <c r="T22" s="97"/>
      <c r="U22" s="1016"/>
      <c r="V22" s="125"/>
      <c r="W22" s="46"/>
      <c r="X22" s="46"/>
      <c r="Y22" s="380"/>
      <c r="Z22" s="366"/>
      <c r="AA22" s="1296"/>
      <c r="AB22" s="389"/>
      <c r="AC22" s="389"/>
      <c r="AD22" s="389"/>
      <c r="AE22" s="389"/>
    </row>
    <row r="23" spans="1:31">
      <c r="A23" s="857"/>
      <c r="B23" s="693"/>
      <c r="C23" s="94"/>
      <c r="D23" s="489" t="str">
        <f>"from your spouse for all of "&amp;TaxYear&amp;", enter "&amp;TEXT(X18,"$0,000")</f>
        <v>from your spouse for all of 2016, enter $71,000</v>
      </c>
      <c r="E23" s="489"/>
      <c r="F23" s="489"/>
      <c r="G23" s="100"/>
      <c r="H23" s="94"/>
      <c r="I23" s="94"/>
      <c r="J23" s="94"/>
      <c r="K23" s="95"/>
      <c r="L23" s="89"/>
      <c r="M23" s="89"/>
      <c r="N23" s="89"/>
      <c r="O23" s="89"/>
      <c r="P23" s="725"/>
      <c r="Q23" s="89"/>
      <c r="R23" s="89"/>
      <c r="S23" s="89"/>
      <c r="T23" s="97"/>
      <c r="U23" s="1016"/>
      <c r="V23" s="84"/>
      <c r="W23" s="1137"/>
      <c r="X23" s="1061" t="str">
        <f>IF(File_Marr_Sep="","","  Yes")</f>
        <v/>
      </c>
      <c r="Y23" s="381"/>
      <c r="Z23" s="366"/>
      <c r="AA23" s="1296" t="str">
        <f>IF(File_Marr_Sep="","","Married persons filing separately.")</f>
        <v/>
      </c>
      <c r="AB23" s="389"/>
      <c r="AC23" s="389"/>
      <c r="AD23" s="389"/>
      <c r="AE23" s="389"/>
    </row>
    <row r="24" spans="1:31">
      <c r="A24" s="857"/>
      <c r="B24" s="693"/>
      <c r="C24" s="1295" t="s">
        <v>675</v>
      </c>
      <c r="D24" s="94" t="str">
        <f>"Qualifying widow(er), enter "&amp;TEXT(X19,"$0,000")</f>
        <v>Qualifying widow(er), enter $118,000</v>
      </c>
      <c r="E24" s="94"/>
      <c r="F24" s="94"/>
      <c r="G24" s="100"/>
      <c r="H24" s="94"/>
      <c r="I24" s="94"/>
      <c r="J24" s="94"/>
      <c r="K24" s="95"/>
      <c r="L24" s="89"/>
      <c r="M24" s="89"/>
      <c r="N24" s="89"/>
      <c r="O24" s="89"/>
      <c r="P24" s="89"/>
      <c r="Q24" s="89"/>
      <c r="R24" s="89"/>
      <c r="S24" s="89"/>
      <c r="T24" s="97"/>
      <c r="U24" s="1016"/>
      <c r="V24" s="84"/>
      <c r="W24" s="1298"/>
      <c r="X24" s="44"/>
      <c r="Y24" s="381"/>
      <c r="Z24" s="366"/>
      <c r="AA24" s="389" t="str">
        <f>IF(File_Marr_Sep="","","If you were not covered by a retirement plan but")</f>
        <v/>
      </c>
      <c r="AB24" s="389"/>
      <c r="AC24" s="389"/>
      <c r="AD24" s="389"/>
      <c r="AE24" s="389"/>
    </row>
    <row r="25" spans="1:31">
      <c r="A25" s="857"/>
      <c r="B25" s="693"/>
      <c r="C25" s="1295" t="s">
        <v>675</v>
      </c>
      <c r="D25" s="168" t="str">
        <f>"Married filing jointly, enter "&amp;TEXT(X19,"$0,000")&amp;" in both columns. But if you checked"</f>
        <v>Married filing jointly, enter $118,000 in both columns. But if you checked</v>
      </c>
      <c r="E25" s="168"/>
      <c r="F25" s="168"/>
      <c r="G25" s="168"/>
      <c r="H25" s="94"/>
      <c r="I25" s="94"/>
      <c r="J25" s="94"/>
      <c r="K25" s="104" t="s">
        <v>550</v>
      </c>
      <c r="L25" s="4951" t="str">
        <f>IF(OR(Yourself="",Q18,BadBirthdate_Yours,NumFileStatusBoxes=0),"",L26)</f>
        <v/>
      </c>
      <c r="M25" s="4952"/>
      <c r="N25" s="4952"/>
      <c r="O25" s="1247"/>
      <c r="P25" s="101" t="s">
        <v>551</v>
      </c>
      <c r="Q25" s="4951" t="str">
        <f>IF(File_Marr_Joint="","",IF(Q18,"",IF(AND(File_Marr_Joint&lt;&gt;"",K13&lt;&gt;"",P14&lt;&gt;""),X19,IF(R20,"Age &gt; 70½    ",Q26))))</f>
        <v/>
      </c>
      <c r="R25" s="4952"/>
      <c r="S25" s="4952"/>
      <c r="T25" s="384"/>
      <c r="U25" s="1079"/>
      <c r="V25" s="84"/>
      <c r="W25" s="1137"/>
      <c r="X25" s="1061" t="str">
        <f>IF(File_Marr_Sep="","","  No")</f>
        <v/>
      </c>
      <c r="Y25" s="381"/>
      <c r="Z25" s="366"/>
      <c r="AA25" s="389" t="str">
        <f>IF(File_Marr_Sep="","","your spouse was, you are considered covered")</f>
        <v/>
      </c>
      <c r="AB25" s="389"/>
      <c r="AC25" s="389"/>
      <c r="AD25" s="389"/>
      <c r="AE25" s="389"/>
    </row>
    <row r="26" spans="1:31">
      <c r="A26" s="857"/>
      <c r="B26" s="693"/>
      <c r="C26" s="94"/>
      <c r="D26" s="168" t="str">
        <f>"'No' on either line 1a or 1b, enter "&amp;TEXT(X20,"$0,000")&amp;" for the person who was not"</f>
        <v>'No' on either line 1a or 1b, enter $194,000 for the person who was not</v>
      </c>
      <c r="E26" s="168"/>
      <c r="F26" s="168"/>
      <c r="G26" s="168"/>
      <c r="H26" s="94"/>
      <c r="I26" s="94"/>
      <c r="J26" s="94"/>
      <c r="K26" s="95"/>
      <c r="L26" s="4964" t="str">
        <f>IF(AND(YourAge&lt;&gt;"",YouR70Half),"Age &gt; 70½    ",IF(W16="No","",IF(OR(File_Single&lt;&gt;"",File_Head&lt;&gt;"",AND(File_Marr_Sep&lt;&gt;"",Lived_apart&lt;&gt;"")),X18,IF(File_Qual_Widow&lt;&gt;"",X19,IF(AND(File_Marr_Joint&lt;&gt;"",K13&lt;&gt;""),X19,IF(AND(File_Marr_Joint&lt;&gt;"",K13=""),X20,IF(AND(File_Marr_Sep&lt;&gt;"",Lived_apart=""),X21,0)))))))</f>
        <v/>
      </c>
      <c r="M26" s="4964"/>
      <c r="N26" s="4964"/>
      <c r="O26" s="89"/>
      <c r="P26" s="89"/>
      <c r="Q26" s="4965" t="str">
        <f>IF(AND(SpouseAge&lt;&gt;"",SpouseIs70Half),"Age &gt; 70½   ",IF(OR(File_Marr_Joint="",W16="No"),"",IF(P14&lt;&gt;"",X19,IF(P14="",X20,0))))</f>
        <v/>
      </c>
      <c r="R26" s="4966"/>
      <c r="S26" s="4966"/>
      <c r="T26" s="97"/>
      <c r="U26" s="1016"/>
      <c r="V26" s="84"/>
      <c r="W26" s="1298" t="str">
        <f>IF(File_Marr_Sep="","","Did you LIVE APART from")</f>
        <v/>
      </c>
      <c r="X26" s="44"/>
      <c r="Y26" s="381"/>
      <c r="Z26" s="366"/>
      <c r="AA26" s="389" t="str">
        <f>IF(File_Marr_Sep="","","by a plan unless you lived apart from")</f>
        <v/>
      </c>
      <c r="AB26" s="389"/>
      <c r="AC26" s="389"/>
      <c r="AD26" s="389"/>
      <c r="AE26" s="389"/>
    </row>
    <row r="27" spans="1:31">
      <c r="A27" s="857"/>
      <c r="B27" s="693"/>
      <c r="C27" s="94"/>
      <c r="D27" s="89" t="s">
        <v>532</v>
      </c>
      <c r="E27" s="89"/>
      <c r="F27" s="89"/>
      <c r="G27" s="89"/>
      <c r="H27" s="94"/>
      <c r="I27" s="94"/>
      <c r="J27" s="94"/>
      <c r="K27" s="95"/>
      <c r="L27" s="89"/>
      <c r="M27" s="89"/>
      <c r="N27" s="89"/>
      <c r="O27" s="89"/>
      <c r="P27" s="89"/>
      <c r="Q27" s="89"/>
      <c r="R27" s="89"/>
      <c r="S27" s="89"/>
      <c r="T27" s="97"/>
      <c r="U27" s="1016"/>
      <c r="V27" s="84"/>
      <c r="W27" s="1298" t="str">
        <f>IF(File_Marr_Sep="","","your spouse")</f>
        <v/>
      </c>
      <c r="X27" s="44"/>
      <c r="Y27" s="381"/>
      <c r="Z27" s="366"/>
      <c r="AA27" s="389" t="str">
        <f>IF(File_Marr_Sep="","","your spouse for all of "&amp;TaxYear&amp;".")</f>
        <v/>
      </c>
      <c r="AB27" s="389"/>
      <c r="AC27" s="389"/>
      <c r="AD27" s="389"/>
      <c r="AE27" s="389"/>
    </row>
    <row r="28" spans="1:31">
      <c r="A28" s="857"/>
      <c r="B28" s="693"/>
      <c r="C28" s="1295" t="s">
        <v>675</v>
      </c>
      <c r="D28" s="168" t="str">
        <f>"Married filing separately and you lived with your spouse at any time in "&amp;TaxYear&amp;","</f>
        <v>Married filing separately and you lived with your spouse at any time in 2016,</v>
      </c>
      <c r="E28" s="168"/>
      <c r="F28" s="168"/>
      <c r="G28" s="168"/>
      <c r="H28" s="94"/>
      <c r="I28" s="94"/>
      <c r="J28" s="94"/>
      <c r="K28" s="95"/>
      <c r="L28" s="89"/>
      <c r="M28" s="89"/>
      <c r="N28" s="89"/>
      <c r="O28" s="89"/>
      <c r="P28" s="89"/>
      <c r="Q28" s="89"/>
      <c r="R28" s="89"/>
      <c r="S28" s="89"/>
      <c r="T28" s="97"/>
      <c r="U28" s="1016"/>
      <c r="V28" s="84"/>
      <c r="W28" s="1298" t="str">
        <f>IF(File_Marr_Sep="","","for ALL of "&amp;TaxYear&amp;"?")</f>
        <v/>
      </c>
      <c r="X28" s="44"/>
      <c r="Y28" s="381"/>
      <c r="Z28" s="366"/>
      <c r="AA28" s="389"/>
      <c r="AB28" s="389"/>
      <c r="AC28" s="389"/>
      <c r="AD28" s="389"/>
      <c r="AE28" s="389"/>
    </row>
    <row r="29" spans="1:31" ht="13.5" thickBot="1">
      <c r="A29" s="857"/>
      <c r="B29" s="693"/>
      <c r="C29" s="94"/>
      <c r="D29" s="168" t="str">
        <f>"enter "&amp;TEXT(X21,"$0,000")&amp;"."</f>
        <v>enter $10,000.</v>
      </c>
      <c r="E29" s="168"/>
      <c r="F29" s="168"/>
      <c r="G29" s="1299" t="str">
        <f>IF(File_Marr_Sep="","",IF(AND(K13="",W25&lt;&gt;"",R14&lt;&gt;"X",Lived_apart=""),"See NOTE in Column AA and check box 1a 'Yes' if spouse was covered by a retirement plan or check box 1b 'No'.",""))</f>
        <v/>
      </c>
      <c r="H29" s="94"/>
      <c r="I29" s="94"/>
      <c r="J29" s="94"/>
      <c r="K29" s="95"/>
      <c r="L29" s="89"/>
      <c r="M29" s="89"/>
      <c r="N29" s="89"/>
      <c r="O29" s="89"/>
      <c r="P29" s="89"/>
      <c r="Q29" s="89"/>
      <c r="R29" s="89"/>
      <c r="S29" s="89"/>
      <c r="T29" s="97"/>
      <c r="U29" s="1016"/>
      <c r="V29" s="126"/>
      <c r="W29" s="52"/>
      <c r="X29" s="52"/>
      <c r="Y29" s="850"/>
      <c r="Z29" s="366"/>
      <c r="AA29" s="389"/>
      <c r="AB29" s="389"/>
      <c r="AC29" s="389"/>
      <c r="AD29" s="389"/>
      <c r="AE29" s="389"/>
    </row>
    <row r="30" spans="1:31">
      <c r="A30" s="857"/>
      <c r="B30" s="693">
        <v>3</v>
      </c>
      <c r="C30" s="103" t="s">
        <v>1186</v>
      </c>
      <c r="D30" s="94"/>
      <c r="E30" s="94"/>
      <c r="F30" s="94"/>
      <c r="G30" s="94"/>
      <c r="H30" s="169">
        <v>3</v>
      </c>
      <c r="I30" s="4953"/>
      <c r="J30" s="4595"/>
      <c r="K30" s="95"/>
      <c r="L30" s="3603" t="str">
        <f>IF(OR(I30&lt;&gt;"",AND(K13="",P14=""),Q18),"",IF(Total_Income&gt;=1000,"Manually enter "&amp;TEXT(Total_Income,"$0,000")&amp;" on this line.","Manually enter "&amp;TEXT(Total_Income,"$0")&amp;" on this line."))</f>
        <v/>
      </c>
      <c r="M30" s="310"/>
      <c r="N30" s="310"/>
      <c r="O30" s="310"/>
      <c r="P30" s="89"/>
      <c r="Q30" s="89"/>
      <c r="R30" s="89"/>
      <c r="S30" s="89"/>
      <c r="T30" s="97"/>
      <c r="U30" s="1016"/>
      <c r="V30" s="35"/>
      <c r="W30" s="36" t="s">
        <v>149</v>
      </c>
      <c r="X30" s="36"/>
      <c r="Y30" s="389"/>
      <c r="Z30" s="389"/>
      <c r="AA30" s="389"/>
      <c r="AB30" s="389"/>
      <c r="AC30" s="389"/>
      <c r="AD30" s="389"/>
      <c r="AE30" s="389"/>
    </row>
    <row r="31" spans="1:31">
      <c r="A31" s="857"/>
      <c r="B31" s="693">
        <v>4</v>
      </c>
      <c r="C31" s="3597" t="s">
        <v>3020</v>
      </c>
      <c r="D31" s="474"/>
      <c r="E31" s="1183"/>
      <c r="F31" s="1183"/>
      <c r="G31" s="94"/>
      <c r="H31" s="95"/>
      <c r="I31" s="94"/>
      <c r="J31" s="94"/>
      <c r="K31" s="95"/>
      <c r="L31" s="89"/>
      <c r="M31" s="89"/>
      <c r="N31" s="89"/>
      <c r="O31" s="89"/>
      <c r="P31" s="89"/>
      <c r="Q31" s="89"/>
      <c r="R31" s="89"/>
      <c r="S31" s="89"/>
      <c r="T31" s="97"/>
      <c r="U31" s="1016"/>
      <c r="V31" s="35"/>
      <c r="W31" s="4957" t="s">
        <v>150</v>
      </c>
      <c r="X31" s="4958"/>
      <c r="Y31" s="4958"/>
      <c r="Z31" s="1271"/>
      <c r="AA31" s="389"/>
      <c r="AB31" s="389"/>
      <c r="AC31" s="389"/>
      <c r="AD31" s="389"/>
      <c r="AE31" s="389"/>
    </row>
    <row r="32" spans="1:31">
      <c r="A32" s="857"/>
      <c r="B32" s="693"/>
      <c r="C32" s="3597" t="s">
        <v>3022</v>
      </c>
      <c r="D32" s="474"/>
      <c r="E32" s="1183"/>
      <c r="F32" s="1183"/>
      <c r="G32" s="94"/>
      <c r="H32" s="95"/>
      <c r="I32" s="94"/>
      <c r="J32" s="94"/>
      <c r="K32" s="95"/>
      <c r="L32" s="89"/>
      <c r="M32" s="89"/>
      <c r="N32" s="89"/>
      <c r="O32" s="89"/>
      <c r="P32" s="89"/>
      <c r="Q32" s="89"/>
      <c r="R32" s="89"/>
      <c r="S32" s="89"/>
      <c r="T32" s="97"/>
      <c r="U32" s="1016"/>
      <c r="V32" s="35"/>
      <c r="W32" s="112"/>
      <c r="X32" s="986"/>
      <c r="Y32" s="857"/>
      <c r="Z32" s="857"/>
      <c r="AA32" s="857"/>
      <c r="AB32" s="857"/>
      <c r="AC32" s="389"/>
      <c r="AD32" s="389"/>
      <c r="AE32" s="389"/>
    </row>
    <row r="33" spans="1:31">
      <c r="A33" s="857"/>
      <c r="B33" s="693"/>
      <c r="C33" s="103" t="s">
        <v>3021</v>
      </c>
      <c r="D33" s="474"/>
      <c r="E33" s="1183"/>
      <c r="F33" s="1183"/>
      <c r="G33" s="94"/>
      <c r="H33" s="169">
        <v>4</v>
      </c>
      <c r="I33" s="4954" t="str">
        <f>IF(X33&lt;&gt;"",X33,IF(AND(K13="",P14=""),"",SUM(SUM('1040'!V56:V64),Dotted_Line)))</f>
        <v/>
      </c>
      <c r="J33" s="4955"/>
      <c r="K33" s="95"/>
      <c r="L33" s="89"/>
      <c r="M33" s="89"/>
      <c r="N33" s="89"/>
      <c r="O33" s="89"/>
      <c r="P33" s="89"/>
      <c r="Q33" s="89"/>
      <c r="R33" s="89"/>
      <c r="S33" s="89"/>
      <c r="T33" s="97"/>
      <c r="U33" s="1016"/>
      <c r="V33" s="35"/>
      <c r="W33" s="111">
        <v>4</v>
      </c>
      <c r="X33" s="1185"/>
      <c r="Y33" s="857"/>
      <c r="Z33" s="857"/>
      <c r="AA33" s="857"/>
      <c r="AB33" s="857"/>
      <c r="AC33" s="389"/>
      <c r="AD33" s="389"/>
      <c r="AE33" s="389"/>
    </row>
    <row r="34" spans="1:31" ht="15.75" customHeight="1">
      <c r="A34" s="857"/>
      <c r="B34" s="693">
        <v>5</v>
      </c>
      <c r="C34" s="103" t="s">
        <v>1187</v>
      </c>
      <c r="D34" s="94"/>
      <c r="E34" s="94"/>
      <c r="F34" s="94"/>
      <c r="G34" s="94"/>
      <c r="H34" s="95"/>
      <c r="I34" s="94"/>
      <c r="J34" s="71" t="s">
        <v>1188</v>
      </c>
      <c r="K34" s="104" t="s">
        <v>591</v>
      </c>
      <c r="L34" s="4951" t="str">
        <f>IF(X34&lt;&gt;"",ROUND(X34,0),IF(OR(Yourself="",Q18,W16="No",YouR70Half,I30=""),"",SUM(I30,-I33)))</f>
        <v/>
      </c>
      <c r="M34" s="4952"/>
      <c r="N34" s="4952"/>
      <c r="O34" s="1247"/>
      <c r="P34" s="101" t="s">
        <v>592</v>
      </c>
      <c r="Q34" s="4951" t="str">
        <f>IF(AA34&lt;&gt;"",ROUND(AA34,0),IF(OR(Q18,File_Marr_Joint="",R20,W16="No",I30=""),"",(I30-I33)))</f>
        <v/>
      </c>
      <c r="R34" s="4952"/>
      <c r="S34" s="4952"/>
      <c r="T34" s="384"/>
      <c r="U34" s="1079"/>
      <c r="V34" s="35"/>
      <c r="W34" s="111" t="s">
        <v>693</v>
      </c>
      <c r="X34" s="1185"/>
      <c r="Y34" s="111" t="s">
        <v>1901</v>
      </c>
      <c r="Z34" s="114"/>
      <c r="AA34" s="1185"/>
      <c r="AB34" s="857"/>
      <c r="AC34" s="389"/>
      <c r="AD34" s="389"/>
      <c r="AE34" s="389"/>
    </row>
    <row r="35" spans="1:31" ht="15.75" customHeight="1">
      <c r="A35" s="857"/>
      <c r="B35" s="693">
        <v>6</v>
      </c>
      <c r="C35" s="94" t="s">
        <v>487</v>
      </c>
      <c r="D35" s="94"/>
      <c r="E35" s="94"/>
      <c r="F35" s="94"/>
      <c r="G35" s="94"/>
      <c r="H35" s="94"/>
      <c r="I35" s="94"/>
      <c r="J35" s="94"/>
      <c r="K35" s="95"/>
      <c r="L35" s="89"/>
      <c r="M35" s="89"/>
      <c r="N35" s="89"/>
      <c r="O35" s="89"/>
      <c r="P35" s="89"/>
      <c r="Q35" s="89"/>
      <c r="R35" s="89"/>
      <c r="S35" s="89"/>
      <c r="T35" s="97"/>
      <c r="U35" s="1016"/>
      <c r="V35" s="35"/>
      <c r="W35" s="112"/>
      <c r="X35" s="986"/>
      <c r="Y35" s="112"/>
      <c r="Z35" s="112"/>
      <c r="AA35" s="986"/>
      <c r="AB35" s="857"/>
      <c r="AC35" s="389"/>
      <c r="AD35" s="389"/>
      <c r="AE35" s="389"/>
    </row>
    <row r="36" spans="1:31" ht="6" customHeight="1" thickBot="1">
      <c r="A36" s="857"/>
      <c r="B36" s="693"/>
      <c r="C36" s="94"/>
      <c r="D36" s="94"/>
      <c r="E36" s="94"/>
      <c r="F36" s="94"/>
      <c r="G36" s="94"/>
      <c r="H36" s="94"/>
      <c r="I36" s="94"/>
      <c r="J36" s="94"/>
      <c r="K36" s="95"/>
      <c r="L36" s="89"/>
      <c r="M36" s="89"/>
      <c r="N36" s="89"/>
      <c r="O36" s="89"/>
      <c r="P36" s="89"/>
      <c r="Q36" s="89"/>
      <c r="R36" s="89"/>
      <c r="S36" s="89"/>
      <c r="T36" s="97"/>
      <c r="U36" s="1016"/>
      <c r="V36" s="35"/>
      <c r="W36" s="35"/>
      <c r="X36" s="1187"/>
      <c r="Y36" s="389"/>
      <c r="Z36" s="389"/>
      <c r="AA36" s="389"/>
      <c r="AB36" s="389"/>
      <c r="AC36" s="389"/>
      <c r="AD36" s="389"/>
      <c r="AE36" s="389"/>
    </row>
    <row r="37" spans="1:31" ht="12.75" customHeight="1" thickBot="1">
      <c r="A37" s="857"/>
      <c r="B37" s="693"/>
      <c r="C37" s="159" t="str">
        <f>IF(W16="No","",IF(OR(LEFT(L37,2)="No",LEFT(Q37,2)="No"),"X",""))</f>
        <v/>
      </c>
      <c r="D37" s="60"/>
      <c r="E37" s="98" t="s">
        <v>956</v>
      </c>
      <c r="F37" s="102"/>
      <c r="G37" s="94" t="s">
        <v>957</v>
      </c>
      <c r="H37" s="94"/>
      <c r="I37" s="95"/>
      <c r="J37" s="95"/>
      <c r="K37" s="89"/>
      <c r="L37" s="4175" t="str">
        <f>IF(OR(I30="",AND(K13="",P14="")),"",IF(L34&lt;L25,"Yes","No.  Stop."))</f>
        <v/>
      </c>
      <c r="M37" s="727"/>
      <c r="N37" s="727"/>
      <c r="O37" s="727"/>
      <c r="P37" s="728"/>
      <c r="Q37" s="4175" t="str">
        <f>IF(OR(I30="",File_Marr_Joint="",W16="No"),"",IF(Q34&lt;Q25,"Yes","No.  Stop."))</f>
        <v/>
      </c>
      <c r="R37" s="727"/>
      <c r="S37" s="727"/>
      <c r="T37" s="398"/>
      <c r="U37" s="426"/>
      <c r="V37" s="35"/>
      <c r="W37" s="35"/>
      <c r="X37" s="1187"/>
      <c r="Y37" s="389"/>
      <c r="Z37" s="389"/>
      <c r="AA37" s="389"/>
      <c r="AB37" s="389"/>
      <c r="AC37" s="389"/>
      <c r="AD37" s="389"/>
      <c r="AE37" s="389"/>
    </row>
    <row r="38" spans="1:31" ht="12" customHeight="1" thickBot="1">
      <c r="A38" s="857"/>
      <c r="B38" s="693"/>
      <c r="C38" s="60"/>
      <c r="D38" s="60"/>
      <c r="E38" s="102"/>
      <c r="F38" s="102"/>
      <c r="G38" s="94" t="s">
        <v>663</v>
      </c>
      <c r="H38" s="94"/>
      <c r="I38" s="95"/>
      <c r="J38" s="95"/>
      <c r="K38" s="89"/>
      <c r="L38" s="728"/>
      <c r="M38" s="728"/>
      <c r="N38" s="728"/>
      <c r="O38" s="728"/>
      <c r="P38" s="728"/>
      <c r="R38" s="726"/>
      <c r="S38" s="726"/>
      <c r="T38" s="97"/>
      <c r="U38" s="1016"/>
      <c r="V38" s="35"/>
      <c r="W38" s="35"/>
      <c r="X38" s="1187"/>
      <c r="Y38" s="389"/>
      <c r="Z38" s="389"/>
      <c r="AA38" s="389"/>
      <c r="AB38" s="389"/>
      <c r="AC38" s="389"/>
      <c r="AD38" s="389"/>
      <c r="AE38" s="389"/>
    </row>
    <row r="39" spans="1:31" ht="12.75" customHeight="1" thickBot="1">
      <c r="A39" s="857"/>
      <c r="B39" s="693"/>
      <c r="C39" s="159" t="str">
        <f>IF(W16="No","",IF(OR(LEFT(L37,3)="Yes",LEFT(Q37,3)="Yes"),"X",""))</f>
        <v/>
      </c>
      <c r="D39" s="60"/>
      <c r="E39" s="102" t="s">
        <v>668</v>
      </c>
      <c r="F39" s="102"/>
      <c r="G39" s="94" t="s">
        <v>7</v>
      </c>
      <c r="H39" s="98"/>
      <c r="I39" s="95"/>
      <c r="J39" s="95"/>
      <c r="K39" s="89"/>
      <c r="L39" s="728"/>
      <c r="M39" s="728"/>
      <c r="N39" s="728"/>
      <c r="O39" s="728"/>
      <c r="P39" s="728"/>
      <c r="Q39" s="726"/>
      <c r="R39" s="726"/>
      <c r="S39" s="726"/>
      <c r="T39" s="97"/>
      <c r="U39" s="1016"/>
      <c r="V39" s="35"/>
      <c r="W39" s="35"/>
      <c r="X39" s="20"/>
      <c r="Y39" s="389"/>
      <c r="Z39" s="389"/>
      <c r="AA39" s="389"/>
      <c r="AB39" s="389"/>
      <c r="AC39" s="389"/>
      <c r="AD39" s="389"/>
      <c r="AE39" s="389"/>
    </row>
    <row r="40" spans="1:31" ht="10.5" customHeight="1">
      <c r="A40" s="857"/>
      <c r="B40" s="693"/>
      <c r="C40" s="102"/>
      <c r="D40" s="102"/>
      <c r="E40" s="98"/>
      <c r="F40" s="98"/>
      <c r="G40" s="578" t="s">
        <v>6</v>
      </c>
      <c r="H40" s="94"/>
      <c r="I40" s="95"/>
      <c r="J40" s="95"/>
      <c r="K40" s="89"/>
      <c r="L40" s="728"/>
      <c r="M40" s="728"/>
      <c r="N40" s="728"/>
      <c r="O40" s="728"/>
      <c r="P40" s="728"/>
      <c r="Q40" s="726"/>
      <c r="R40" s="726"/>
      <c r="S40" s="726"/>
      <c r="T40" s="97"/>
      <c r="U40" s="1016"/>
      <c r="V40" s="35"/>
      <c r="W40" s="35"/>
      <c r="X40" s="20"/>
      <c r="Y40" s="389"/>
      <c r="Z40" s="389"/>
      <c r="AA40" s="389"/>
      <c r="AB40" s="389"/>
      <c r="AC40" s="389"/>
      <c r="AD40" s="389"/>
      <c r="AE40" s="389"/>
    </row>
    <row r="41" spans="1:31" ht="12" customHeight="1">
      <c r="A41" s="857"/>
      <c r="B41" s="693"/>
      <c r="C41" s="102"/>
      <c r="D41" s="1295" t="s">
        <v>675</v>
      </c>
      <c r="E41" s="474" t="s">
        <v>8</v>
      </c>
      <c r="F41" s="474"/>
      <c r="G41" s="94"/>
      <c r="H41" s="94"/>
      <c r="I41" s="95"/>
      <c r="J41" s="95"/>
      <c r="K41" s="89"/>
      <c r="L41" s="728"/>
      <c r="M41" s="726"/>
      <c r="N41" s="728"/>
      <c r="O41" s="728"/>
      <c r="P41" s="728"/>
      <c r="Q41" s="726"/>
      <c r="R41" s="726"/>
      <c r="S41" s="726"/>
      <c r="T41" s="97"/>
      <c r="U41" s="1016"/>
      <c r="V41" s="35"/>
      <c r="W41" s="35"/>
      <c r="X41" s="20"/>
      <c r="Y41" s="389"/>
      <c r="Z41" s="389"/>
      <c r="AA41" s="389"/>
      <c r="AB41" s="389"/>
      <c r="AC41" s="389"/>
      <c r="AD41" s="389"/>
      <c r="AE41" s="389"/>
    </row>
    <row r="42" spans="1:31" ht="12" customHeight="1">
      <c r="A42" s="857"/>
      <c r="B42" s="693"/>
      <c r="C42" s="102"/>
      <c r="D42" s="102"/>
      <c r="E42" s="474" t="str">
        <f>"result is "&amp;TEXT(X21,"$0,000")&amp;" or more, enter the applicable amount below on"</f>
        <v>result is $10,000 or more, enter the applicable amount below on</v>
      </c>
      <c r="F42" s="474"/>
      <c r="G42" s="94"/>
      <c r="H42" s="94"/>
      <c r="I42" s="95"/>
      <c r="J42" s="95"/>
      <c r="K42" s="89"/>
      <c r="L42" s="728"/>
      <c r="M42" s="728"/>
      <c r="N42" s="728"/>
      <c r="O42" s="728"/>
      <c r="P42" s="728"/>
      <c r="Q42" s="726"/>
      <c r="R42" s="726"/>
      <c r="S42" s="726"/>
      <c r="T42" s="97"/>
      <c r="U42" s="1016"/>
      <c r="V42" s="35"/>
      <c r="W42" s="35"/>
      <c r="X42" s="20"/>
      <c r="Y42" s="389"/>
      <c r="Z42" s="389"/>
      <c r="AA42" s="389"/>
      <c r="AB42" s="389"/>
      <c r="AC42" s="389"/>
      <c r="AD42" s="389"/>
      <c r="AE42" s="389"/>
    </row>
    <row r="43" spans="1:31" ht="12" customHeight="1">
      <c r="A43" s="857"/>
      <c r="B43" s="693"/>
      <c r="C43" s="102"/>
      <c r="D43" s="102"/>
      <c r="E43" s="474" t="s">
        <v>9</v>
      </c>
      <c r="F43" s="474"/>
      <c r="G43" s="94"/>
      <c r="H43" s="94"/>
      <c r="I43" s="95"/>
      <c r="J43" s="95"/>
      <c r="K43" s="89"/>
      <c r="L43" s="728"/>
      <c r="M43" s="728"/>
      <c r="N43" s="728"/>
      <c r="O43" s="728"/>
      <c r="P43" s="728"/>
      <c r="Q43" s="726"/>
      <c r="R43" s="726"/>
      <c r="S43" s="726"/>
      <c r="T43" s="97"/>
      <c r="U43" s="1016"/>
      <c r="V43" s="35"/>
      <c r="W43" s="35"/>
      <c r="X43" s="20"/>
      <c r="Y43" s="389"/>
      <c r="Z43" s="389"/>
      <c r="AA43" s="389"/>
      <c r="AB43" s="389"/>
      <c r="AC43" s="389"/>
      <c r="AD43" s="389"/>
      <c r="AE43" s="389"/>
    </row>
    <row r="44" spans="1:31" ht="12" customHeight="1">
      <c r="A44" s="857"/>
      <c r="B44" s="693"/>
      <c r="C44" s="102"/>
      <c r="D44" s="102"/>
      <c r="E44" s="474"/>
      <c r="F44" s="474"/>
      <c r="G44" s="94" t="str">
        <f>"i. "&amp;TEXT($X$12,"$0,000")&amp;", if under age 50 at the end of "&amp;TaxYear&amp;"."</f>
        <v>i. $5,500, if under age 50 at the end of 2016.</v>
      </c>
      <c r="H44" s="94"/>
      <c r="I44" s="95"/>
      <c r="J44" s="95"/>
      <c r="K44" s="89"/>
      <c r="L44" s="728"/>
      <c r="M44" s="728"/>
      <c r="N44" s="728"/>
      <c r="O44" s="728"/>
      <c r="P44" s="728"/>
      <c r="Q44" s="726"/>
      <c r="R44" s="726"/>
      <c r="S44" s="726"/>
      <c r="T44" s="97"/>
      <c r="U44" s="1016"/>
      <c r="V44" s="35"/>
      <c r="W44" s="36" t="s">
        <v>149</v>
      </c>
      <c r="X44" s="36"/>
      <c r="Y44" s="389"/>
      <c r="Z44" s="389"/>
      <c r="AA44" s="389"/>
      <c r="AB44" s="389"/>
      <c r="AC44" s="389"/>
      <c r="AD44" s="389"/>
      <c r="AE44" s="389"/>
    </row>
    <row r="45" spans="1:31" s="893" customFormat="1" ht="12" customHeight="1">
      <c r="A45" s="309"/>
      <c r="B45" s="1297"/>
      <c r="C45" s="102"/>
      <c r="D45" s="474"/>
      <c r="E45" s="474"/>
      <c r="F45" s="474"/>
      <c r="G45" s="474" t="str">
        <f>"ii. "&amp;TEXT($X$14,"$0,000")&amp;", if age 50 or older but under age 70½ at the end"</f>
        <v>ii. $6,500, if age 50 or older but under age 70½ at the end</v>
      </c>
      <c r="H45" s="474"/>
      <c r="I45" s="388"/>
      <c r="J45" s="388"/>
      <c r="K45" s="489"/>
      <c r="L45" s="728"/>
      <c r="M45" s="728"/>
      <c r="N45" s="728"/>
      <c r="O45" s="728"/>
      <c r="P45" s="728"/>
      <c r="Q45" s="726"/>
      <c r="R45" s="726"/>
      <c r="S45" s="726"/>
      <c r="T45" s="158"/>
      <c r="U45" s="1015"/>
      <c r="V45" s="408"/>
      <c r="W45" s="4957" t="s">
        <v>150</v>
      </c>
      <c r="X45" s="4958"/>
      <c r="Y45" s="4958"/>
      <c r="Z45" s="417"/>
      <c r="AA45" s="417"/>
      <c r="AB45" s="417"/>
      <c r="AC45" s="417"/>
      <c r="AD45" s="417"/>
      <c r="AE45" s="417"/>
    </row>
    <row r="46" spans="1:31" s="893" customFormat="1" ht="12" customHeight="1">
      <c r="A46" s="309"/>
      <c r="B46" s="1297"/>
      <c r="C46" s="102"/>
      <c r="D46" s="474"/>
      <c r="E46" s="474"/>
      <c r="F46" s="474"/>
      <c r="G46" s="474" t="str">
        <f>"   of "&amp;TaxYear&amp;"."</f>
        <v xml:space="preserve">   of 2016.</v>
      </c>
      <c r="H46" s="474"/>
      <c r="I46" s="388"/>
      <c r="J46" s="388"/>
      <c r="K46" s="489"/>
      <c r="L46" s="728"/>
      <c r="M46" s="728"/>
      <c r="N46" s="728"/>
      <c r="O46" s="728"/>
      <c r="P46" s="728"/>
      <c r="Q46" s="726"/>
      <c r="R46" s="726"/>
      <c r="S46" s="726"/>
      <c r="T46" s="158"/>
      <c r="U46" s="1015"/>
      <c r="V46" s="408"/>
      <c r="W46" s="112"/>
      <c r="X46" s="986"/>
      <c r="Y46" s="112"/>
      <c r="Z46" s="112"/>
      <c r="AA46" s="986"/>
      <c r="AB46" s="857"/>
      <c r="AC46" s="417"/>
      <c r="AD46" s="417"/>
      <c r="AE46" s="417"/>
    </row>
    <row r="47" spans="1:31" ht="12" customHeight="1">
      <c r="A47" s="857"/>
      <c r="B47" s="693"/>
      <c r="C47" s="102"/>
      <c r="D47" s="60"/>
      <c r="E47" s="103" t="str">
        <f>"If the result is less than "&amp;TEXT(X21,"$0,000")&amp;", go to line 7."</f>
        <v>If the result is less than $10,000, go to line 7.</v>
      </c>
      <c r="F47" s="474"/>
      <c r="G47" s="94"/>
      <c r="H47" s="94"/>
      <c r="I47" s="95"/>
      <c r="J47" s="95"/>
      <c r="K47" s="104" t="s">
        <v>380</v>
      </c>
      <c r="L47" s="4951" t="str">
        <f>IF(X47&lt;&gt;"",ROUND(X47,0),IF(OR(BadBirthdate_Yours,L25="",$W$16="No",YouR70Half,I30=""),"",IF(LEFT(L37,2)="No","",L25-L34)))</f>
        <v/>
      </c>
      <c r="M47" s="4952"/>
      <c r="N47" s="4952"/>
      <c r="O47" s="1247"/>
      <c r="P47" s="104" t="s">
        <v>658</v>
      </c>
      <c r="Q47" s="4951" t="str">
        <f>IF(AA47&lt;&gt;"",ROUND(AA47,0),IF(OR(Q18,R20,File_Marr_Joint="",I30=""),"",IF(OR(AND(File_Marr_Sep&lt;&gt;"",Lived_apart&lt;&gt;""),Q25="",$W$16="No"),"",IF(LEFT(Q37,2)="No","",Q25-Q34))))</f>
        <v/>
      </c>
      <c r="R47" s="4952"/>
      <c r="S47" s="4952"/>
      <c r="T47" s="684"/>
      <c r="U47" s="1066"/>
      <c r="V47" s="35"/>
      <c r="W47" s="111" t="s">
        <v>693</v>
      </c>
      <c r="X47" s="1185"/>
      <c r="Y47" s="111" t="s">
        <v>1901</v>
      </c>
      <c r="Z47" s="114"/>
      <c r="AA47" s="1185"/>
      <c r="AB47" s="857"/>
      <c r="AC47" s="389"/>
      <c r="AD47" s="389"/>
      <c r="AE47" s="389"/>
    </row>
    <row r="48" spans="1:31" ht="12" customHeight="1">
      <c r="A48" s="857"/>
      <c r="B48" s="693"/>
      <c r="C48" s="102"/>
      <c r="D48" s="1295" t="s">
        <v>675</v>
      </c>
      <c r="E48" s="474" t="s">
        <v>732</v>
      </c>
      <c r="F48" s="474"/>
      <c r="G48" s="94"/>
      <c r="H48" s="94"/>
      <c r="I48" s="95"/>
      <c r="J48" s="95"/>
      <c r="K48" s="89"/>
      <c r="L48" s="4967"/>
      <c r="M48" s="4968"/>
      <c r="N48" s="4968"/>
      <c r="O48" s="728"/>
      <c r="P48" s="728"/>
      <c r="Q48" s="4956" t="str">
        <f>IF(OR(File_Marr_Joint="",W16="No"),"",IF(OR(Lived_apart&lt;&gt;"",AND(File_Marr_Joint="",File_Marr_Sep="")),"",IF(LEFT(Q37,2)="No","",Q25-Q34)))</f>
        <v/>
      </c>
      <c r="R48" s="4956"/>
      <c r="S48" s="4956"/>
      <c r="T48" s="97"/>
      <c r="U48" s="1016"/>
      <c r="V48" s="35"/>
      <c r="W48" s="112"/>
      <c r="X48" s="986"/>
      <c r="Y48" s="112"/>
      <c r="Z48" s="112"/>
      <c r="AA48" s="986"/>
      <c r="AB48" s="857"/>
      <c r="AC48" s="389"/>
      <c r="AD48" s="389"/>
      <c r="AE48" s="389"/>
    </row>
    <row r="49" spans="1:34" ht="12" customHeight="1">
      <c r="A49" s="857"/>
      <c r="B49" s="693"/>
      <c r="C49" s="102"/>
      <c r="D49" s="102"/>
      <c r="E49" s="474" t="str">
        <f>TEXT(2*X21,"$0,000")&amp;" or more ("&amp;TEXT(X21,"$0,000")&amp;" or more in the column for the IRA of"</f>
        <v>$20,000 or more ($10,000 or more in the column for the IRA of</v>
      </c>
      <c r="F49" s="474"/>
      <c r="G49" s="94"/>
      <c r="H49" s="94"/>
      <c r="I49" s="95"/>
      <c r="J49" s="95"/>
      <c r="K49" s="89"/>
      <c r="L49" s="4956">
        <f>IF(K13&lt;&gt;"",2*$X$21,$X$21)</f>
        <v>10000</v>
      </c>
      <c r="M49" s="4956"/>
      <c r="N49" s="4956"/>
      <c r="O49" s="728"/>
      <c r="P49" s="728"/>
      <c r="Q49" s="4956">
        <f>IF(P14&lt;&gt;"",2*$X$21,$X$21)</f>
        <v>10000</v>
      </c>
      <c r="R49" s="4956"/>
      <c r="S49" s="4956"/>
      <c r="T49" s="97"/>
      <c r="U49" s="1016"/>
      <c r="V49" s="35"/>
      <c r="W49" s="35"/>
      <c r="X49" s="20"/>
      <c r="Y49" s="389"/>
      <c r="Z49" s="389"/>
      <c r="AA49" s="389"/>
      <c r="AB49" s="389"/>
      <c r="AC49" s="389"/>
      <c r="AD49" s="389"/>
      <c r="AE49" s="389"/>
    </row>
    <row r="50" spans="1:34" ht="12" customHeight="1">
      <c r="A50" s="857"/>
      <c r="B50" s="693"/>
      <c r="C50" s="102"/>
      <c r="D50" s="102"/>
      <c r="E50" s="474" t="s">
        <v>733</v>
      </c>
      <c r="F50" s="474"/>
      <c r="G50" s="94"/>
      <c r="H50" s="94"/>
      <c r="I50" s="95"/>
      <c r="J50" s="95"/>
      <c r="K50" s="89"/>
      <c r="L50" s="728"/>
      <c r="M50" s="728"/>
      <c r="N50" s="728"/>
      <c r="O50" s="728"/>
      <c r="P50" s="728"/>
      <c r="Q50" s="4956"/>
      <c r="R50" s="4956"/>
      <c r="S50" s="4956"/>
      <c r="T50" s="97"/>
      <c r="U50" s="1016"/>
      <c r="V50" s="35"/>
      <c r="W50" s="35"/>
      <c r="X50" s="20"/>
      <c r="Y50" s="389"/>
      <c r="Z50" s="389"/>
      <c r="AA50" s="389"/>
      <c r="AB50" s="389"/>
      <c r="AC50" s="389"/>
      <c r="AD50" s="389"/>
      <c r="AE50" s="389"/>
    </row>
    <row r="51" spans="1:34" ht="12" customHeight="1">
      <c r="A51" s="857"/>
      <c r="B51" s="693"/>
      <c r="C51" s="102"/>
      <c r="D51" s="102"/>
      <c r="E51" s="474" t="s">
        <v>734</v>
      </c>
      <c r="F51" s="474"/>
      <c r="G51" s="94"/>
      <c r="H51" s="94"/>
      <c r="I51" s="95"/>
      <c r="J51" s="95"/>
      <c r="K51" s="89"/>
      <c r="L51" s="728"/>
      <c r="M51" s="728"/>
      <c r="N51" s="728"/>
      <c r="O51" s="728"/>
      <c r="P51" s="728"/>
      <c r="Q51" s="726"/>
      <c r="R51" s="726"/>
      <c r="S51" s="726"/>
      <c r="T51" s="97"/>
      <c r="U51" s="1016"/>
      <c r="V51" s="35"/>
      <c r="W51" s="35"/>
      <c r="X51" s="20"/>
      <c r="Y51" s="389"/>
      <c r="Z51" s="389"/>
      <c r="AA51" s="389"/>
      <c r="AB51" s="389"/>
      <c r="AC51" s="389"/>
      <c r="AD51" s="389"/>
      <c r="AE51" s="389"/>
    </row>
    <row r="52" spans="1:34" ht="12" customHeight="1">
      <c r="A52" s="857"/>
      <c r="B52" s="693"/>
      <c r="C52" s="102"/>
      <c r="D52" s="102"/>
      <c r="E52" s="474" t="s">
        <v>735</v>
      </c>
      <c r="F52" s="474"/>
      <c r="G52" s="94"/>
      <c r="H52" s="94"/>
      <c r="I52" s="95"/>
      <c r="J52" s="95"/>
      <c r="K52" s="89"/>
      <c r="L52" s="728"/>
      <c r="M52" s="728"/>
      <c r="N52" s="728"/>
      <c r="O52" s="728"/>
      <c r="P52" s="728"/>
      <c r="Q52" s="726"/>
      <c r="R52" s="726"/>
      <c r="S52" s="726"/>
      <c r="T52" s="97"/>
      <c r="U52" s="1016"/>
      <c r="V52" s="35"/>
      <c r="W52" s="35"/>
      <c r="X52" s="20"/>
      <c r="Y52" s="389"/>
      <c r="Z52" s="389"/>
      <c r="AA52" s="389"/>
      <c r="AB52" s="389"/>
      <c r="AC52" s="389"/>
      <c r="AD52" s="389"/>
      <c r="AE52" s="389"/>
    </row>
    <row r="53" spans="1:34" ht="12" customHeight="1">
      <c r="A53" s="857"/>
      <c r="B53" s="693"/>
      <c r="C53" s="102"/>
      <c r="D53" s="102"/>
      <c r="E53" s="474"/>
      <c r="F53" s="474"/>
      <c r="G53" s="94" t="str">
        <f>"i. "&amp;TEXT($X$12,"$0,000")&amp;", if under age 50 at the end of "&amp;TaxYear&amp;"."</f>
        <v>i. $5,500, if under age 50 at the end of 2016.</v>
      </c>
      <c r="H53" s="94"/>
      <c r="I53" s="95"/>
      <c r="J53" s="95"/>
      <c r="K53" s="89"/>
      <c r="L53" s="728"/>
      <c r="M53" s="728"/>
      <c r="N53" s="728"/>
      <c r="O53" s="728"/>
      <c r="P53" s="728"/>
      <c r="Q53" s="726"/>
      <c r="R53" s="726"/>
      <c r="S53" s="726"/>
      <c r="T53" s="97"/>
      <c r="U53" s="1016"/>
      <c r="V53" s="35"/>
      <c r="W53" s="35"/>
      <c r="X53" s="20"/>
      <c r="Y53" s="389"/>
      <c r="Z53" s="389"/>
      <c r="AA53" s="389"/>
      <c r="AB53" s="389"/>
      <c r="AC53" s="389"/>
      <c r="AD53" s="389"/>
      <c r="AE53" s="389"/>
    </row>
    <row r="54" spans="1:34" s="893" customFormat="1" ht="12" customHeight="1">
      <c r="A54" s="309"/>
      <c r="B54" s="1297"/>
      <c r="C54" s="102"/>
      <c r="D54" s="474"/>
      <c r="E54" s="474"/>
      <c r="F54" s="474"/>
      <c r="G54" s="474" t="str">
        <f>"ii. "&amp;TEXT($X$14,"$0,000")&amp;", if age 50 or older but under age 70½ at the end"</f>
        <v>ii. $6,500, if age 50 or older but under age 70½ at the end</v>
      </c>
      <c r="H54" s="474"/>
      <c r="I54" s="388"/>
      <c r="J54" s="388"/>
      <c r="K54" s="489"/>
      <c r="L54" s="728"/>
      <c r="M54" s="728"/>
      <c r="N54" s="728"/>
      <c r="O54" s="728"/>
      <c r="P54" s="728"/>
      <c r="Q54" s="726"/>
      <c r="R54" s="726"/>
      <c r="S54" s="726"/>
      <c r="T54" s="158"/>
      <c r="U54" s="1015"/>
      <c r="V54" s="408"/>
      <c r="W54" s="408"/>
      <c r="X54" s="20"/>
      <c r="Y54" s="417"/>
      <c r="Z54" s="417"/>
      <c r="AA54" s="417"/>
      <c r="AB54" s="417"/>
      <c r="AC54" s="417"/>
      <c r="AD54" s="417"/>
      <c r="AE54" s="417"/>
    </row>
    <row r="55" spans="1:34" s="893" customFormat="1" ht="12" customHeight="1">
      <c r="A55" s="309"/>
      <c r="B55" s="1297"/>
      <c r="C55" s="102"/>
      <c r="D55" s="474"/>
      <c r="E55" s="474"/>
      <c r="F55" s="474"/>
      <c r="G55" s="474" t="str">
        <f>"   of "&amp;TaxYear&amp;"."</f>
        <v xml:space="preserve">   of 2016.</v>
      </c>
      <c r="H55" s="474"/>
      <c r="I55" s="388"/>
      <c r="J55" s="388"/>
      <c r="K55" s="489"/>
      <c r="L55" s="728"/>
      <c r="M55" s="728"/>
      <c r="N55" s="728"/>
      <c r="O55" s="728"/>
      <c r="P55" s="728"/>
      <c r="Q55" s="726"/>
      <c r="R55" s="726"/>
      <c r="S55" s="726"/>
      <c r="T55" s="158"/>
      <c r="U55" s="1015"/>
      <c r="V55" s="408"/>
      <c r="W55" s="408"/>
      <c r="X55" s="20"/>
      <c r="Y55" s="417"/>
      <c r="Z55" s="417"/>
      <c r="AA55" s="417"/>
      <c r="AB55" s="417"/>
      <c r="AC55" s="417"/>
      <c r="AD55" s="417"/>
      <c r="AE55" s="417"/>
    </row>
    <row r="56" spans="1:34" ht="12" customHeight="1">
      <c r="A56" s="857"/>
      <c r="B56" s="693"/>
      <c r="C56" s="102"/>
      <c r="D56" s="60"/>
      <c r="E56" s="103" t="s">
        <v>1189</v>
      </c>
      <c r="F56" s="474"/>
      <c r="G56" s="94"/>
      <c r="H56" s="94"/>
      <c r="I56" s="388"/>
      <c r="J56" s="388"/>
      <c r="K56" s="489"/>
      <c r="L56" s="728"/>
      <c r="M56" s="728"/>
      <c r="N56" s="728"/>
      <c r="O56" s="728"/>
      <c r="P56" s="728"/>
      <c r="Q56" s="726"/>
      <c r="R56" s="726"/>
      <c r="S56" s="726"/>
      <c r="T56" s="158"/>
      <c r="U56" s="1066"/>
      <c r="V56" s="35"/>
      <c r="W56" s="35"/>
      <c r="X56" s="20"/>
      <c r="Y56" s="389"/>
      <c r="Z56" s="389"/>
      <c r="AA56" s="389"/>
      <c r="AB56" s="389"/>
      <c r="AC56" s="389"/>
      <c r="AD56" s="389"/>
      <c r="AE56" s="389"/>
    </row>
    <row r="57" spans="1:34" ht="12" customHeight="1" thickBot="1">
      <c r="A57" s="857"/>
      <c r="B57" s="1304"/>
      <c r="C57" s="1305"/>
      <c r="D57" s="1305"/>
      <c r="E57" s="1306"/>
      <c r="F57" s="1306"/>
      <c r="G57" s="107"/>
      <c r="H57" s="107"/>
      <c r="I57" s="411"/>
      <c r="J57" s="411"/>
      <c r="K57" s="1307"/>
      <c r="L57" s="1308"/>
      <c r="M57" s="1309"/>
      <c r="N57" s="1309"/>
      <c r="O57" s="411"/>
      <c r="P57" s="411"/>
      <c r="Q57" s="1308"/>
      <c r="R57" s="1309"/>
      <c r="S57" s="1309"/>
      <c r="T57" s="1310"/>
      <c r="U57" s="1066"/>
      <c r="V57" s="35"/>
      <c r="W57" s="35"/>
      <c r="X57" s="20"/>
      <c r="Y57" s="389"/>
      <c r="Z57" s="389"/>
      <c r="AA57" s="389"/>
      <c r="AB57" s="389"/>
      <c r="AC57" s="389"/>
      <c r="AD57" s="389"/>
      <c r="AE57" s="389"/>
    </row>
    <row r="58" spans="1:34" ht="1.5" customHeight="1">
      <c r="A58" s="857"/>
      <c r="B58" s="1311"/>
      <c r="C58" s="1312"/>
      <c r="D58" s="1312"/>
      <c r="E58" s="1313"/>
      <c r="F58" s="1313"/>
      <c r="G58" s="1314"/>
      <c r="H58" s="1314"/>
      <c r="I58" s="1315"/>
      <c r="J58" s="1315"/>
      <c r="K58" s="1316"/>
      <c r="L58" s="1317"/>
      <c r="M58" s="1318"/>
      <c r="N58" s="1318"/>
      <c r="O58" s="1315"/>
      <c r="P58" s="1315"/>
      <c r="Q58" s="1317"/>
      <c r="R58" s="1318"/>
      <c r="S58" s="1318"/>
      <c r="T58" s="1319"/>
      <c r="U58" s="1066"/>
      <c r="V58" s="35"/>
      <c r="W58" s="35"/>
      <c r="X58" s="20"/>
      <c r="Y58" s="389"/>
      <c r="Z58" s="389"/>
      <c r="AA58" s="389"/>
      <c r="AB58" s="389"/>
      <c r="AC58" s="389"/>
      <c r="AD58" s="389"/>
      <c r="AE58" s="389"/>
    </row>
    <row r="59" spans="1:34" s="3" customFormat="1" ht="22.5" customHeight="1">
      <c r="A59" s="936"/>
      <c r="B59" s="1302" t="s">
        <v>405</v>
      </c>
      <c r="C59" s="39"/>
      <c r="D59" s="39"/>
      <c r="E59" s="39"/>
      <c r="F59" s="39"/>
      <c r="G59" s="39"/>
      <c r="H59" s="39"/>
      <c r="I59" s="39"/>
      <c r="J59" s="39"/>
      <c r="K59" s="39"/>
      <c r="L59" s="39"/>
      <c r="M59" s="39"/>
      <c r="N59" s="39"/>
      <c r="O59" s="39"/>
      <c r="P59" s="1290"/>
      <c r="Q59" s="1290"/>
      <c r="R59" s="1290"/>
      <c r="S59" s="1321" t="s">
        <v>406</v>
      </c>
      <c r="T59" s="1303"/>
      <c r="U59" s="1291"/>
      <c r="V59" s="1292"/>
      <c r="W59" s="1292"/>
      <c r="X59" s="1292"/>
      <c r="Y59" s="366"/>
      <c r="Z59" s="366"/>
      <c r="AA59" s="366"/>
      <c r="AB59" s="366"/>
      <c r="AC59" s="366"/>
      <c r="AD59" s="366"/>
      <c r="AE59" s="366"/>
    </row>
    <row r="60" spans="1:34" s="907" customFormat="1" ht="21.75" customHeight="1">
      <c r="A60" s="933"/>
      <c r="B60" s="1082"/>
      <c r="C60" s="494"/>
      <c r="D60" s="494"/>
      <c r="E60" s="494"/>
      <c r="F60" s="494"/>
      <c r="G60" s="495"/>
      <c r="H60" s="493"/>
      <c r="I60" s="493"/>
      <c r="J60" s="1085"/>
      <c r="K60" s="1083"/>
      <c r="L60" s="1086" t="s">
        <v>395</v>
      </c>
      <c r="M60" s="1083"/>
      <c r="N60" s="1087" t="s">
        <v>41</v>
      </c>
      <c r="O60" s="1087"/>
      <c r="P60" s="1083"/>
      <c r="Q60" s="1083"/>
      <c r="R60" s="1083"/>
      <c r="S60" s="1083"/>
      <c r="T60" s="491"/>
      <c r="U60" s="1076"/>
      <c r="V60" s="1088"/>
      <c r="W60" s="1088"/>
      <c r="X60" s="1088"/>
      <c r="Y60" s="1089"/>
      <c r="Z60" s="1089"/>
      <c r="AA60" s="1089"/>
      <c r="AB60" s="1089"/>
      <c r="AC60" s="1089"/>
      <c r="AD60" s="1089"/>
      <c r="AE60" s="1089"/>
      <c r="AF60" s="3"/>
      <c r="AG60" s="3"/>
      <c r="AH60" s="3"/>
    </row>
    <row r="61" spans="1:34" ht="12" customHeight="1">
      <c r="A61" s="857"/>
      <c r="B61" s="693">
        <v>7</v>
      </c>
      <c r="C61" s="74" t="s">
        <v>306</v>
      </c>
      <c r="D61" s="74"/>
      <c r="E61" s="94"/>
      <c r="F61" s="94"/>
      <c r="G61" s="94"/>
      <c r="H61" s="94"/>
      <c r="I61" s="1402"/>
      <c r="J61" s="718"/>
      <c r="K61" s="719" t="s">
        <v>586</v>
      </c>
      <c r="L61" s="4949">
        <f>IF(AND(L47&gt;$X$21,YourAge&lt;50),$X$12,IF(L47&gt;$X$21,$X$14,IF(YourAge&lt;50,ROUNDUP($AA$62*L47,-1),ROUNDUP($AA$63*L47,-1))))</f>
        <v>6500</v>
      </c>
      <c r="M61" s="4950"/>
      <c r="N61" s="4950"/>
      <c r="O61" s="718"/>
      <c r="P61" s="718"/>
      <c r="Q61" s="4949">
        <f>IF(L61&lt;$AA$61,$AA$61,L61)</f>
        <v>6500</v>
      </c>
      <c r="R61" s="4950"/>
      <c r="S61" s="4950"/>
      <c r="T61" s="1329"/>
      <c r="U61" s="1330"/>
      <c r="V61" s="1331"/>
      <c r="W61" s="1331"/>
      <c r="X61" s="1331"/>
      <c r="Y61" s="1331"/>
      <c r="Z61" s="1331"/>
      <c r="AA61" s="2112">
        <v>200</v>
      </c>
      <c r="AB61" s="389"/>
      <c r="AC61" s="389"/>
      <c r="AD61" s="389"/>
      <c r="AE61" s="389"/>
      <c r="AF61" s="3"/>
      <c r="AG61" s="3"/>
      <c r="AH61" s="3"/>
    </row>
    <row r="62" spans="1:34">
      <c r="A62" s="857"/>
      <c r="B62" s="693"/>
      <c r="C62" s="474" t="s">
        <v>307</v>
      </c>
      <c r="D62" s="474"/>
      <c r="E62" s="147"/>
      <c r="F62" s="147"/>
      <c r="G62" s="147"/>
      <c r="H62" s="95"/>
      <c r="I62" s="1183"/>
      <c r="J62" s="1092"/>
      <c r="K62" s="719" t="s">
        <v>587</v>
      </c>
      <c r="L62" s="4949" t="str">
        <f>IF(YourAge="?","",IF(YouR70Half,0,IF(AND(L47&gt;L49,YourAge&lt;50),$X$12,IF(L47&gt;L49,$X$14,IF(ROUNDUP(L64*L47,-1)&lt;$AA$61,$AA$61,ROUNDUP(L64*L47,-1))))))</f>
        <v/>
      </c>
      <c r="M62" s="4950"/>
      <c r="N62" s="4950"/>
      <c r="O62" s="1300"/>
      <c r="P62" s="719"/>
      <c r="Q62" s="4949">
        <f>IF(SpouseAge="®","",IF(SpouseIs70Half,0,IF(AND(Q47&gt;Q49,SpouseAge&lt;50),$X$12,IF(AND(Q47&gt;Q49),$X$14,IF(ROUNDUP(Q64*Q47,-1)&lt;$AA$61,$AA$61,ROUNDUP(Q64*Q47,-1))))))</f>
        <v>6500</v>
      </c>
      <c r="R62" s="4950"/>
      <c r="S62" s="4950"/>
      <c r="T62" s="1332"/>
      <c r="U62" s="1330"/>
      <c r="V62" s="1187"/>
      <c r="W62" s="1187"/>
      <c r="X62" s="1187"/>
      <c r="Y62" s="1187"/>
      <c r="Z62" s="1187"/>
      <c r="AA62" s="20">
        <v>0.55000000000000004</v>
      </c>
      <c r="AB62" s="389"/>
      <c r="AC62" s="389"/>
      <c r="AD62" s="389"/>
      <c r="AE62" s="389"/>
      <c r="AF62" s="3"/>
      <c r="AG62" s="3"/>
      <c r="AH62" s="3"/>
    </row>
    <row r="63" spans="1:34">
      <c r="A63" s="857"/>
      <c r="B63" s="693"/>
      <c r="C63" s="474" t="str">
        <f>"example, increase $490.30 to $500). If the result is "&amp;TEXT(AA61,"$0")&amp;", or more, enter the"</f>
        <v>example, increase $490.30 to $500). If the result is $200, or more, enter the</v>
      </c>
      <c r="D63" s="474"/>
      <c r="E63" s="147"/>
      <c r="F63" s="147"/>
      <c r="G63" s="147"/>
      <c r="H63" s="95"/>
      <c r="I63" s="1333"/>
      <c r="J63" s="1333"/>
      <c r="K63" s="1333"/>
      <c r="L63" s="1333"/>
      <c r="M63" s="1333"/>
      <c r="N63" s="1333"/>
      <c r="O63" s="1333"/>
      <c r="P63" s="1333"/>
      <c r="Q63" s="1333"/>
      <c r="R63" s="1333"/>
      <c r="S63" s="1333"/>
      <c r="T63" s="1332"/>
      <c r="U63" s="1330"/>
      <c r="V63" s="1187"/>
      <c r="W63" s="1187"/>
      <c r="X63" s="1187"/>
      <c r="Y63" s="1187"/>
      <c r="Z63" s="1187"/>
      <c r="AA63" s="20">
        <v>0.65</v>
      </c>
      <c r="AB63" s="389"/>
      <c r="AC63" s="389"/>
      <c r="AD63" s="389"/>
      <c r="AE63" s="389"/>
      <c r="AF63" s="3"/>
      <c r="AG63" s="3"/>
      <c r="AH63" s="3"/>
    </row>
    <row r="64" spans="1:34">
      <c r="A64" s="857"/>
      <c r="B64" s="693"/>
      <c r="C64" s="474" t="str">
        <f>"result. But if it is less than "&amp;TEXT(AA61,"$0")&amp;", enter "&amp;TEXT(AA61,"$0")&amp;"."</f>
        <v>result. But if it is less than $200, enter $200.</v>
      </c>
      <c r="D64" s="474"/>
      <c r="E64" s="147"/>
      <c r="F64" s="147"/>
      <c r="G64" s="147"/>
      <c r="H64" s="95"/>
      <c r="I64" s="1333"/>
      <c r="J64" s="1333"/>
      <c r="K64" s="1333"/>
      <c r="L64" s="2902">
        <f>IF(AND(K13&lt;&gt;"",YourAge&lt;50),AA64,IF(K13&lt;&gt;"",AA65,IF(YourAge&lt;50,AA62,AA63)))</f>
        <v>0.65</v>
      </c>
      <c r="M64" s="1333"/>
      <c r="N64" s="1333"/>
      <c r="O64" s="1333"/>
      <c r="P64" s="1333"/>
      <c r="Q64" s="2902">
        <f>IF(AND(P14&lt;&gt;"",SpouseAge&lt;50),AA64,IF(P14&lt;&gt;"",AA65,IF(SpouseAge&lt;50,AA62,AA63)))</f>
        <v>0.65</v>
      </c>
      <c r="R64" s="1333"/>
      <c r="S64" s="1333"/>
      <c r="T64" s="1332"/>
      <c r="U64" s="1330"/>
      <c r="V64" s="1187"/>
      <c r="W64" s="36" t="s">
        <v>149</v>
      </c>
      <c r="X64" s="36"/>
      <c r="Y64" s="389"/>
      <c r="Z64" s="1187"/>
      <c r="AA64" s="20">
        <v>0.27500000000000002</v>
      </c>
      <c r="AB64" s="389"/>
      <c r="AC64" s="389"/>
      <c r="AD64" s="389"/>
      <c r="AE64" s="389"/>
      <c r="AF64" s="3"/>
      <c r="AG64" s="3"/>
      <c r="AH64" s="3"/>
    </row>
    <row r="65" spans="1:34">
      <c r="A65" s="857"/>
      <c r="B65" s="693"/>
      <c r="C65" s="1295" t="s">
        <v>675</v>
      </c>
      <c r="D65" s="474" t="str">
        <f>"Single, head of household, or married filing separately, multiply by "&amp;TEXT(AA62,"0%")</f>
        <v>Single, head of household, or married filing separately, multiply by 55%</v>
      </c>
      <c r="E65" s="147"/>
      <c r="F65" s="147"/>
      <c r="G65" s="147"/>
      <c r="H65" s="95"/>
      <c r="I65" s="1333"/>
      <c r="J65" s="1403"/>
      <c r="K65" s="1328"/>
      <c r="L65" s="1246"/>
      <c r="M65" s="1246"/>
      <c r="N65" s="1246"/>
      <c r="O65" s="1246"/>
      <c r="P65" s="310"/>
      <c r="Q65" s="310"/>
      <c r="R65" s="1334"/>
      <c r="S65" s="1320" t="str">
        <f>IF(AND(K13&lt;&gt;"",File_Marr_Joint="",YourAge="®"),"Birthdate information needed on 'Form 1040', Row 73.",IF(AND(P14&lt;&gt;"",File_Marr_Joint&lt;&gt;"",SpouseAge=""),"Birthdate information needed on 'Form 1040', Rows 73 &amp; 75.",""))</f>
        <v/>
      </c>
      <c r="T65" s="1332"/>
      <c r="U65" s="1330"/>
      <c r="V65" s="1187"/>
      <c r="W65" s="4957" t="s">
        <v>150</v>
      </c>
      <c r="X65" s="4958"/>
      <c r="Y65" s="4958"/>
      <c r="Z65" s="1187"/>
      <c r="AA65" s="20">
        <v>0.32500000000000001</v>
      </c>
      <c r="AB65" s="389"/>
      <c r="AC65" s="389"/>
      <c r="AD65" s="389"/>
      <c r="AE65" s="389"/>
      <c r="AF65" s="3"/>
      <c r="AG65" s="3"/>
      <c r="AH65" s="3"/>
    </row>
    <row r="66" spans="1:34">
      <c r="A66" s="857"/>
      <c r="B66" s="693"/>
      <c r="C66" s="474"/>
      <c r="D66" s="474" t="str">
        <f>"("&amp;TEXT(AA62,"0.00")&amp;")(or by "&amp;TEXT(AA63,"0%")&amp;" ("&amp;TEXT(AA63,"0.00")&amp;") in the column for the IRA of a person who is age"</f>
        <v>(0.55)(or by 65% (0.65) in the column for the IRA of a person who is age</v>
      </c>
      <c r="E66" s="147"/>
      <c r="F66" s="147"/>
      <c r="G66" s="147"/>
      <c r="H66" s="95"/>
      <c r="I66" s="89"/>
      <c r="J66" s="89"/>
      <c r="K66" s="95"/>
      <c r="L66" s="1246"/>
      <c r="M66" s="1246"/>
      <c r="N66" s="1385"/>
      <c r="O66" s="1246"/>
      <c r="P66" s="726"/>
      <c r="Q66" s="1272"/>
      <c r="R66" s="1272"/>
      <c r="S66" s="1320" t="str">
        <f>IF(AND(K13&lt;&gt;"",DependentYOU="",YourAge="®"),"Your birthdate is needed on Form 1040, Column AF.","")</f>
        <v/>
      </c>
      <c r="T66" s="97"/>
      <c r="U66" s="1016"/>
      <c r="V66" s="35"/>
      <c r="W66" s="112"/>
      <c r="X66" s="986"/>
      <c r="Y66" s="112"/>
      <c r="Z66" s="112"/>
      <c r="AA66" s="986"/>
      <c r="AB66" s="857"/>
      <c r="AC66" s="389"/>
      <c r="AD66" s="389"/>
      <c r="AE66" s="389"/>
      <c r="AF66" s="3"/>
      <c r="AG66" s="3"/>
      <c r="AH66" s="3"/>
    </row>
    <row r="67" spans="1:34">
      <c r="A67" s="857"/>
      <c r="B67" s="693"/>
      <c r="C67" s="94"/>
      <c r="D67" s="94" t="str">
        <f>"50 or older at the end of "&amp;TaxYear&amp;")"</f>
        <v>50 or older at the end of 2016)</v>
      </c>
      <c r="E67" s="89"/>
      <c r="F67" s="89"/>
      <c r="G67" s="89"/>
      <c r="H67" s="95"/>
      <c r="I67" s="89"/>
      <c r="J67" s="1022" t="s">
        <v>154</v>
      </c>
      <c r="K67" s="104" t="s">
        <v>792</v>
      </c>
      <c r="L67" s="4951" t="str">
        <f>IF(X67&lt;&gt;"",X67,IF(OR(Yourself="",Q18,BadBirthdate_Yours,YouR70Half,LEFT(L37,3)="No."),"",IF(AND(K13="",YourAge&lt;50),$X$12,IF(AND(K13="",YourAge&gt;=50),$X$14,IF(OR(File_Single&lt;&gt;"",File_Head&lt;&gt;"",File_Marr_Sep&lt;&gt;""),Q61,IF(OR(File_Marr_Joint&lt;&gt;"",File_Qual_Widow&lt;&gt;""),L62,""))))))</f>
        <v/>
      </c>
      <c r="M67" s="4952"/>
      <c r="N67" s="4952"/>
      <c r="O67" s="1247"/>
      <c r="P67" s="104" t="s">
        <v>793</v>
      </c>
      <c r="Q67" s="4951" t="str">
        <f>IF(AA67&lt;&gt;"",AA67,IF(OR(R20,Q18,File_Marr_Joint="",SpouseAge="",LEFT(Q37,3)="No."),"",IF(SpouseIs70Half,0,IF(AND(K13="",P14="",SpouseAge&lt;50),$X$12,IF(AND(K13="",P14="",SpouseAge&gt;=50),$X$14,Q62)))))</f>
        <v/>
      </c>
      <c r="R67" s="4952"/>
      <c r="S67" s="4952"/>
      <c r="T67" s="684"/>
      <c r="U67" s="1066"/>
      <c r="V67" s="35"/>
      <c r="W67" s="114" t="s">
        <v>424</v>
      </c>
      <c r="X67" s="1185"/>
      <c r="Y67" s="114" t="s">
        <v>69</v>
      </c>
      <c r="Z67" s="114"/>
      <c r="AA67" s="1185"/>
      <c r="AB67" s="857"/>
      <c r="AC67" s="389"/>
      <c r="AD67" s="389"/>
      <c r="AE67" s="389"/>
      <c r="AF67" s="3"/>
      <c r="AG67" s="3"/>
      <c r="AH67" s="3"/>
    </row>
    <row r="68" spans="1:34">
      <c r="A68" s="857"/>
      <c r="B68" s="693"/>
      <c r="C68" s="1295" t="s">
        <v>675</v>
      </c>
      <c r="D68" s="474" t="str">
        <f>"Married filing jointly or qualifying widow(er), multiply by "&amp;TEXT(AA64,"0.0%")&amp;" ("&amp;TEXT(AA64,"0.000")&amp;") (or by"</f>
        <v>Married filing jointly or qualifying widow(er), multiply by 27.5% (0.275) (or by</v>
      </c>
      <c r="E68" s="147"/>
      <c r="F68" s="147"/>
      <c r="G68" s="147"/>
      <c r="H68" s="95"/>
      <c r="I68" s="89"/>
      <c r="J68" s="89"/>
      <c r="K68" s="95"/>
      <c r="L68" s="1246"/>
      <c r="M68" s="1246"/>
      <c r="N68" s="1246"/>
      <c r="O68" s="1246"/>
      <c r="P68" s="726"/>
      <c r="Q68" s="1272"/>
      <c r="R68" s="1272"/>
      <c r="S68" s="1272"/>
      <c r="T68" s="97"/>
      <c r="U68" s="1016"/>
      <c r="V68" s="35"/>
      <c r="W68" s="112"/>
      <c r="X68" s="986"/>
      <c r="Y68" s="112"/>
      <c r="Z68" s="112"/>
      <c r="AA68" s="986"/>
      <c r="AB68" s="857"/>
      <c r="AC68" s="389"/>
      <c r="AD68" s="389"/>
      <c r="AE68" s="389"/>
      <c r="AF68" s="3"/>
      <c r="AG68" s="3"/>
      <c r="AH68" s="3"/>
    </row>
    <row r="69" spans="1:34">
      <c r="A69" s="857"/>
      <c r="B69" s="693"/>
      <c r="C69" s="474"/>
      <c r="D69" s="474" t="str">
        <f>TEXT(AA65,"0.0%")&amp;" ("&amp;TEXT(AA65,"0.000")&amp;") in the column for the IRA of a person who is age 50 or older at"</f>
        <v>32.5% (0.325) in the column for the IRA of a person who is age 50 or older at</v>
      </c>
      <c r="E69" s="147"/>
      <c r="F69" s="147"/>
      <c r="G69" s="147"/>
      <c r="H69" s="95"/>
      <c r="I69" s="89"/>
      <c r="J69" s="89"/>
      <c r="K69" s="95"/>
      <c r="L69" s="1246"/>
      <c r="M69" s="1246"/>
      <c r="N69" s="1246"/>
      <c r="O69" s="1246"/>
      <c r="P69" s="726"/>
      <c r="Q69" s="1272"/>
      <c r="R69" s="1272"/>
      <c r="S69" s="1272"/>
      <c r="T69" s="97"/>
      <c r="U69" s="1016"/>
      <c r="V69" s="35"/>
      <c r="W69" s="112"/>
      <c r="X69" s="986"/>
      <c r="Y69" s="112"/>
      <c r="Z69" s="112"/>
      <c r="AA69" s="986"/>
      <c r="AB69" s="857"/>
      <c r="AC69" s="389"/>
      <c r="AD69" s="389"/>
      <c r="AE69" s="389"/>
    </row>
    <row r="70" spans="1:34">
      <c r="A70" s="857"/>
      <c r="B70" s="693"/>
      <c r="C70" s="474"/>
      <c r="D70" s="474" t="str">
        <f>"the end of "&amp;TaxYear&amp;"). But if you checked “No” on either line 1a or 1b, then in"</f>
        <v>the end of 2016). But if you checked “No” on either line 1a or 1b, then in</v>
      </c>
      <c r="E70" s="147"/>
      <c r="F70" s="147"/>
      <c r="G70" s="147"/>
      <c r="H70" s="95"/>
      <c r="I70" s="89"/>
      <c r="J70" s="89"/>
      <c r="K70" s="95"/>
      <c r="L70" s="1246"/>
      <c r="M70" s="1246"/>
      <c r="N70" s="1246"/>
      <c r="O70" s="1246"/>
      <c r="P70" s="726"/>
      <c r="Q70" s="1272"/>
      <c r="R70" s="1272"/>
      <c r="S70" s="1272"/>
      <c r="T70" s="97"/>
      <c r="U70" s="1016"/>
      <c r="V70" s="35"/>
      <c r="W70" s="112"/>
      <c r="X70" s="986"/>
      <c r="Y70" s="112"/>
      <c r="Z70" s="112"/>
      <c r="AA70" s="986"/>
      <c r="AB70" s="857"/>
      <c r="AC70" s="389"/>
      <c r="AD70" s="389"/>
      <c r="AE70" s="389"/>
    </row>
    <row r="71" spans="1:34">
      <c r="A71" s="857"/>
      <c r="B71" s="693"/>
      <c r="C71" s="474"/>
      <c r="D71" s="474" t="s">
        <v>153</v>
      </c>
      <c r="E71" s="147"/>
      <c r="F71" s="147"/>
      <c r="G71" s="147"/>
      <c r="H71" s="95"/>
      <c r="I71" s="89"/>
      <c r="J71" s="89"/>
      <c r="K71" s="95"/>
      <c r="L71" s="1246"/>
      <c r="M71" s="1246"/>
      <c r="N71" s="1246"/>
      <c r="O71" s="1246"/>
      <c r="P71" s="726"/>
      <c r="Q71" s="1272"/>
      <c r="R71" s="1272"/>
      <c r="S71" s="1272"/>
      <c r="T71" s="97"/>
      <c r="U71" s="1016"/>
      <c r="V71" s="35"/>
      <c r="W71" s="112"/>
      <c r="X71" s="986"/>
      <c r="Y71" s="112"/>
      <c r="Z71" s="112"/>
      <c r="AA71" s="986"/>
      <c r="AB71" s="857"/>
      <c r="AC71" s="389"/>
      <c r="AD71" s="389"/>
      <c r="AE71" s="389"/>
    </row>
    <row r="72" spans="1:34">
      <c r="A72" s="857"/>
      <c r="B72" s="693"/>
      <c r="C72" s="474"/>
      <c r="D72" s="474" t="str">
        <f>"plan, multiply by "&amp;TEXT(AA62,"0%")&amp;" ("&amp;TEXT(AA62,"0.00")&amp;") (or by "&amp;TEXT(AA63,"0%")&amp;" ("&amp;TEXT(AA63,"0.00")&amp;") if age 50 or older at the end"</f>
        <v>plan, multiply by 55% (0.55) (or by 65% (0.65) if age 50 or older at the end</v>
      </c>
      <c r="E72" s="147"/>
      <c r="F72" s="147"/>
      <c r="G72" s="147"/>
      <c r="H72" s="95"/>
      <c r="I72" s="89"/>
      <c r="J72" s="89"/>
      <c r="K72" s="95"/>
      <c r="L72" s="1246"/>
      <c r="M72" s="1246"/>
      <c r="N72" s="1246"/>
      <c r="O72" s="1246"/>
      <c r="P72" s="726"/>
      <c r="Q72" s="1272"/>
      <c r="R72" s="1272"/>
      <c r="S72" s="1272"/>
      <c r="T72" s="97"/>
      <c r="U72" s="1016"/>
      <c r="V72" s="35"/>
      <c r="W72" s="112"/>
      <c r="X72" s="986"/>
      <c r="Y72" s="112"/>
      <c r="Z72" s="112"/>
      <c r="AA72" s="986"/>
      <c r="AB72" s="857"/>
      <c r="AC72" s="389"/>
      <c r="AD72" s="389"/>
      <c r="AE72" s="389"/>
    </row>
    <row r="73" spans="1:34">
      <c r="A73" s="857"/>
      <c r="B73" s="693"/>
      <c r="C73" s="474"/>
      <c r="D73" s="474" t="str">
        <f>"of "&amp;TaxYear&amp;")"</f>
        <v>of 2016)</v>
      </c>
      <c r="E73" s="147"/>
      <c r="F73" s="147"/>
      <c r="G73" s="147"/>
      <c r="H73" s="95"/>
      <c r="I73" s="89"/>
      <c r="J73" s="89"/>
      <c r="K73" s="95"/>
      <c r="L73" s="1246"/>
      <c r="M73" s="1246"/>
      <c r="N73" s="1246"/>
      <c r="O73" s="1246"/>
      <c r="P73" s="726"/>
      <c r="Q73" s="1272"/>
      <c r="R73" s="1272"/>
      <c r="S73" s="1272"/>
      <c r="T73" s="97"/>
      <c r="U73" s="1016"/>
      <c r="V73" s="35"/>
      <c r="W73" s="112"/>
      <c r="X73" s="986"/>
      <c r="Y73" s="112"/>
      <c r="Z73" s="112"/>
      <c r="AA73" s="986"/>
      <c r="AB73" s="857"/>
      <c r="AC73" s="389"/>
      <c r="AD73" s="389"/>
      <c r="AE73" s="389"/>
    </row>
    <row r="74" spans="1:34" ht="12.75" customHeight="1">
      <c r="A74" s="857"/>
      <c r="B74" s="693">
        <v>8</v>
      </c>
      <c r="C74" s="94" t="s">
        <v>428</v>
      </c>
      <c r="D74" s="94"/>
      <c r="E74" s="89"/>
      <c r="F74" s="89"/>
      <c r="G74" s="89"/>
      <c r="H74" s="95"/>
      <c r="I74" s="89"/>
      <c r="J74" s="89"/>
      <c r="K74" s="104"/>
      <c r="L74" s="1211"/>
      <c r="M74" s="1249"/>
      <c r="N74" s="403"/>
      <c r="O74" s="184"/>
      <c r="P74" s="104"/>
      <c r="Q74" s="1186"/>
      <c r="R74" s="94"/>
      <c r="S74" s="584"/>
      <c r="T74" s="684"/>
      <c r="U74" s="1066"/>
      <c r="V74" s="35"/>
      <c r="W74" s="112"/>
      <c r="X74" s="986"/>
      <c r="Y74" s="112"/>
      <c r="Z74" s="112"/>
      <c r="AA74" s="986"/>
      <c r="AB74" s="857"/>
      <c r="AC74" s="389"/>
      <c r="AD74" s="389"/>
      <c r="AE74" s="389"/>
    </row>
    <row r="75" spans="1:34" ht="12.75" customHeight="1">
      <c r="A75" s="857"/>
      <c r="B75" s="693"/>
      <c r="C75" s="1295" t="s">
        <v>675</v>
      </c>
      <c r="D75" s="168" t="s">
        <v>1190</v>
      </c>
      <c r="E75" s="89"/>
      <c r="F75" s="89"/>
      <c r="G75" s="89"/>
      <c r="H75" s="95"/>
      <c r="I75" s="89"/>
      <c r="J75" s="89"/>
      <c r="K75" s="104"/>
      <c r="L75" s="1211"/>
      <c r="M75" s="184"/>
      <c r="N75" s="184"/>
      <c r="O75" s="184"/>
      <c r="P75" s="104"/>
      <c r="Q75" s="1186"/>
      <c r="R75" s="94"/>
      <c r="S75" s="94"/>
      <c r="T75" s="684"/>
      <c r="U75" s="1066"/>
      <c r="V75" s="35"/>
      <c r="W75" s="36" t="s">
        <v>149</v>
      </c>
      <c r="X75" s="36"/>
      <c r="Y75" s="389"/>
      <c r="Z75" s="389"/>
      <c r="AA75" s="389"/>
      <c r="AB75" s="389"/>
      <c r="AC75" s="389"/>
      <c r="AD75" s="389"/>
      <c r="AE75" s="389"/>
    </row>
    <row r="76" spans="1:34" ht="12.75" customHeight="1">
      <c r="A76" s="857"/>
      <c r="B76" s="693"/>
      <c r="C76" s="94"/>
      <c r="D76" s="168" t="s">
        <v>1191</v>
      </c>
      <c r="E76" s="168"/>
      <c r="F76" s="89"/>
      <c r="G76" s="89"/>
      <c r="H76" s="95"/>
      <c r="I76" s="89"/>
      <c r="J76" s="89"/>
      <c r="K76" s="104"/>
      <c r="L76" s="1211"/>
      <c r="M76" s="184"/>
      <c r="N76" s="184"/>
      <c r="O76" s="184"/>
      <c r="P76" s="104"/>
      <c r="Q76" s="1186"/>
      <c r="R76" s="94"/>
      <c r="S76" s="94"/>
      <c r="T76" s="684"/>
      <c r="U76" s="1066"/>
      <c r="V76" s="35"/>
      <c r="W76" s="4957" t="s">
        <v>150</v>
      </c>
      <c r="X76" s="4958"/>
      <c r="Y76" s="4958"/>
      <c r="Z76" s="389"/>
      <c r="AA76" s="389"/>
      <c r="AB76" s="389"/>
      <c r="AC76" s="389"/>
      <c r="AD76" s="389"/>
      <c r="AE76" s="389"/>
    </row>
    <row r="77" spans="1:34" ht="12.75" customHeight="1">
      <c r="A77" s="857"/>
      <c r="B77" s="693"/>
      <c r="C77" s="94"/>
      <c r="D77" s="168" t="s">
        <v>1192</v>
      </c>
      <c r="E77" s="168"/>
      <c r="F77" s="89"/>
      <c r="G77" s="89"/>
      <c r="H77" s="95"/>
      <c r="I77" s="89"/>
      <c r="J77" s="89"/>
      <c r="K77" s="104"/>
      <c r="L77" s="1211"/>
      <c r="M77" s="184"/>
      <c r="N77" s="184"/>
      <c r="O77" s="184"/>
      <c r="P77" s="104"/>
      <c r="Q77" s="1186"/>
      <c r="R77" s="94"/>
      <c r="S77" s="94"/>
      <c r="T77" s="684"/>
      <c r="U77" s="1066"/>
      <c r="V77" s="35"/>
      <c r="W77" s="112"/>
      <c r="X77" s="986"/>
      <c r="Y77" s="857"/>
      <c r="Z77" s="857"/>
      <c r="AA77" s="389"/>
      <c r="AB77" s="389"/>
      <c r="AC77" s="389"/>
      <c r="AD77" s="389"/>
      <c r="AE77" s="389"/>
    </row>
    <row r="78" spans="1:34" ht="12.75" customHeight="1">
      <c r="A78" s="857"/>
      <c r="B78" s="693"/>
      <c r="C78" s="1295" t="s">
        <v>675</v>
      </c>
      <c r="D78" s="168" t="s">
        <v>1525</v>
      </c>
      <c r="E78" s="89"/>
      <c r="F78" s="89"/>
      <c r="G78" s="89"/>
      <c r="H78" s="95">
        <f>B74</f>
        <v>8</v>
      </c>
      <c r="I78" s="4954">
        <f>IF(X78&lt;&gt;"",X78,ROUND(SUM('1040'!AB38,'1040'!AB44,X82),2))</f>
        <v>0</v>
      </c>
      <c r="J78" s="4948"/>
      <c r="K78" s="104"/>
      <c r="L78" s="1211"/>
      <c r="M78" s="184"/>
      <c r="N78" s="184"/>
      <c r="O78" s="184"/>
      <c r="P78" s="104"/>
      <c r="Q78" s="1186"/>
      <c r="R78" s="94"/>
      <c r="S78" s="94"/>
      <c r="T78" s="684"/>
      <c r="U78" s="1066"/>
      <c r="V78" s="35"/>
      <c r="W78" s="1219" t="s">
        <v>174</v>
      </c>
      <c r="X78" s="1185"/>
      <c r="Y78" s="857"/>
      <c r="Z78" s="857"/>
      <c r="AA78" s="389"/>
      <c r="AB78" s="389"/>
      <c r="AC78" s="389"/>
      <c r="AD78" s="389"/>
      <c r="AE78" s="389"/>
    </row>
    <row r="79" spans="1:34" ht="12.75" customHeight="1">
      <c r="A79" s="857"/>
      <c r="B79" s="693"/>
      <c r="C79" s="94"/>
      <c r="D79" s="168" t="s">
        <v>1526</v>
      </c>
      <c r="E79" s="89"/>
      <c r="F79" s="89"/>
      <c r="G79" s="89"/>
      <c r="H79" s="95"/>
      <c r="I79" s="89"/>
      <c r="J79" s="89"/>
      <c r="K79" s="104"/>
      <c r="L79" s="1211"/>
      <c r="M79" s="184"/>
      <c r="N79" s="184"/>
      <c r="O79" s="184"/>
      <c r="P79" s="104"/>
      <c r="Q79" s="1186"/>
      <c r="R79" s="94"/>
      <c r="S79" s="94"/>
      <c r="T79" s="684"/>
      <c r="U79" s="1066"/>
      <c r="V79" s="35"/>
      <c r="W79" s="112"/>
      <c r="X79" s="986"/>
      <c r="Y79" s="857"/>
      <c r="Z79" s="857"/>
      <c r="AA79" s="389"/>
      <c r="AB79" s="389"/>
      <c r="AC79" s="389"/>
      <c r="AD79" s="389"/>
      <c r="AE79" s="389"/>
    </row>
    <row r="80" spans="1:34" ht="12.75" customHeight="1">
      <c r="A80" s="857"/>
      <c r="B80" s="693"/>
      <c r="C80" s="1295" t="s">
        <v>675</v>
      </c>
      <c r="D80" s="168" t="s">
        <v>958</v>
      </c>
      <c r="E80" s="168"/>
      <c r="F80" s="89"/>
      <c r="G80" s="89"/>
      <c r="H80" s="95"/>
      <c r="I80" s="89"/>
      <c r="J80" s="89"/>
      <c r="K80" s="104"/>
      <c r="L80" s="1211"/>
      <c r="M80" s="184"/>
      <c r="N80" s="184"/>
      <c r="O80" s="184"/>
      <c r="P80" s="104"/>
      <c r="Q80" s="1186"/>
      <c r="R80" s="94"/>
      <c r="S80" s="94"/>
      <c r="T80" s="684"/>
      <c r="U80" s="1066"/>
      <c r="V80" s="35"/>
      <c r="W80" s="35"/>
      <c r="X80" s="20"/>
      <c r="Y80" s="389"/>
      <c r="Z80" s="389"/>
      <c r="AA80" s="389"/>
      <c r="AB80" s="389"/>
      <c r="AC80" s="389"/>
      <c r="AD80" s="389"/>
      <c r="AE80" s="389"/>
    </row>
    <row r="81" spans="1:31">
      <c r="A81" s="857"/>
      <c r="B81" s="693"/>
      <c r="C81" s="94"/>
      <c r="D81" s="168" t="s">
        <v>959</v>
      </c>
      <c r="E81" s="168"/>
      <c r="F81" s="89"/>
      <c r="G81" s="89"/>
      <c r="H81" s="95"/>
      <c r="I81" s="89"/>
      <c r="J81" s="89"/>
      <c r="K81" s="104"/>
      <c r="L81" s="1211"/>
      <c r="M81" s="184"/>
      <c r="N81" s="184"/>
      <c r="O81" s="184"/>
      <c r="P81" s="104"/>
      <c r="Q81" s="1186"/>
      <c r="R81" s="94"/>
      <c r="S81" s="94"/>
      <c r="T81" s="684"/>
      <c r="U81" s="1066"/>
      <c r="V81" s="89"/>
      <c r="W81" s="112"/>
      <c r="X81" s="1218" t="s">
        <v>638</v>
      </c>
      <c r="Y81" s="1221" t="s">
        <v>770</v>
      </c>
      <c r="Z81" s="1221"/>
      <c r="AA81" s="389"/>
      <c r="AB81" s="389"/>
      <c r="AC81" s="389"/>
      <c r="AD81" s="389"/>
      <c r="AE81" s="389"/>
    </row>
    <row r="82" spans="1:31" ht="13.5" customHeight="1">
      <c r="A82" s="857"/>
      <c r="B82" s="693">
        <v>9</v>
      </c>
      <c r="C82" s="94" t="s">
        <v>342</v>
      </c>
      <c r="D82" s="94"/>
      <c r="E82" s="89"/>
      <c r="F82" s="89"/>
      <c r="G82" s="89"/>
      <c r="H82" s="95"/>
      <c r="I82" s="89"/>
      <c r="J82" s="89"/>
      <c r="K82" s="104"/>
      <c r="L82" s="1211"/>
      <c r="M82" s="184"/>
      <c r="N82" s="184"/>
      <c r="O82" s="184"/>
      <c r="P82" s="104"/>
      <c r="Q82" s="1186"/>
      <c r="R82" s="94"/>
      <c r="S82" s="94"/>
      <c r="T82" s="684"/>
      <c r="U82" s="1066"/>
      <c r="V82" s="89"/>
      <c r="W82" s="1219" t="s">
        <v>355</v>
      </c>
      <c r="X82" s="1222"/>
      <c r="Y82" s="1220" t="s">
        <v>771</v>
      </c>
      <c r="Z82" s="1220"/>
      <c r="AA82" s="389"/>
      <c r="AB82" s="389"/>
      <c r="AC82" s="389"/>
      <c r="AD82" s="389"/>
      <c r="AE82" s="389"/>
    </row>
    <row r="83" spans="1:31" ht="13.5" customHeight="1">
      <c r="A83" s="857"/>
      <c r="B83" s="693"/>
      <c r="C83" s="94" t="s">
        <v>343</v>
      </c>
      <c r="D83" s="94"/>
      <c r="E83" s="89"/>
      <c r="F83" s="89"/>
      <c r="G83" s="89"/>
      <c r="H83" s="95"/>
      <c r="I83" s="89"/>
      <c r="J83" s="89"/>
      <c r="K83" s="104"/>
      <c r="L83" s="1211"/>
      <c r="M83" s="184"/>
      <c r="N83" s="184"/>
      <c r="O83" s="184"/>
      <c r="P83" s="104"/>
      <c r="Q83" s="1186"/>
      <c r="R83" s="94"/>
      <c r="S83" s="94"/>
      <c r="T83" s="684"/>
      <c r="U83" s="1066"/>
      <c r="V83" s="89"/>
      <c r="W83" s="112"/>
      <c r="X83" s="1216" t="s">
        <v>131</v>
      </c>
      <c r="Y83" s="857"/>
      <c r="Z83" s="857"/>
      <c r="AA83" s="389"/>
      <c r="AB83" s="389"/>
      <c r="AC83" s="389"/>
      <c r="AD83" s="389"/>
      <c r="AE83" s="389"/>
    </row>
    <row r="84" spans="1:31" ht="13.5" customHeight="1">
      <c r="A84" s="857"/>
      <c r="B84" s="693"/>
      <c r="C84" s="94" t="s">
        <v>241</v>
      </c>
      <c r="D84" s="94"/>
      <c r="E84" s="89"/>
      <c r="F84" s="89"/>
      <c r="G84" s="89"/>
      <c r="H84" s="95"/>
      <c r="I84" s="89"/>
      <c r="J84" s="89"/>
      <c r="K84" s="104"/>
      <c r="L84" s="1211"/>
      <c r="M84" s="184"/>
      <c r="N84" s="184"/>
      <c r="O84" s="184"/>
      <c r="P84" s="104"/>
      <c r="Q84" s="1186"/>
      <c r="R84" s="94"/>
      <c r="S84" s="94"/>
      <c r="T84" s="684"/>
      <c r="U84" s="1066"/>
      <c r="V84" s="180"/>
      <c r="W84" s="180"/>
      <c r="X84" s="35"/>
      <c r="Y84" s="389"/>
      <c r="Z84" s="389"/>
      <c r="AA84" s="389"/>
      <c r="AB84" s="389"/>
      <c r="AC84" s="389"/>
      <c r="AD84" s="389"/>
      <c r="AE84" s="389"/>
    </row>
    <row r="85" spans="1:31" ht="13.5" customHeight="1">
      <c r="A85" s="857"/>
      <c r="B85" s="693"/>
      <c r="C85" s="94" t="s">
        <v>470</v>
      </c>
      <c r="D85" s="94"/>
      <c r="E85" s="89"/>
      <c r="F85" s="89"/>
      <c r="G85" s="89"/>
      <c r="H85" s="95"/>
      <c r="I85" s="89"/>
      <c r="J85" s="89"/>
      <c r="K85" s="104"/>
      <c r="L85" s="1211"/>
      <c r="M85" s="184"/>
      <c r="N85" s="184"/>
      <c r="O85" s="184"/>
      <c r="P85" s="104"/>
      <c r="Q85" s="1186"/>
      <c r="R85" s="94"/>
      <c r="S85" s="94"/>
      <c r="T85" s="684"/>
      <c r="U85" s="1066"/>
      <c r="V85" s="180"/>
      <c r="W85" s="36"/>
      <c r="X85" s="36"/>
      <c r="Y85" s="389"/>
      <c r="Z85" s="389"/>
      <c r="AA85" s="389"/>
      <c r="AB85" s="389"/>
      <c r="AC85" s="389"/>
      <c r="AD85" s="389"/>
      <c r="AE85" s="389"/>
    </row>
    <row r="86" spans="1:31" ht="13.5" customHeight="1">
      <c r="A86" s="857"/>
      <c r="B86" s="693"/>
      <c r="C86" s="94" t="s">
        <v>448</v>
      </c>
      <c r="D86" s="94"/>
      <c r="E86" s="89"/>
      <c r="F86" s="89"/>
      <c r="G86" s="89"/>
      <c r="H86" s="95"/>
      <c r="I86" s="89"/>
      <c r="J86" s="89"/>
      <c r="K86" s="104"/>
      <c r="L86" s="1211"/>
      <c r="M86" s="184"/>
      <c r="N86" s="184"/>
      <c r="O86" s="184"/>
      <c r="P86" s="104"/>
      <c r="Q86" s="1186"/>
      <c r="R86" s="94"/>
      <c r="S86" s="94"/>
      <c r="T86" s="684"/>
      <c r="U86" s="1066"/>
      <c r="V86" s="180"/>
      <c r="W86" s="4957"/>
      <c r="X86" s="4958"/>
      <c r="Y86" s="4958"/>
      <c r="Z86" s="389"/>
      <c r="AA86" s="389"/>
      <c r="AB86" s="389"/>
      <c r="AC86" s="389"/>
      <c r="AD86" s="389"/>
      <c r="AE86" s="389"/>
    </row>
    <row r="87" spans="1:31" ht="13.5" customHeight="1">
      <c r="A87" s="857"/>
      <c r="B87" s="693"/>
      <c r="C87" s="94" t="s">
        <v>300</v>
      </c>
      <c r="D87" s="94"/>
      <c r="E87" s="89"/>
      <c r="F87" s="89"/>
      <c r="G87" s="89"/>
      <c r="H87" s="95"/>
      <c r="I87" s="89"/>
      <c r="J87" s="89"/>
      <c r="K87" s="104"/>
      <c r="L87" s="1211"/>
      <c r="M87" s="184"/>
      <c r="N87" s="184"/>
      <c r="O87" s="184"/>
      <c r="P87" s="104"/>
      <c r="Q87" s="1186"/>
      <c r="R87" s="94"/>
      <c r="S87" s="94"/>
      <c r="T87" s="684"/>
      <c r="U87" s="1066"/>
      <c r="V87" s="180"/>
      <c r="W87" s="4957"/>
      <c r="X87" s="4958"/>
      <c r="Y87" s="4958"/>
      <c r="Z87" s="389"/>
      <c r="AA87" s="389"/>
      <c r="AB87" s="389"/>
      <c r="AC87" s="389"/>
      <c r="AD87" s="389"/>
      <c r="AE87" s="389"/>
    </row>
    <row r="88" spans="1:31" ht="15.75" customHeight="1">
      <c r="A88" s="857"/>
      <c r="B88" s="693"/>
      <c r="C88" s="103" t="s">
        <v>3023</v>
      </c>
      <c r="D88" s="94"/>
      <c r="E88" s="89"/>
      <c r="F88" s="89"/>
      <c r="G88" s="89"/>
      <c r="H88" s="95">
        <f>B82</f>
        <v>9</v>
      </c>
      <c r="I88" s="4953"/>
      <c r="J88" s="4595"/>
      <c r="K88" s="104"/>
      <c r="L88" s="1211"/>
      <c r="M88" s="184"/>
      <c r="N88" s="184"/>
      <c r="O88" s="184"/>
      <c r="P88" s="104"/>
      <c r="Q88" s="1186"/>
      <c r="R88" s="94"/>
      <c r="S88" s="94"/>
      <c r="T88" s="684"/>
      <c r="U88" s="1066"/>
      <c r="V88" s="180"/>
      <c r="W88" s="4957"/>
      <c r="X88" s="4958"/>
      <c r="Y88" s="4958"/>
      <c r="Z88" s="389"/>
      <c r="AA88" s="389"/>
      <c r="AB88" s="389"/>
      <c r="AC88" s="389"/>
      <c r="AD88" s="389"/>
      <c r="AE88" s="389"/>
    </row>
    <row r="89" spans="1:31" s="1232" customFormat="1" ht="18" customHeight="1">
      <c r="A89" s="1223"/>
      <c r="B89" s="693">
        <v>10</v>
      </c>
      <c r="C89" s="1224" t="s">
        <v>449</v>
      </c>
      <c r="D89" s="1224"/>
      <c r="E89" s="1224"/>
      <c r="F89" s="1224"/>
      <c r="G89" s="101" t="s">
        <v>1527</v>
      </c>
      <c r="H89" s="1225">
        <f>B89</f>
        <v>10</v>
      </c>
      <c r="I89" s="4954">
        <f>ROUND(SUM(I78,I88),2)</f>
        <v>0</v>
      </c>
      <c r="J89" s="4948"/>
      <c r="K89" s="1226"/>
      <c r="L89" s="1227"/>
      <c r="M89" s="1228"/>
      <c r="N89" s="1228"/>
      <c r="O89" s="1228"/>
      <c r="P89" s="1226"/>
      <c r="Q89" s="1224"/>
      <c r="R89" s="1224"/>
      <c r="S89" s="1224"/>
      <c r="T89" s="1229"/>
      <c r="U89" s="1230"/>
      <c r="V89" s="1231"/>
      <c r="W89" s="4957"/>
      <c r="X89" s="4958"/>
      <c r="Y89" s="4958"/>
      <c r="Z89" s="389"/>
      <c r="AA89" s="1231"/>
      <c r="AB89" s="1231"/>
      <c r="AC89" s="1231"/>
      <c r="AD89" s="1231"/>
      <c r="AE89" s="1231"/>
    </row>
    <row r="90" spans="1:31" ht="6.75" customHeight="1" thickBot="1">
      <c r="A90" s="857"/>
      <c r="B90" s="693"/>
      <c r="C90" s="94"/>
      <c r="D90" s="94"/>
      <c r="E90" s="171"/>
      <c r="F90" s="171"/>
      <c r="G90" s="171"/>
      <c r="H90" s="95"/>
      <c r="I90" s="392"/>
      <c r="J90" s="392"/>
      <c r="K90" s="95"/>
      <c r="L90" s="89"/>
      <c r="M90" s="89"/>
      <c r="N90" s="89"/>
      <c r="O90" s="89"/>
      <c r="P90" s="89"/>
      <c r="Q90" s="89"/>
      <c r="R90" s="89"/>
      <c r="S90" s="89"/>
      <c r="T90" s="97"/>
      <c r="U90" s="1016"/>
      <c r="V90" s="180"/>
      <c r="W90" s="4957"/>
      <c r="X90" s="4958"/>
      <c r="Y90" s="4958"/>
      <c r="Z90" s="389"/>
      <c r="AA90" s="389"/>
      <c r="AB90" s="389"/>
      <c r="AC90" s="389"/>
      <c r="AD90" s="389"/>
      <c r="AE90" s="389"/>
    </row>
    <row r="91" spans="1:31" ht="13.5" customHeight="1">
      <c r="A91" s="857"/>
      <c r="B91" s="693"/>
      <c r="C91" s="379"/>
      <c r="D91" s="379"/>
      <c r="E91" s="720"/>
      <c r="F91" s="720"/>
      <c r="G91" s="722" t="str">
        <f>"If married filing jointly and line "&amp;B89&amp;" is less than "&amp;TEXT(X91,"$0,000")&amp;" ("&amp;TEXT(X92,"$0,000")&amp;" if one"</f>
        <v>If married filing jointly and line 10 is less than $11,000 ($12,000 if one</v>
      </c>
      <c r="H91" s="91"/>
      <c r="I91" s="91"/>
      <c r="J91" s="91"/>
      <c r="K91" s="90"/>
      <c r="L91" s="89"/>
      <c r="M91" s="89"/>
      <c r="N91" s="89"/>
      <c r="O91" s="89"/>
      <c r="P91" s="95"/>
      <c r="Q91" s="89"/>
      <c r="R91" s="89"/>
      <c r="S91" s="89"/>
      <c r="T91" s="97"/>
      <c r="U91" s="1016"/>
      <c r="V91" s="180"/>
      <c r="W91" s="180"/>
      <c r="X91" s="1233">
        <v>11000</v>
      </c>
      <c r="Y91" s="389"/>
      <c r="Z91" s="389"/>
      <c r="AA91" s="389"/>
      <c r="AB91" s="389"/>
      <c r="AC91" s="389"/>
      <c r="AD91" s="389"/>
      <c r="AE91" s="389"/>
    </row>
    <row r="92" spans="1:31" ht="13.5" customHeight="1">
      <c r="A92" s="857"/>
      <c r="B92" s="693"/>
      <c r="C92" s="366"/>
      <c r="D92" s="366"/>
      <c r="E92" s="169"/>
      <c r="F92" s="169"/>
      <c r="G92" s="1090" t="str">
        <f>"spouse is age 50 or older at the end of "&amp;TaxYear&amp;"; "&amp;TEXT(X93,"$0,000")&amp;" if both "</f>
        <v xml:space="preserve">spouse is age 50 or older at the end of 2016; $13,000 if both </v>
      </c>
      <c r="H92" s="142"/>
      <c r="I92" s="142"/>
      <c r="J92" s="142"/>
      <c r="K92" s="95"/>
      <c r="L92" s="383"/>
      <c r="M92" s="383"/>
      <c r="N92" s="383"/>
      <c r="O92" s="383"/>
      <c r="P92" s="95"/>
      <c r="Q92" s="89"/>
      <c r="R92" s="89"/>
      <c r="S92" s="89"/>
      <c r="T92" s="97"/>
      <c r="U92" s="1016"/>
      <c r="V92" s="180"/>
      <c r="W92" s="180"/>
      <c r="X92" s="1233">
        <v>12000</v>
      </c>
      <c r="Y92" s="389"/>
      <c r="Z92" s="389"/>
      <c r="AA92" s="389"/>
      <c r="AB92" s="389"/>
      <c r="AC92" s="389"/>
      <c r="AD92" s="389"/>
      <c r="AE92" s="389"/>
    </row>
    <row r="93" spans="1:31" ht="13.5" customHeight="1">
      <c r="A93" s="857"/>
      <c r="B93" s="693"/>
      <c r="C93" s="366"/>
      <c r="D93" s="366"/>
      <c r="E93" s="169"/>
      <c r="F93" s="169"/>
      <c r="G93" s="1090" t="str">
        <f>"spouses are age 50 or older at the end of "&amp;TaxYear&amp;"), "</f>
        <v xml:space="preserve">spouses are age 50 or older at the end of 2016), </v>
      </c>
      <c r="H93" s="1091" t="s">
        <v>450</v>
      </c>
      <c r="I93" s="1091"/>
      <c r="J93" s="141"/>
      <c r="K93" s="95"/>
      <c r="L93" s="100"/>
      <c r="M93" s="100"/>
      <c r="N93" s="100"/>
      <c r="O93" s="100"/>
      <c r="P93" s="95"/>
      <c r="Q93" s="89"/>
      <c r="R93" s="89"/>
      <c r="S93" s="89"/>
      <c r="T93" s="97"/>
      <c r="U93" s="1016"/>
      <c r="V93" s="180"/>
      <c r="W93" s="180"/>
      <c r="X93" s="1233">
        <v>13000</v>
      </c>
      <c r="Y93" s="389"/>
      <c r="Z93" s="389"/>
      <c r="AA93" s="389"/>
      <c r="AB93" s="389"/>
      <c r="AC93" s="389"/>
      <c r="AD93" s="389"/>
      <c r="AE93" s="389"/>
    </row>
    <row r="94" spans="1:31" ht="13.5" customHeight="1">
      <c r="A94" s="857"/>
      <c r="B94" s="693"/>
      <c r="C94" s="366"/>
      <c r="D94" s="366"/>
      <c r="E94" s="169"/>
      <c r="F94" s="169"/>
      <c r="G94" s="3604" t="s">
        <v>3024</v>
      </c>
      <c r="H94" s="141"/>
      <c r="I94" s="668"/>
      <c r="J94" s="668"/>
      <c r="K94" s="410"/>
      <c r="L94" s="410">
        <f>IF(AND(YourAge&gt;=50,SpouseAge&gt;=50),X93,IF(OR(YourAge&gt;=50,SpouseAge&gt;=50),X92,X91))</f>
        <v>13000</v>
      </c>
      <c r="M94" s="410"/>
      <c r="N94" s="410"/>
      <c r="O94" s="410"/>
      <c r="P94" s="95"/>
      <c r="Q94" s="89"/>
      <c r="R94" s="89"/>
      <c r="S94" s="89"/>
      <c r="T94" s="97"/>
      <c r="U94" s="1016"/>
      <c r="V94" s="180"/>
      <c r="W94" s="180"/>
      <c r="X94" s="2112" t="str">
        <f>"April 15, "&amp;TaxYear+1</f>
        <v>April 15, 2017</v>
      </c>
      <c r="Y94" s="3605">
        <f>WEEKDAY(X94)</f>
        <v>7</v>
      </c>
      <c r="Z94" s="389"/>
      <c r="AA94" s="389"/>
      <c r="AB94" s="389"/>
      <c r="AC94" s="389"/>
      <c r="AD94" s="389"/>
      <c r="AE94" s="389"/>
    </row>
    <row r="95" spans="1:31" ht="13.5" customHeight="1" thickBot="1">
      <c r="A95" s="857"/>
      <c r="B95" s="693"/>
      <c r="C95" s="382"/>
      <c r="D95" s="382"/>
      <c r="E95" s="179"/>
      <c r="F95" s="179"/>
      <c r="G95" s="721" t="str">
        <f>IF(AND(L67="",Q67=""),"",IF(AND(File_Marr_Joint&lt;&gt;"",I89&lt;L94),"STOP HERE and see Publication 590 to figure your IRA deduction.",""))</f>
        <v/>
      </c>
      <c r="H95" s="393"/>
      <c r="I95" s="393"/>
      <c r="J95" s="393"/>
      <c r="K95" s="109"/>
      <c r="L95" s="100"/>
      <c r="M95" s="100"/>
      <c r="N95" s="100"/>
      <c r="O95" s="100"/>
      <c r="P95" s="95"/>
      <c r="Q95" s="100" t="str">
        <f>IF(AND(File_Marr_Joint&lt;&gt;"",I88&lt;4000,),"See Pub. 590 (below)","")</f>
        <v/>
      </c>
      <c r="R95" s="100"/>
      <c r="S95" s="100"/>
      <c r="T95" s="167"/>
      <c r="U95" s="1078"/>
      <c r="V95" s="180"/>
      <c r="W95" s="180"/>
      <c r="X95" s="2112"/>
      <c r="Y95" s="3605"/>
      <c r="Z95" s="389"/>
      <c r="AA95" s="389"/>
      <c r="AB95" s="389"/>
      <c r="AC95" s="389"/>
      <c r="AD95" s="389"/>
      <c r="AE95" s="389"/>
    </row>
    <row r="96" spans="1:31">
      <c r="A96" s="857"/>
      <c r="B96" s="693">
        <v>11</v>
      </c>
      <c r="C96" s="171" t="str">
        <f>"Enter traditional IRA contributions made, or that will be made by "&amp;TEXT(TaxDay,"mmmm d, yyyy")</f>
        <v>Enter traditional IRA contributions made, or that will be made by April 18, 2017</v>
      </c>
      <c r="D96" s="147"/>
      <c r="E96" s="147"/>
      <c r="F96" s="147"/>
      <c r="G96" s="147"/>
      <c r="H96" s="147"/>
      <c r="I96" s="147"/>
      <c r="J96" s="147"/>
      <c r="K96" s="95"/>
      <c r="L96" s="100"/>
      <c r="M96" s="100"/>
      <c r="N96" s="100"/>
      <c r="O96" s="100"/>
      <c r="P96" s="95"/>
      <c r="Q96" s="89"/>
      <c r="R96" s="89"/>
      <c r="S96" s="89"/>
      <c r="T96" s="97"/>
      <c r="U96" s="1016"/>
      <c r="V96" s="35"/>
      <c r="W96" s="35"/>
      <c r="X96" s="3606">
        <f>IF(Y94=6,X94+3,IF(TaxYear=2016,X94+3,IF(Y94=7,X94+2,IF(Y94=1,X94+1,X94))))</f>
        <v>42843</v>
      </c>
      <c r="Y96" s="3605"/>
      <c r="Z96" s="389"/>
      <c r="AA96" s="389"/>
      <c r="AB96" s="389"/>
      <c r="AC96" s="389"/>
      <c r="AD96" s="389"/>
      <c r="AE96" s="389"/>
    </row>
    <row r="97" spans="1:31">
      <c r="A97" s="857"/>
      <c r="B97" s="693"/>
      <c r="C97" s="171" t="str">
        <f>"for "&amp;TaxYear&amp;" to your IRA on line 11a and to your spouse's IRA on"</f>
        <v>for 2016 to your IRA on line 11a and to your spouse's IRA on</v>
      </c>
      <c r="D97" s="147"/>
      <c r="E97" s="147"/>
      <c r="F97" s="147"/>
      <c r="G97" s="147"/>
      <c r="H97" s="147"/>
      <c r="I97" s="147"/>
      <c r="J97" s="147"/>
      <c r="K97" s="95"/>
      <c r="L97" s="100"/>
      <c r="M97" s="100"/>
      <c r="N97" s="100"/>
      <c r="O97" s="100"/>
      <c r="P97" s="95"/>
      <c r="Q97" s="89"/>
      <c r="R97" s="89"/>
      <c r="S97" s="89"/>
      <c r="T97" s="97"/>
      <c r="U97" s="1016"/>
      <c r="V97" s="35"/>
      <c r="W97" s="35"/>
      <c r="X97" s="35"/>
      <c r="Y97" s="389"/>
      <c r="Z97" s="389"/>
      <c r="AA97" s="389"/>
      <c r="AB97" s="389"/>
      <c r="AC97" s="389"/>
      <c r="AD97" s="389"/>
      <c r="AE97" s="389"/>
    </row>
    <row r="98" spans="1:31" ht="15.75" customHeight="1">
      <c r="A98" s="857"/>
      <c r="B98" s="693"/>
      <c r="C98" s="171" t="s">
        <v>3326</v>
      </c>
      <c r="D98" s="147"/>
      <c r="E98" s="147"/>
      <c r="F98" s="147"/>
      <c r="G98" s="147"/>
      <c r="H98" s="147"/>
      <c r="I98" s="147"/>
      <c r="J98" s="147"/>
      <c r="K98" s="104" t="s">
        <v>127</v>
      </c>
      <c r="L98" s="4953"/>
      <c r="M98" s="4595"/>
      <c r="N98" s="4962"/>
      <c r="O98" s="1248"/>
      <c r="P98" s="104" t="s">
        <v>128</v>
      </c>
      <c r="Q98" s="4953"/>
      <c r="R98" s="4595"/>
      <c r="S98" s="4962"/>
      <c r="T98" s="724"/>
      <c r="U98" s="1080"/>
      <c r="V98" s="35"/>
      <c r="W98" s="35"/>
      <c r="X98" s="35"/>
      <c r="Y98" s="389"/>
      <c r="Z98" s="389"/>
      <c r="AA98" s="389"/>
      <c r="AB98" s="389"/>
      <c r="AC98" s="389"/>
      <c r="AD98" s="389"/>
      <c r="AE98" s="389"/>
    </row>
    <row r="99" spans="1:31" s="1215" customFormat="1" ht="17.25" customHeight="1">
      <c r="A99" s="961"/>
      <c r="B99" s="693">
        <v>12</v>
      </c>
      <c r="C99" s="3597" t="s">
        <v>3026</v>
      </c>
      <c r="D99" s="94"/>
      <c r="E99" s="147"/>
      <c r="F99" s="147"/>
      <c r="G99" s="147"/>
      <c r="H99" s="147"/>
      <c r="I99" s="147"/>
      <c r="J99" s="147"/>
      <c r="K99" s="120"/>
      <c r="L99" s="1212">
        <f>IF(L98="",0,L98)</f>
        <v>0</v>
      </c>
      <c r="M99" s="1212"/>
      <c r="N99" s="1212"/>
      <c r="O99" s="1212"/>
      <c r="P99" s="120"/>
      <c r="Q99" s="1212">
        <f>IF(Q98="",0,Q98)</f>
        <v>0</v>
      </c>
      <c r="R99" s="1212"/>
      <c r="S99" s="1212"/>
      <c r="T99" s="1213"/>
      <c r="U99" s="1214"/>
      <c r="V99" s="35"/>
      <c r="W99" s="36" t="s">
        <v>149</v>
      </c>
      <c r="X99" s="36"/>
      <c r="Y99" s="389"/>
      <c r="Z99" s="389"/>
      <c r="AA99" s="389"/>
      <c r="AB99" s="389"/>
      <c r="AC99" s="180"/>
      <c r="AD99" s="180"/>
      <c r="AE99" s="180"/>
    </row>
    <row r="100" spans="1:31" s="5" customFormat="1" ht="12.75" customHeight="1">
      <c r="A100" s="857"/>
      <c r="B100" s="93"/>
      <c r="C100" s="3597" t="s">
        <v>3025</v>
      </c>
      <c r="D100" s="94"/>
      <c r="E100" s="147"/>
      <c r="F100" s="147"/>
      <c r="G100" s="147"/>
      <c r="H100" s="147"/>
      <c r="I100" s="147"/>
      <c r="J100" s="147"/>
      <c r="K100" s="172"/>
      <c r="L100" s="100"/>
      <c r="M100" s="100"/>
      <c r="N100" s="100"/>
      <c r="O100" s="100"/>
      <c r="P100" s="95"/>
      <c r="Q100" s="89"/>
      <c r="R100" s="89"/>
      <c r="S100" s="89"/>
      <c r="T100" s="97"/>
      <c r="U100" s="1016"/>
      <c r="V100" s="35"/>
      <c r="W100" s="4957" t="s">
        <v>150</v>
      </c>
      <c r="X100" s="4958"/>
      <c r="Y100" s="4958"/>
      <c r="Z100" s="389"/>
      <c r="AA100" s="389"/>
      <c r="AB100" s="389"/>
      <c r="AC100" s="389"/>
      <c r="AD100" s="389"/>
      <c r="AE100" s="389"/>
    </row>
    <row r="101" spans="1:31">
      <c r="A101" s="857"/>
      <c r="B101" s="93"/>
      <c r="C101" s="2756" t="s">
        <v>1692</v>
      </c>
      <c r="D101" s="94"/>
      <c r="E101" s="147"/>
      <c r="F101" s="147"/>
      <c r="G101" s="147"/>
      <c r="H101" s="147"/>
      <c r="I101" s="147"/>
      <c r="J101" s="147"/>
      <c r="K101" s="172"/>
      <c r="L101" s="100"/>
      <c r="M101" s="100"/>
      <c r="N101" s="100"/>
      <c r="O101" s="100"/>
      <c r="P101" s="95"/>
      <c r="Q101" s="89"/>
      <c r="R101" s="89"/>
      <c r="S101" s="89"/>
      <c r="T101" s="97"/>
      <c r="U101" s="1016"/>
      <c r="V101" s="35"/>
      <c r="W101" s="112"/>
      <c r="X101" s="986"/>
      <c r="Y101" s="112"/>
      <c r="Z101" s="112"/>
      <c r="AA101" s="986"/>
      <c r="AB101" s="857"/>
      <c r="AC101" s="389"/>
      <c r="AD101" s="389"/>
      <c r="AE101" s="389"/>
    </row>
    <row r="102" spans="1:31">
      <c r="A102" s="857"/>
      <c r="B102" s="93"/>
      <c r="C102" s="94" t="s">
        <v>451</v>
      </c>
      <c r="D102" s="94"/>
      <c r="E102" s="141"/>
      <c r="F102" s="141"/>
      <c r="G102" s="141"/>
      <c r="H102" s="141"/>
      <c r="I102" s="141"/>
      <c r="J102" s="141"/>
      <c r="K102" s="104" t="s">
        <v>129</v>
      </c>
      <c r="L102" s="4951" t="str">
        <f>IF(X102&lt;&gt;"",X102,IF(OR(Yourself="",Q18,BadBirthdate_Yours,LEFT(G95,4)="STOP",LEFT(L37,2)="No",YouR70Half),"",MIN(L67,I89,L99)))</f>
        <v/>
      </c>
      <c r="M102" s="4952"/>
      <c r="N102" s="4952"/>
      <c r="O102" s="863"/>
      <c r="P102" s="104" t="s">
        <v>130</v>
      </c>
      <c r="Q102" s="4951" t="str">
        <f>IF(AA102&lt;&gt;"",AA102,IF(OR(LEFT(G95,4)="STOP",Q67=""),"",IF(LEFT(Q37,2)="No","",MIN(Q67,I89,Q99))))</f>
        <v/>
      </c>
      <c r="R102" s="4952"/>
      <c r="S102" s="4952"/>
      <c r="T102" s="384"/>
      <c r="U102" s="1079"/>
      <c r="V102" s="35"/>
      <c r="W102" s="112"/>
      <c r="X102" s="1185"/>
      <c r="Y102" s="112"/>
      <c r="Z102" s="112"/>
      <c r="AA102" s="1185"/>
      <c r="AB102" s="857"/>
      <c r="AC102" s="389"/>
      <c r="AD102" s="389"/>
      <c r="AE102" s="389"/>
    </row>
    <row r="103" spans="1:31" ht="13.5" thickBot="1">
      <c r="A103" s="857"/>
      <c r="B103" s="106"/>
      <c r="C103" s="107"/>
      <c r="D103" s="107"/>
      <c r="E103" s="108"/>
      <c r="F103" s="108"/>
      <c r="G103" s="108"/>
      <c r="H103" s="108"/>
      <c r="I103" s="108"/>
      <c r="J103" s="108"/>
      <c r="K103" s="109"/>
      <c r="L103" s="108"/>
      <c r="M103" s="108"/>
      <c r="N103" s="108"/>
      <c r="O103" s="108"/>
      <c r="P103" s="109"/>
      <c r="Q103" s="108"/>
      <c r="R103" s="108"/>
      <c r="S103" s="108"/>
      <c r="T103" s="110"/>
      <c r="U103" s="1016"/>
      <c r="V103" s="35"/>
      <c r="W103" s="112"/>
      <c r="X103" s="986"/>
      <c r="Y103" s="112"/>
      <c r="Z103" s="112"/>
      <c r="AA103" s="986"/>
      <c r="AB103" s="857"/>
      <c r="AC103" s="389"/>
      <c r="AD103" s="389"/>
      <c r="AE103" s="389"/>
    </row>
    <row r="104" spans="1:31">
      <c r="A104" s="857"/>
      <c r="B104" s="694"/>
      <c r="C104" s="174"/>
      <c r="D104" s="174"/>
      <c r="E104" s="175"/>
      <c r="F104" s="175"/>
      <c r="G104" s="175"/>
      <c r="H104" s="176"/>
      <c r="I104" s="173"/>
      <c r="J104" s="173"/>
      <c r="K104" s="176"/>
      <c r="L104" s="173"/>
      <c r="M104" s="173"/>
      <c r="N104" s="173"/>
      <c r="O104" s="173"/>
      <c r="P104" s="173"/>
      <c r="Q104" s="89"/>
      <c r="R104" s="89"/>
      <c r="S104" s="89"/>
      <c r="T104" s="97"/>
      <c r="U104" s="1016"/>
      <c r="V104" s="35"/>
      <c r="W104" s="35"/>
      <c r="X104" s="35"/>
      <c r="Y104" s="389"/>
      <c r="Z104" s="389"/>
      <c r="AA104" s="389"/>
      <c r="AB104" s="389"/>
      <c r="AC104" s="389"/>
      <c r="AD104" s="389"/>
      <c r="AE104" s="389"/>
    </row>
    <row r="105" spans="1:31" ht="15.75">
      <c r="A105" s="857"/>
      <c r="B105" s="695"/>
      <c r="C105" s="174"/>
      <c r="D105" s="174"/>
      <c r="E105" s="175"/>
      <c r="F105" s="175"/>
      <c r="G105" s="175"/>
      <c r="H105" s="176"/>
      <c r="I105" s="173"/>
      <c r="J105" s="173"/>
      <c r="K105" s="177" t="s">
        <v>655</v>
      </c>
      <c r="L105" s="4959" t="str">
        <f>IF(AND(L102="",Q102=""),"",IF(Q102="",SUM(L102),SUM(L102,Q102)))</f>
        <v/>
      </c>
      <c r="M105" s="4960"/>
      <c r="N105" s="4961"/>
      <c r="O105" s="863"/>
      <c r="P105" s="89"/>
      <c r="Q105" s="89"/>
      <c r="R105" s="89"/>
      <c r="S105" s="89"/>
      <c r="T105" s="97"/>
      <c r="U105" s="1016"/>
      <c r="V105" s="35"/>
      <c r="W105" s="35"/>
      <c r="X105" s="389"/>
      <c r="Y105" s="389"/>
      <c r="Z105" s="389"/>
      <c r="AA105" s="389"/>
      <c r="AB105" s="389"/>
      <c r="AC105" s="389"/>
      <c r="AD105" s="389"/>
      <c r="AE105" s="389"/>
    </row>
    <row r="106" spans="1:31" ht="16.5" thickBot="1">
      <c r="A106" s="857"/>
      <c r="B106" s="696"/>
      <c r="C106" s="179"/>
      <c r="D106" s="179"/>
      <c r="E106" s="152"/>
      <c r="F106" s="152"/>
      <c r="G106" s="152"/>
      <c r="H106" s="109"/>
      <c r="I106" s="108"/>
      <c r="J106" s="108"/>
      <c r="K106" s="395"/>
      <c r="L106" s="396"/>
      <c r="M106" s="396"/>
      <c r="N106" s="396"/>
      <c r="O106" s="396"/>
      <c r="P106" s="108"/>
      <c r="Q106" s="108"/>
      <c r="R106" s="108"/>
      <c r="S106" s="108"/>
      <c r="T106" s="110"/>
      <c r="U106" s="1016"/>
      <c r="V106" s="35"/>
      <c r="W106" s="35"/>
      <c r="X106" s="389"/>
      <c r="Y106" s="389"/>
      <c r="Z106" s="389"/>
      <c r="AA106" s="389"/>
      <c r="AB106" s="389"/>
      <c r="AC106" s="389"/>
      <c r="AD106" s="389"/>
      <c r="AE106" s="389"/>
    </row>
    <row r="107" spans="1:31">
      <c r="A107" s="857"/>
      <c r="B107" s="857"/>
      <c r="C107" s="857"/>
      <c r="D107" s="857"/>
      <c r="E107" s="857"/>
      <c r="F107" s="857"/>
      <c r="G107" s="857"/>
      <c r="H107" s="857"/>
      <c r="I107" s="857"/>
      <c r="J107" s="857"/>
      <c r="K107" s="857"/>
      <c r="L107" s="857"/>
      <c r="M107" s="857"/>
      <c r="N107" s="857"/>
      <c r="O107" s="857"/>
      <c r="P107" s="857"/>
      <c r="Q107" s="857"/>
      <c r="R107" s="857"/>
      <c r="S107" s="857"/>
      <c r="T107" s="857"/>
      <c r="U107" s="857"/>
      <c r="V107" s="389"/>
      <c r="W107" s="389"/>
      <c r="X107" s="389"/>
      <c r="Y107" s="389"/>
      <c r="Z107" s="389"/>
      <c r="AA107" s="389"/>
      <c r="AB107" s="389"/>
      <c r="AC107" s="389"/>
      <c r="AD107" s="389"/>
      <c r="AE107" s="389"/>
    </row>
    <row r="108" spans="1:31">
      <c r="A108" s="389"/>
      <c r="B108" s="389"/>
      <c r="C108" s="389"/>
      <c r="D108" s="389"/>
      <c r="E108" s="389"/>
      <c r="F108" s="389"/>
      <c r="G108" s="389"/>
      <c r="H108" s="389"/>
      <c r="I108" s="389"/>
      <c r="J108" s="389"/>
      <c r="K108" s="389"/>
      <c r="L108" s="389"/>
      <c r="M108" s="389"/>
      <c r="N108" s="389"/>
      <c r="O108" s="389"/>
      <c r="P108" s="389"/>
      <c r="Q108" s="389"/>
      <c r="R108" s="389"/>
      <c r="S108" s="389"/>
      <c r="T108" s="389"/>
      <c r="U108" s="389"/>
      <c r="V108" s="389"/>
      <c r="W108" s="389"/>
      <c r="X108" s="389"/>
      <c r="Y108" s="389"/>
      <c r="Z108" s="389"/>
      <c r="AA108" s="389"/>
      <c r="AB108" s="389"/>
      <c r="AC108" s="389"/>
      <c r="AD108" s="389"/>
      <c r="AE108" s="389"/>
    </row>
    <row r="109" spans="1:31">
      <c r="A109" s="389"/>
      <c r="B109" s="389"/>
      <c r="C109" s="389"/>
      <c r="D109" s="389"/>
      <c r="E109" s="389"/>
      <c r="F109" s="389"/>
      <c r="G109" s="389"/>
      <c r="H109" s="389"/>
      <c r="I109" s="389"/>
      <c r="J109" s="389"/>
      <c r="K109" s="389"/>
      <c r="L109" s="389"/>
      <c r="M109" s="389"/>
      <c r="N109" s="389"/>
      <c r="O109" s="389"/>
      <c r="P109" s="389"/>
      <c r="Q109" s="389"/>
      <c r="R109" s="389"/>
      <c r="S109" s="389"/>
      <c r="T109" s="389"/>
      <c r="U109" s="389"/>
      <c r="V109" s="389"/>
      <c r="W109" s="389"/>
      <c r="X109" s="389"/>
      <c r="Y109" s="389"/>
      <c r="Z109" s="389"/>
      <c r="AA109" s="389"/>
      <c r="AB109" s="389"/>
      <c r="AC109" s="389"/>
      <c r="AD109" s="389"/>
      <c r="AE109" s="389"/>
    </row>
  </sheetData>
  <sheetProtection password="F07E" sheet="1" objects="1" scenarios="1"/>
  <mergeCells count="41">
    <mergeCell ref="W76:Y76"/>
    <mergeCell ref="W100:Y100"/>
    <mergeCell ref="W45:Y45"/>
    <mergeCell ref="W65:Y65"/>
    <mergeCell ref="W86:Y86"/>
    <mergeCell ref="W87:Y87"/>
    <mergeCell ref="W88:Y88"/>
    <mergeCell ref="W89:Y89"/>
    <mergeCell ref="W90:Y90"/>
    <mergeCell ref="Q18:R18"/>
    <mergeCell ref="L26:N26"/>
    <mergeCell ref="Q26:S26"/>
    <mergeCell ref="L48:N48"/>
    <mergeCell ref="Q25:S25"/>
    <mergeCell ref="L25:N25"/>
    <mergeCell ref="R20:T20"/>
    <mergeCell ref="I89:J89"/>
    <mergeCell ref="I88:J88"/>
    <mergeCell ref="W31:Y31"/>
    <mergeCell ref="L105:N105"/>
    <mergeCell ref="L98:N98"/>
    <mergeCell ref="Q98:S98"/>
    <mergeCell ref="Q102:S102"/>
    <mergeCell ref="L102:N102"/>
    <mergeCell ref="L67:N67"/>
    <mergeCell ref="I78:J78"/>
    <mergeCell ref="Q34:S34"/>
    <mergeCell ref="Q47:S47"/>
    <mergeCell ref="Q67:S67"/>
    <mergeCell ref="Q49:S49"/>
    <mergeCell ref="L34:N34"/>
    <mergeCell ref="L61:N61"/>
    <mergeCell ref="L62:N62"/>
    <mergeCell ref="L47:N47"/>
    <mergeCell ref="I30:J30"/>
    <mergeCell ref="I33:J33"/>
    <mergeCell ref="Q61:S61"/>
    <mergeCell ref="Q62:S62"/>
    <mergeCell ref="Q50:S50"/>
    <mergeCell ref="Q48:S48"/>
    <mergeCell ref="L49:N49"/>
  </mergeCells>
  <phoneticPr fontId="12" type="noConversion"/>
  <conditionalFormatting sqref="W23 W25">
    <cfRule type="expression" dxfId="1693" priority="29" stopIfTrue="1">
      <formula>IF(File_Marr_Sep&lt;&gt;"",1,0)</formula>
    </cfRule>
  </conditionalFormatting>
  <conditionalFormatting sqref="F3:F5">
    <cfRule type="expression" dxfId="1692" priority="30" stopIfTrue="1">
      <formula>IF(OR(YourAgeDecimal&gt;70.5,SpouseAgeDecimal&gt;70.5),1,0)</formula>
    </cfRule>
  </conditionalFormatting>
  <conditionalFormatting sqref="E3:E5">
    <cfRule type="expression" dxfId="1691" priority="31" stopIfTrue="1">
      <formula>IF(OR(YouR70Half,SpouseIs70Half),1,0)</formula>
    </cfRule>
  </conditionalFormatting>
  <conditionalFormatting sqref="P14">
    <cfRule type="expression" dxfId="1690" priority="26">
      <formula>IF(NoColor,1,0)</formula>
    </cfRule>
  </conditionalFormatting>
  <conditionalFormatting sqref="I30:J30">
    <cfRule type="expression" dxfId="1689" priority="25">
      <formula>IF(NoColor,1,0)</formula>
    </cfRule>
  </conditionalFormatting>
  <conditionalFormatting sqref="L98:M98">
    <cfRule type="expression" dxfId="1688" priority="23">
      <formula>IF(NoColor,1,0)</formula>
    </cfRule>
  </conditionalFormatting>
  <conditionalFormatting sqref="Q98:R98">
    <cfRule type="expression" dxfId="1687" priority="22">
      <formula>IF(NoColor,1,0)</formula>
    </cfRule>
  </conditionalFormatting>
  <conditionalFormatting sqref="R14">
    <cfRule type="expression" dxfId="1686" priority="20">
      <formula>IF(NoColor,1,0)</formula>
    </cfRule>
  </conditionalFormatting>
  <conditionalFormatting sqref="L25:N25">
    <cfRule type="expression" dxfId="1685" priority="19">
      <formula>IF(NoColor,1,0)</formula>
    </cfRule>
  </conditionalFormatting>
  <conditionalFormatting sqref="L34:N34">
    <cfRule type="expression" dxfId="1684" priority="18">
      <formula>IF(NoColor,1,0)</formula>
    </cfRule>
  </conditionalFormatting>
  <conditionalFormatting sqref="L47:N47">
    <cfRule type="expression" dxfId="1683" priority="17">
      <formula>IF(NoColor,1,0)</formula>
    </cfRule>
  </conditionalFormatting>
  <conditionalFormatting sqref="I33:J33">
    <cfRule type="expression" dxfId="1682" priority="16">
      <formula>IF(NoColor,1,0)</formula>
    </cfRule>
  </conditionalFormatting>
  <conditionalFormatting sqref="Q25:S25">
    <cfRule type="expression" dxfId="1681" priority="15">
      <formula>IF(NoColor,1,0)</formula>
    </cfRule>
  </conditionalFormatting>
  <conditionalFormatting sqref="Q34:S34">
    <cfRule type="expression" dxfId="1680" priority="14">
      <formula>IF(NoColor,1,0)</formula>
    </cfRule>
  </conditionalFormatting>
  <conditionalFormatting sqref="Q47:S47">
    <cfRule type="expression" dxfId="1679" priority="13">
      <formula>IF(NoColor,1,0)</formula>
    </cfRule>
  </conditionalFormatting>
  <conditionalFormatting sqref="Q67:S67">
    <cfRule type="expression" dxfId="1678" priority="12">
      <formula>IF(NoColor,1,0)</formula>
    </cfRule>
  </conditionalFormatting>
  <conditionalFormatting sqref="Q102:S102">
    <cfRule type="expression" dxfId="1677" priority="11">
      <formula>IF(NoColor,1,0)</formula>
    </cfRule>
  </conditionalFormatting>
  <conditionalFormatting sqref="L67:N67">
    <cfRule type="expression" dxfId="1676" priority="10">
      <formula>IF(NoColor,1,0)</formula>
    </cfRule>
  </conditionalFormatting>
  <conditionalFormatting sqref="L102:N102">
    <cfRule type="expression" dxfId="1675" priority="9">
      <formula>IF(NoColor,1,0)</formula>
    </cfRule>
  </conditionalFormatting>
  <conditionalFormatting sqref="L105:N105">
    <cfRule type="expression" dxfId="1674" priority="8">
      <formula>IF(NoColor,1,0)</formula>
    </cfRule>
  </conditionalFormatting>
  <conditionalFormatting sqref="I78:J78">
    <cfRule type="expression" dxfId="1673" priority="7">
      <formula>IF(NoColor,1,0)</formula>
    </cfRule>
  </conditionalFormatting>
  <conditionalFormatting sqref="I89:J89">
    <cfRule type="expression" dxfId="1672" priority="6">
      <formula>IF(NoColor,1,0)</formula>
    </cfRule>
  </conditionalFormatting>
  <conditionalFormatting sqref="K13">
    <cfRule type="expression" dxfId="1671" priority="5">
      <formula>IF(NoColor,1,0)</formula>
    </cfRule>
  </conditionalFormatting>
  <conditionalFormatting sqref="M13">
    <cfRule type="expression" dxfId="1670" priority="4">
      <formula>IF(NoColor,1,0)</formula>
    </cfRule>
  </conditionalFormatting>
  <conditionalFormatting sqref="M4">
    <cfRule type="expression" dxfId="1669" priority="2" stopIfTrue="1">
      <formula>IF(OR(YouR70Half,SpouseIs70Half),1,0)</formula>
    </cfRule>
  </conditionalFormatting>
  <conditionalFormatting sqref="I88:J88">
    <cfRule type="expression" dxfId="1668" priority="1">
      <formula>IF(NoColor,1,0)</formula>
    </cfRule>
  </conditionalFormatting>
  <pageMargins left="0.39" right="0" top="0.43" bottom="0" header="0.31" footer="0"/>
  <pageSetup scale="79" fitToHeight="0" orientation="portrait" horizontalDpi="300" verticalDpi="300" r:id="rId1"/>
  <headerFooter alignWithMargins="0"/>
  <rowBreaks count="1" manualBreakCount="1">
    <brk id="57" min="1"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347</vt:i4>
      </vt:variant>
    </vt:vector>
  </HeadingPairs>
  <TitlesOfParts>
    <vt:vector size="385" baseType="lpstr">
      <vt:lpstr>Disclaimer</vt:lpstr>
      <vt:lpstr>W-2s</vt:lpstr>
      <vt:lpstr>1099-R</vt:lpstr>
      <vt:lpstr>SSA-1099</vt:lpstr>
      <vt:lpstr>1040</vt:lpstr>
      <vt:lpstr>Line 10</vt:lpstr>
      <vt:lpstr>Line 16</vt:lpstr>
      <vt:lpstr>Line 20</vt:lpstr>
      <vt:lpstr>Line 32</vt:lpstr>
      <vt:lpstr>Line 33</vt:lpstr>
      <vt:lpstr>Line 40</vt:lpstr>
      <vt:lpstr>Line 42</vt:lpstr>
      <vt:lpstr>Line 44</vt:lpstr>
      <vt:lpstr>Line 52</vt:lpstr>
      <vt:lpstr>Line 66</vt:lpstr>
      <vt:lpstr>Earned Income</vt:lpstr>
      <vt:lpstr>Sch. A</vt:lpstr>
      <vt:lpstr>Sch. B</vt:lpstr>
      <vt:lpstr>Sch. C</vt:lpstr>
      <vt:lpstr>Sch. D</vt:lpstr>
      <vt:lpstr>Sch. D WS</vt:lpstr>
      <vt:lpstr>Sch. E (1)</vt:lpstr>
      <vt:lpstr>Sch. E (2)</vt:lpstr>
      <vt:lpstr>Sch. F</vt:lpstr>
      <vt:lpstr>Sch. SE</vt:lpstr>
      <vt:lpstr>2210</vt:lpstr>
      <vt:lpstr>2441</vt:lpstr>
      <vt:lpstr>2555</vt:lpstr>
      <vt:lpstr>6251</vt:lpstr>
      <vt:lpstr>8949A</vt:lpstr>
      <vt:lpstr>8949B</vt:lpstr>
      <vt:lpstr>8949C</vt:lpstr>
      <vt:lpstr>8959</vt:lpstr>
      <vt:lpstr>8960</vt:lpstr>
      <vt:lpstr>8962</vt:lpstr>
      <vt:lpstr>EIC Table</vt:lpstr>
      <vt:lpstr>Tax Table</vt:lpstr>
      <vt:lpstr>Changes</vt:lpstr>
      <vt:lpstr>Adj_Gross_Inc</vt:lpstr>
      <vt:lpstr>Alaska</vt:lpstr>
      <vt:lpstr>AltMinTax</vt:lpstr>
      <vt:lpstr>AltMinTaxInc</vt:lpstr>
      <vt:lpstr>AMT</vt:lpstr>
      <vt:lpstr>AMTExemption</vt:lpstr>
      <vt:lpstr>AMTExemptionFlag</vt:lpstr>
      <vt:lpstr>BadBirthdate_Spouse</vt:lpstr>
      <vt:lpstr>BadBirthdate_Yours</vt:lpstr>
      <vt:lpstr>BeginningOfTaxYear</vt:lpstr>
      <vt:lpstr>Birthday_Needed</vt:lpstr>
      <vt:lpstr>Business_Profit</vt:lpstr>
      <vt:lpstr>Cap_Gain</vt:lpstr>
      <vt:lpstr>Care_Expenses</vt:lpstr>
      <vt:lpstr>CGTW</vt:lpstr>
      <vt:lpstr>CGTW_Line1</vt:lpstr>
      <vt:lpstr>CGTW_Line7</vt:lpstr>
      <vt:lpstr>CGTW_Tax</vt:lpstr>
      <vt:lpstr>Child_Tax_Credit</vt:lpstr>
      <vt:lpstr>Child_Tax_Credit_1040</vt:lpstr>
      <vt:lpstr>ChildCareCredit</vt:lpstr>
      <vt:lpstr>ChildUnder24</vt:lpstr>
      <vt:lpstr>DaysInTaxYear</vt:lpstr>
      <vt:lpstr>Ded_4_Exmptn_Wrks</vt:lpstr>
      <vt:lpstr>Deduct_For_Exempts</vt:lpstr>
      <vt:lpstr>Deduction</vt:lpstr>
      <vt:lpstr>Dependent_Care</vt:lpstr>
      <vt:lpstr>DependentSPOUSE</vt:lpstr>
      <vt:lpstr>DependentYOU</vt:lpstr>
      <vt:lpstr>DFC</vt:lpstr>
      <vt:lpstr>Dividend_Inc</vt:lpstr>
      <vt:lpstr>Dotted_Line</vt:lpstr>
      <vt:lpstr>Dual_Status_Alien</vt:lpstr>
      <vt:lpstr>Earned_Income</vt:lpstr>
      <vt:lpstr>EarnedIncomeCredit</vt:lpstr>
      <vt:lpstr>EarnedIncomeWSB</vt:lpstr>
      <vt:lpstr>Education</vt:lpstr>
      <vt:lpstr>EIC_Check</vt:lpstr>
      <vt:lpstr>EIC_EarnedIncome</vt:lpstr>
      <vt:lpstr>EIC_Line2_No</vt:lpstr>
      <vt:lpstr>EIC_Step3_Line3_Yes</vt:lpstr>
      <vt:lpstr>EIC_Step4_Line3_No</vt:lpstr>
      <vt:lpstr>EIC_Step4_Line5_Yes</vt:lpstr>
      <vt:lpstr>EIC_WSA_Part3</vt:lpstr>
      <vt:lpstr>EIC_WSB_Part7</vt:lpstr>
      <vt:lpstr>EICNumQualChild</vt:lpstr>
      <vt:lpstr>EndOfTaxYear</vt:lpstr>
      <vt:lpstr>ExcessSSTax</vt:lpstr>
      <vt:lpstr>ExemptionAllowance</vt:lpstr>
      <vt:lpstr>F1040_Line10</vt:lpstr>
      <vt:lpstr>F1040_Line41</vt:lpstr>
      <vt:lpstr>F1040_Line47</vt:lpstr>
      <vt:lpstr>F6251_Needed</vt:lpstr>
      <vt:lpstr>F6251_PIII</vt:lpstr>
      <vt:lpstr>F8949ALBOXA</vt:lpstr>
      <vt:lpstr>F8949ALBOXB</vt:lpstr>
      <vt:lpstr>F8949ALBOXC</vt:lpstr>
      <vt:lpstr>F8949ALT</vt:lpstr>
      <vt:lpstr>F8949ALTD</vt:lpstr>
      <vt:lpstr>F8949ALTE</vt:lpstr>
      <vt:lpstr>F8949ALTG</vt:lpstr>
      <vt:lpstr>F8949ALTH</vt:lpstr>
      <vt:lpstr>F8949ASBOXA</vt:lpstr>
      <vt:lpstr>F8949ASBOXB</vt:lpstr>
      <vt:lpstr>F8949ASBOXC</vt:lpstr>
      <vt:lpstr>F8949AST</vt:lpstr>
      <vt:lpstr>F8949ASTD</vt:lpstr>
      <vt:lpstr>F8949ASTE</vt:lpstr>
      <vt:lpstr>F8949ASTG</vt:lpstr>
      <vt:lpstr>F8949ASTH</vt:lpstr>
      <vt:lpstr>F8949BLBOXA</vt:lpstr>
      <vt:lpstr>F8949BLBOXB</vt:lpstr>
      <vt:lpstr>F8949BLBOXC</vt:lpstr>
      <vt:lpstr>F8949BLT</vt:lpstr>
      <vt:lpstr>F8949BLTD</vt:lpstr>
      <vt:lpstr>F8949BLTE</vt:lpstr>
      <vt:lpstr>F8949BLTG</vt:lpstr>
      <vt:lpstr>F8949BLTH</vt:lpstr>
      <vt:lpstr>F8949BSBOXA</vt:lpstr>
      <vt:lpstr>F8949BSBOXB</vt:lpstr>
      <vt:lpstr>F8949BSBOXC</vt:lpstr>
      <vt:lpstr>F8949BST</vt:lpstr>
      <vt:lpstr>F8949BSTD</vt:lpstr>
      <vt:lpstr>F8949BSTE</vt:lpstr>
      <vt:lpstr>F8949BSTG</vt:lpstr>
      <vt:lpstr>F8949BSTH</vt:lpstr>
      <vt:lpstr>F8949CLBOXA</vt:lpstr>
      <vt:lpstr>F8949CLBOXB</vt:lpstr>
      <vt:lpstr>F8949CLBOXC</vt:lpstr>
      <vt:lpstr>F8949CLT</vt:lpstr>
      <vt:lpstr>F8949CLTD</vt:lpstr>
      <vt:lpstr>F8949CLTE</vt:lpstr>
      <vt:lpstr>F8949CLTG</vt:lpstr>
      <vt:lpstr>F8949CLTH</vt:lpstr>
      <vt:lpstr>F8949CSBOXA</vt:lpstr>
      <vt:lpstr>F8949CSBOXB</vt:lpstr>
      <vt:lpstr>F8949CSBOXC</vt:lpstr>
      <vt:lpstr>F8949CST</vt:lpstr>
      <vt:lpstr>F8949CSTD</vt:lpstr>
      <vt:lpstr>F8949CSTE</vt:lpstr>
      <vt:lpstr>F8949CSTG</vt:lpstr>
      <vt:lpstr>F8949CSTH</vt:lpstr>
      <vt:lpstr>F8959_Tax</vt:lpstr>
      <vt:lpstr>F8959_WH</vt:lpstr>
      <vt:lpstr>F8960_Tax</vt:lpstr>
      <vt:lpstr>FarmProfitNet</vt:lpstr>
      <vt:lpstr>FEI_Tax_Worksheet</vt:lpstr>
      <vt:lpstr>FEI_TW_Line2c</vt:lpstr>
      <vt:lpstr>FEI_TW_Line3</vt:lpstr>
      <vt:lpstr>File_Head</vt:lpstr>
      <vt:lpstr>File_Marr_Joint</vt:lpstr>
      <vt:lpstr>File_Marr_Sep</vt:lpstr>
      <vt:lpstr>File_Qual_Widow</vt:lpstr>
      <vt:lpstr>File_Single</vt:lpstr>
      <vt:lpstr>FilingStatusError</vt:lpstr>
      <vt:lpstr>Foreign_Tax_Credit</vt:lpstr>
      <vt:lpstr>ForeignEarnedIncome</vt:lpstr>
      <vt:lpstr>ForeignHousingDeduction</vt:lpstr>
      <vt:lpstr>ForeignHousingExclusion</vt:lpstr>
      <vt:lpstr>ForeignIncExclusion</vt:lpstr>
      <vt:lpstr>Form2555_Used</vt:lpstr>
      <vt:lpstr>Gambling_Loss</vt:lpstr>
      <vt:lpstr>Hawaii</vt:lpstr>
      <vt:lpstr>Interest_Inc</vt:lpstr>
      <vt:lpstr>IRA_Deduction</vt:lpstr>
      <vt:lpstr>IRA_Fed_Tax_WH</vt:lpstr>
      <vt:lpstr>IRA_Taxable</vt:lpstr>
      <vt:lpstr>Item_Deduct_Wks_L9</vt:lpstr>
      <vt:lpstr>ItemizeAnyway</vt:lpstr>
      <vt:lpstr>ItemizedDeduct</vt:lpstr>
      <vt:lpstr>LeapYear</vt:lpstr>
      <vt:lpstr>Line33_NOT</vt:lpstr>
      <vt:lpstr>Lived_apart</vt:lpstr>
      <vt:lpstr>LivedApart</vt:lpstr>
      <vt:lpstr>LivedWithYou</vt:lpstr>
      <vt:lpstr>LocalTaxIRA</vt:lpstr>
      <vt:lpstr>LocalTaxPA</vt:lpstr>
      <vt:lpstr>LocalTaxW2</vt:lpstr>
      <vt:lpstr>MaxSSTax</vt:lpstr>
      <vt:lpstr>MaxSSTaxEarnings</vt:lpstr>
      <vt:lpstr>MedCare_Tax_Withheld</vt:lpstr>
      <vt:lpstr>MedCare_wages</vt:lpstr>
      <vt:lpstr>Name_1st_Sp</vt:lpstr>
      <vt:lpstr>Name_1st_Yours</vt:lpstr>
      <vt:lpstr>Name_Last_Sp</vt:lpstr>
      <vt:lpstr>Name_Last_Yours</vt:lpstr>
      <vt:lpstr>Names</vt:lpstr>
      <vt:lpstr>NameSpouse</vt:lpstr>
      <vt:lpstr>NameYours</vt:lpstr>
      <vt:lpstr>NoColor</vt:lpstr>
      <vt:lpstr>NoEICredit</vt:lpstr>
      <vt:lpstr>NoOnLine66a</vt:lpstr>
      <vt:lpstr>NOT_MFJ</vt:lpstr>
      <vt:lpstr>NoTaxCombatPay</vt:lpstr>
      <vt:lpstr>NumFileStatusBoxes</vt:lpstr>
      <vt:lpstr>Over_65_or_Blind</vt:lpstr>
      <vt:lpstr>Overpaid</vt:lpstr>
      <vt:lpstr>PA_Fed_Tax_WH</vt:lpstr>
      <vt:lpstr>Pension_taxable</vt:lpstr>
      <vt:lpstr>Pension_total</vt:lpstr>
      <vt:lpstr>'1040'!Print_Area</vt:lpstr>
      <vt:lpstr>'1099-R'!Print_Area</vt:lpstr>
      <vt:lpstr>'2210'!Print_Area</vt:lpstr>
      <vt:lpstr>'2441'!Print_Area</vt:lpstr>
      <vt:lpstr>'2555'!Print_Area</vt:lpstr>
      <vt:lpstr>'6251'!Print_Area</vt:lpstr>
      <vt:lpstr>'8949A'!Print_Area</vt:lpstr>
      <vt:lpstr>'8949B'!Print_Area</vt:lpstr>
      <vt:lpstr>'8949C'!Print_Area</vt:lpstr>
      <vt:lpstr>'8959'!Print_Area</vt:lpstr>
      <vt:lpstr>'8960'!Print_Area</vt:lpstr>
      <vt:lpstr>'8962'!Print_Area</vt:lpstr>
      <vt:lpstr>'Earned Income'!Print_Area</vt:lpstr>
      <vt:lpstr>'Line 10'!Print_Area</vt:lpstr>
      <vt:lpstr>'Line 16'!Print_Area</vt:lpstr>
      <vt:lpstr>'Line 20'!Print_Area</vt:lpstr>
      <vt:lpstr>'Line 32'!Print_Area</vt:lpstr>
      <vt:lpstr>'Line 40'!Print_Area</vt:lpstr>
      <vt:lpstr>'Line 44'!Print_Area</vt:lpstr>
      <vt:lpstr>'Line 52'!Print_Area</vt:lpstr>
      <vt:lpstr>'Line 66'!Print_Area</vt:lpstr>
      <vt:lpstr>'Sch. A'!Print_Area</vt:lpstr>
      <vt:lpstr>'Sch. B'!Print_Area</vt:lpstr>
      <vt:lpstr>'Sch. C'!Print_Area</vt:lpstr>
      <vt:lpstr>'Sch. D'!Print_Area</vt:lpstr>
      <vt:lpstr>'Sch. D WS'!Print_Area</vt:lpstr>
      <vt:lpstr>'Sch. E (1)'!Print_Area</vt:lpstr>
      <vt:lpstr>'Sch. E (2)'!Print_Area</vt:lpstr>
      <vt:lpstr>'Sch. F'!Print_Area</vt:lpstr>
      <vt:lpstr>'Sch. SE'!Print_Area</vt:lpstr>
      <vt:lpstr>'SSA-1099'!Print_Area</vt:lpstr>
      <vt:lpstr>'Tax Table'!Print_Area</vt:lpstr>
      <vt:lpstr>'W-2s'!Print_Area</vt:lpstr>
      <vt:lpstr>'Tax Table'!Print_Titles</vt:lpstr>
      <vt:lpstr>Pub_972</vt:lpstr>
      <vt:lpstr>Qual_Child_Count</vt:lpstr>
      <vt:lpstr>Qualified_Dividends</vt:lpstr>
      <vt:lpstr>ResEnergyCredits</vt:lpstr>
      <vt:lpstr>Retirement_Savings</vt:lpstr>
      <vt:lpstr>SchA_Filed</vt:lpstr>
      <vt:lpstr>SchC_StatutoryEmp</vt:lpstr>
      <vt:lpstr>SchD_NotReqd</vt:lpstr>
      <vt:lpstr>SchDLine15</vt:lpstr>
      <vt:lpstr>SchDLine16</vt:lpstr>
      <vt:lpstr>SchDLine18</vt:lpstr>
      <vt:lpstr>SchDLine19</vt:lpstr>
      <vt:lpstr>SchDTW_Line1</vt:lpstr>
      <vt:lpstr>SchDTW_Line19</vt:lpstr>
      <vt:lpstr>SchDTW_Used</vt:lpstr>
      <vt:lpstr>SchE1_Line26</vt:lpstr>
      <vt:lpstr>SchE2_Completed</vt:lpstr>
      <vt:lpstr>SchE2_Line32</vt:lpstr>
      <vt:lpstr>SchE2_Line37</vt:lpstr>
      <vt:lpstr>SchE2_Line39</vt:lpstr>
      <vt:lpstr>SchE2_Line40</vt:lpstr>
      <vt:lpstr>SchE2_Line41</vt:lpstr>
      <vt:lpstr>SCHEDULE_C</vt:lpstr>
      <vt:lpstr>SCHEDULE_D</vt:lpstr>
      <vt:lpstr>ScheduleF_PartIII</vt:lpstr>
      <vt:lpstr>SD_Head</vt:lpstr>
      <vt:lpstr>SD_MFJW</vt:lpstr>
      <vt:lpstr>SD_Single</vt:lpstr>
      <vt:lpstr>'2210'!SE_Deduction</vt:lpstr>
      <vt:lpstr>SE_Deduction</vt:lpstr>
      <vt:lpstr>'2210'!SE_Tax</vt:lpstr>
      <vt:lpstr>SE_Tax</vt:lpstr>
      <vt:lpstr>SectA_a3</vt:lpstr>
      <vt:lpstr>SectA_a4</vt:lpstr>
      <vt:lpstr>SectA_a5</vt:lpstr>
      <vt:lpstr>SectA_a6</vt:lpstr>
      <vt:lpstr>SectA_b4</vt:lpstr>
      <vt:lpstr>SectA_b5</vt:lpstr>
      <vt:lpstr>SectA_b6</vt:lpstr>
      <vt:lpstr>SectA_b7</vt:lpstr>
      <vt:lpstr>SectA_D1</vt:lpstr>
      <vt:lpstr>SectA_d4</vt:lpstr>
      <vt:lpstr>SectA_d5</vt:lpstr>
      <vt:lpstr>SectA_d6</vt:lpstr>
      <vt:lpstr>SectA_d7</vt:lpstr>
      <vt:lpstr>SectB_a2</vt:lpstr>
      <vt:lpstr>SectB_a3</vt:lpstr>
      <vt:lpstr>SectB_a4</vt:lpstr>
      <vt:lpstr>SectB_a5</vt:lpstr>
      <vt:lpstr>SectB_a6</vt:lpstr>
      <vt:lpstr>SectB_b3</vt:lpstr>
      <vt:lpstr>SectB_b4</vt:lpstr>
      <vt:lpstr>SectB_b5</vt:lpstr>
      <vt:lpstr>SectB_b6</vt:lpstr>
      <vt:lpstr>SectB_b7</vt:lpstr>
      <vt:lpstr>SectB_d3</vt:lpstr>
      <vt:lpstr>SectB_d4</vt:lpstr>
      <vt:lpstr>SectB_d5</vt:lpstr>
      <vt:lpstr>SectB_d6</vt:lpstr>
      <vt:lpstr>SectB_d7</vt:lpstr>
      <vt:lpstr>SectC_a2</vt:lpstr>
      <vt:lpstr>SectC_a3</vt:lpstr>
      <vt:lpstr>SectC_a4</vt:lpstr>
      <vt:lpstr>SectC_a5</vt:lpstr>
      <vt:lpstr>SectC_b3</vt:lpstr>
      <vt:lpstr>SectC_b4</vt:lpstr>
      <vt:lpstr>SectC_b5</vt:lpstr>
      <vt:lpstr>SectC_b6</vt:lpstr>
      <vt:lpstr>SectC_d3</vt:lpstr>
      <vt:lpstr>SectC_d4</vt:lpstr>
      <vt:lpstr>SectC_d5</vt:lpstr>
      <vt:lpstr>SectC_d6</vt:lpstr>
      <vt:lpstr>SectD_a2</vt:lpstr>
      <vt:lpstr>SectD_a3</vt:lpstr>
      <vt:lpstr>SectD_a4</vt:lpstr>
      <vt:lpstr>SectD_a5</vt:lpstr>
      <vt:lpstr>SectD_a6</vt:lpstr>
      <vt:lpstr>SectD_b3</vt:lpstr>
      <vt:lpstr>SectD_b4</vt:lpstr>
      <vt:lpstr>SectD_b5</vt:lpstr>
      <vt:lpstr>SectD_b6</vt:lpstr>
      <vt:lpstr>SectD_b7</vt:lpstr>
      <vt:lpstr>SectD_d3</vt:lpstr>
      <vt:lpstr>SectD_d4</vt:lpstr>
      <vt:lpstr>SectD_d5</vt:lpstr>
      <vt:lpstr>SectD_d6</vt:lpstr>
      <vt:lpstr>SectD_d7</vt:lpstr>
      <vt:lpstr>Skip2141</vt:lpstr>
      <vt:lpstr>Skip3141</vt:lpstr>
      <vt:lpstr>Skip3338</vt:lpstr>
      <vt:lpstr>Skip3941</vt:lpstr>
      <vt:lpstr>sp_blind</vt:lpstr>
      <vt:lpstr>sp_over_64</vt:lpstr>
      <vt:lpstr>SpaceUsed_1040</vt:lpstr>
      <vt:lpstr>SpaceUsed_8949A</vt:lpstr>
      <vt:lpstr>SpaceUsed_8949A_LT</vt:lpstr>
      <vt:lpstr>SpaceUsed_8949A_ST</vt:lpstr>
      <vt:lpstr>SpaceUsed_8949B_LT</vt:lpstr>
      <vt:lpstr>SpaceUsed_8949B_ST</vt:lpstr>
      <vt:lpstr>SpaceUsed_8949C_LT</vt:lpstr>
      <vt:lpstr>SpaceUsed_8949C_ST</vt:lpstr>
      <vt:lpstr>Spouse</vt:lpstr>
      <vt:lpstr>SpouseAge</vt:lpstr>
      <vt:lpstr>SpouseAgeDecimal</vt:lpstr>
      <vt:lpstr>SpouseBirthDate</vt:lpstr>
      <vt:lpstr>SpouseBirthDay</vt:lpstr>
      <vt:lpstr>SpouseBirthMonth</vt:lpstr>
      <vt:lpstr>SpouseBirthYear</vt:lpstr>
      <vt:lpstr>SpouseIs70Half</vt:lpstr>
      <vt:lpstr>SS_Spouse</vt:lpstr>
      <vt:lpstr>SS_Yours</vt:lpstr>
      <vt:lpstr>Standard</vt:lpstr>
      <vt:lpstr>state</vt:lpstr>
      <vt:lpstr>State_Local_Tax_Refund</vt:lpstr>
      <vt:lpstr>StateTaxIRA</vt:lpstr>
      <vt:lpstr>StateTaxPA</vt:lpstr>
      <vt:lpstr>StateTaxW2</vt:lpstr>
      <vt:lpstr>Std_Ded_Wrks_For_Dep</vt:lpstr>
      <vt:lpstr>StdDeduct</vt:lpstr>
      <vt:lpstr>StuLoanIntDeduct</vt:lpstr>
      <vt:lpstr>Tax</vt:lpstr>
      <vt:lpstr>Tax_FEI_TW</vt:lpstr>
      <vt:lpstr>Tax_SS_Benefits</vt:lpstr>
      <vt:lpstr>Taxable_Inc</vt:lpstr>
      <vt:lpstr>TaxableInterest</vt:lpstr>
      <vt:lpstr>TaxDay</vt:lpstr>
      <vt:lpstr>TaxPenalty</vt:lpstr>
      <vt:lpstr>TaxYear</vt:lpstr>
      <vt:lpstr>TaxYear2</vt:lpstr>
      <vt:lpstr>Tot_credits</vt:lpstr>
      <vt:lpstr>Tot_Exemptions</vt:lpstr>
      <vt:lpstr>Tot_Item_Deduct</vt:lpstr>
      <vt:lpstr>Tot_Payments</vt:lpstr>
      <vt:lpstr>Tot_Tax</vt:lpstr>
      <vt:lpstr>Total_Income</vt:lpstr>
      <vt:lpstr>W2_Other</vt:lpstr>
      <vt:lpstr>W2_SS_Tax_Excess</vt:lpstr>
      <vt:lpstr>W2_SS_Tax_Withheld</vt:lpstr>
      <vt:lpstr>W2_SS_Wages</vt:lpstr>
      <vt:lpstr>W2_Tax_Withheld</vt:lpstr>
      <vt:lpstr>W2_Wages</vt:lpstr>
      <vt:lpstr>Wages</vt:lpstr>
      <vt:lpstr>you_blind</vt:lpstr>
      <vt:lpstr>you_over_64</vt:lpstr>
      <vt:lpstr>You_Owe</vt:lpstr>
      <vt:lpstr>YouR70Half</vt:lpstr>
      <vt:lpstr>YourAge</vt:lpstr>
      <vt:lpstr>YourAgeDecimal</vt:lpstr>
      <vt:lpstr>YourBirthDate</vt:lpstr>
      <vt:lpstr>YourBirthDay</vt:lpstr>
      <vt:lpstr>YourBirthMonth</vt:lpstr>
      <vt:lpstr>YourBirthYear</vt:lpstr>
      <vt:lpstr>Yourself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 Federal Income Tax Spreadsheet (www.excel1040.com)</dc:title>
  <dc:creator>(c) Glenn Reeves, 2017</dc:creator>
  <cp:lastModifiedBy>Glenn W. Reeves</cp:lastModifiedBy>
  <cp:lastPrinted>2017-04-04T21:50:00Z</cp:lastPrinted>
  <dcterms:created xsi:type="dcterms:W3CDTF">1997-11-09T08:01:41Z</dcterms:created>
  <dcterms:modified xsi:type="dcterms:W3CDTF">2018-02-10T11:38:57Z</dcterms:modified>
</cp:coreProperties>
</file>